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https://fincaint-my.sharepoint.com/personal/donnaliya_ngandu_finca_co_zm/Documents/Documents/Financial statements/"/>
    </mc:Choice>
  </mc:AlternateContent>
  <bookViews>
    <workbookView xWindow="0" yWindow="0" windowWidth="19200" windowHeight="6350" tabRatio="886" firstSheet="2" activeTab="2"/>
  </bookViews>
  <sheets>
    <sheet name="opinion 4-5-Old" sheetId="4" state="hidden" r:id="rId1"/>
    <sheet name="Journals" sheetId="35" state="hidden" r:id="rId2"/>
    <sheet name="AFS Dec 22 for Publication" sheetId="70" r:id="rId3"/>
    <sheet name="Sheet10" sheetId="60" state="hidden" r:id="rId4"/>
    <sheet name="Other interest" sheetId="34" state="hidden" r:id="rId5"/>
    <sheet name="Deferred Tax Note." sheetId="48" state="hidden" r:id="rId6"/>
    <sheet name="Computation gen reserve" sheetId="26" state="hidden" r:id="rId7"/>
    <sheet name="Notes 18 to 29 (2)" sheetId="69" state="hidden" r:id="rId8"/>
    <sheet name="Appendix 1" sheetId="20" state="hidden" r:id="rId9"/>
    <sheet name="Appendix 2" sheetId="23" state="hidden" r:id="rId10"/>
    <sheet name="Note 28 (iii)" sheetId="56" state="hidden" r:id="rId11"/>
    <sheet name="Sheet8" sheetId="54" state="hidden" r:id="rId12"/>
    <sheet name="Sheet7" sheetId="53" state="hidden" r:id="rId13"/>
    <sheet name="detailed operating " sheetId="13" state="hidden" r:id="rId14"/>
    <sheet name="trial balance 2012" sheetId="24" state="hidden" r:id="rId15"/>
    <sheet name="Sheet1" sheetId="41" state="hidden" r:id="rId16"/>
    <sheet name="TB 2014" sheetId="43" state="hidden" r:id="rId17"/>
    <sheet name="TB 2013" sheetId="39" state="hidden" r:id="rId18"/>
    <sheet name="Sheet3" sheetId="42" state="hidden" r:id="rId19"/>
    <sheet name="Sheet4" sheetId="45" state="hidden" r:id="rId20"/>
    <sheet name="Sheet6" sheetId="47" state="hidden" r:id="rId21"/>
    <sheet name="TB 2015" sheetId="50" state="hidden" r:id="rId22"/>
    <sheet name="Sheet5" sheetId="52" state="hidden" r:id="rId23"/>
    <sheet name="Sheet2" sheetId="51"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a" localSheetId="10">#REF!</definedName>
    <definedName name="\a">#REF!</definedName>
    <definedName name="\B_49_65_" localSheetId="10">#REF!</definedName>
    <definedName name="\B_49_65_">#REF!</definedName>
    <definedName name="\C_66_73_" localSheetId="10">#REF!</definedName>
    <definedName name="\C_66_73_">#REF!</definedName>
    <definedName name="\d" localSheetId="10">#REF!</definedName>
    <definedName name="\d">#REF!</definedName>
    <definedName name="\D_SUMMARY_" localSheetId="10">#REF!</definedName>
    <definedName name="\D_SUMMARY_">#REF!</definedName>
    <definedName name="\i" localSheetId="10">#REF!</definedName>
    <definedName name="\i">#REF!</definedName>
    <definedName name="\M" localSheetId="10">#REF!</definedName>
    <definedName name="\M">#REF!</definedName>
    <definedName name="_____1B" localSheetId="10">#REF!</definedName>
    <definedName name="_____1B">#REF!</definedName>
    <definedName name="_____3" localSheetId="10">#REF!</definedName>
    <definedName name="_____3">#REF!</definedName>
    <definedName name="_____4ASCH" localSheetId="10">#REF!</definedName>
    <definedName name="_____4ASCH">#REF!</definedName>
    <definedName name="_____4BCD" localSheetId="10">#REF!</definedName>
    <definedName name="_____4BCD">#REF!</definedName>
    <definedName name="_____CED11" localSheetId="10">#REF!</definedName>
    <definedName name="_____CED11">#REF!</definedName>
    <definedName name="_____TC9613" localSheetId="10">'[1]5 D'!#REF!</definedName>
    <definedName name="_____TC9613">'[1]5 D'!#REF!</definedName>
    <definedName name="____1B" localSheetId="10">#REF!</definedName>
    <definedName name="____1B">#REF!</definedName>
    <definedName name="____3" localSheetId="10">#REF!</definedName>
    <definedName name="____3">#REF!</definedName>
    <definedName name="____4ACD" localSheetId="10">#REF!</definedName>
    <definedName name="____4ACD">#REF!</definedName>
    <definedName name="____4ASCH" localSheetId="10">#REF!</definedName>
    <definedName name="____4ASCH">#REF!</definedName>
    <definedName name="____4BCD" localSheetId="10">#REF!</definedName>
    <definedName name="____4BCD">#REF!</definedName>
    <definedName name="____4BSCH" localSheetId="10">#REF!</definedName>
    <definedName name="____4BSCH">#REF!</definedName>
    <definedName name="____4CD" localSheetId="10">#REF!</definedName>
    <definedName name="____4CD">#REF!</definedName>
    <definedName name="____CED11" localSheetId="10">#REF!</definedName>
    <definedName name="____CED11">#REF!</definedName>
    <definedName name="____TC9613" localSheetId="10">'[1]5 D'!#REF!</definedName>
    <definedName name="____TC9613">'[1]5 D'!#REF!</definedName>
    <definedName name="___1B" localSheetId="10">#REF!</definedName>
    <definedName name="___1B">#REF!</definedName>
    <definedName name="___3" localSheetId="10">#REF!</definedName>
    <definedName name="___3">#REF!</definedName>
    <definedName name="___4ACD" localSheetId="10">#REF!</definedName>
    <definedName name="___4ACD">#REF!</definedName>
    <definedName name="___4ASCH" localSheetId="10">#REF!</definedName>
    <definedName name="___4ASCH">#REF!</definedName>
    <definedName name="___4BCD" localSheetId="10">#REF!</definedName>
    <definedName name="___4BCD">#REF!</definedName>
    <definedName name="___4BSCH" localSheetId="10">#REF!</definedName>
    <definedName name="___4BSCH">#REF!</definedName>
    <definedName name="___4CD" localSheetId="10">#REF!</definedName>
    <definedName name="___4CD">#REF!</definedName>
    <definedName name="___CED11" localSheetId="10">#REF!</definedName>
    <definedName name="___CED11">#REF!</definedName>
    <definedName name="___k2" localSheetId="10" hidden="1">#REF!</definedName>
    <definedName name="___k2" hidden="1">#REF!</definedName>
    <definedName name="___TC9613" localSheetId="10">'[1]5 D'!#REF!</definedName>
    <definedName name="___TC9613">'[1]5 D'!#REF!</definedName>
    <definedName name="__1_1B" localSheetId="10">#REF!</definedName>
    <definedName name="__1_1B">#REF!</definedName>
    <definedName name="__123Graph_A" localSheetId="10" hidden="1">'[2]PG 9'!#REF!</definedName>
    <definedName name="__123Graph_A" hidden="1">'[2]PG 9'!#REF!</definedName>
    <definedName name="__123Graph_B" localSheetId="10" hidden="1">'[2]PG 9'!#REF!</definedName>
    <definedName name="__123Graph_B" hidden="1">'[2]PG 9'!#REF!</definedName>
    <definedName name="__123Graph_X" hidden="1">'[3]BALANCE SHEET-GAAP'!$B$19:$B$24</definedName>
    <definedName name="__1B" localSheetId="10">#REF!</definedName>
    <definedName name="__1B">#REF!</definedName>
    <definedName name="__2_3" localSheetId="10">#REF!</definedName>
    <definedName name="__2_3">#REF!</definedName>
    <definedName name="__3" localSheetId="10">#REF!</definedName>
    <definedName name="__3">#REF!</definedName>
    <definedName name="__3_4ACD" localSheetId="10">#REF!</definedName>
    <definedName name="__3_4ACD">#REF!</definedName>
    <definedName name="__4_4ASCH" localSheetId="10">#REF!</definedName>
    <definedName name="__4_4ASCH">#REF!</definedName>
    <definedName name="__4ACD" localSheetId="10">#REF!</definedName>
    <definedName name="__4ACD">#REF!</definedName>
    <definedName name="__4ASCH" localSheetId="10">#REF!</definedName>
    <definedName name="__4ASCH">#REF!</definedName>
    <definedName name="__4BCD" localSheetId="10">#REF!</definedName>
    <definedName name="__4BCD">#REF!</definedName>
    <definedName name="__4BSCH" localSheetId="10">#REF!</definedName>
    <definedName name="__4BSCH">#REF!</definedName>
    <definedName name="__4CD" localSheetId="10">#REF!</definedName>
    <definedName name="__4CD">#REF!</definedName>
    <definedName name="__CED11" localSheetId="10">#REF!</definedName>
    <definedName name="__CED11">#REF!</definedName>
    <definedName name="__k2" localSheetId="10" hidden="1">#REF!</definedName>
    <definedName name="__k2" hidden="1">#REF!</definedName>
    <definedName name="__ref2" localSheetId="10">#REF!</definedName>
    <definedName name="__ref2">#REF!</definedName>
    <definedName name="__RSE2" localSheetId="10">#REF!</definedName>
    <definedName name="__RSE2">#REF!</definedName>
    <definedName name="__TC9613" localSheetId="10">'[1]5 D'!#REF!</definedName>
    <definedName name="__TC9613">'[1]5 D'!#REF!</definedName>
    <definedName name="_1_1B" localSheetId="10">#REF!</definedName>
    <definedName name="_1_1B">#REF!</definedName>
    <definedName name="_10_4" localSheetId="10">#REF!</definedName>
    <definedName name="_10_4">#REF!</definedName>
    <definedName name="_10PYG_M" localSheetId="10">#REF!</definedName>
    <definedName name="_10PYG_M">#REF!</definedName>
    <definedName name="_14A1" localSheetId="10">#REF!</definedName>
    <definedName name="_14A1">#REF!</definedName>
    <definedName name="_14A2" localSheetId="10">#REF!</definedName>
    <definedName name="_14A2">#REF!</definedName>
    <definedName name="_14B1" localSheetId="10">#REF!</definedName>
    <definedName name="_14B1">#REF!</definedName>
    <definedName name="_14B2" localSheetId="10">#REF!</definedName>
    <definedName name="_14B2">#REF!</definedName>
    <definedName name="_1B" localSheetId="10">#REF!</definedName>
    <definedName name="_1B">#REF!</definedName>
    <definedName name="_1kpmg" localSheetId="5">#REF!</definedName>
    <definedName name="_2_3" localSheetId="10">#REF!</definedName>
    <definedName name="_2_3">#REF!</definedName>
    <definedName name="_21" localSheetId="10">#REF!</definedName>
    <definedName name="_21">#REF!</definedName>
    <definedName name="_25_4" localSheetId="10">#REF!</definedName>
    <definedName name="_25_4">#REF!</definedName>
    <definedName name="_2a_in" localSheetId="10">#REF!</definedName>
    <definedName name="_2a_in">#REF!</definedName>
    <definedName name="_3" localSheetId="10">#REF!</definedName>
    <definedName name="_3">#REF!</definedName>
    <definedName name="_3_4ACD" localSheetId="10">#REF!</definedName>
    <definedName name="_3_4ACD">#REF!</definedName>
    <definedName name="_4_4ASCH" localSheetId="10">#REF!</definedName>
    <definedName name="_4_4ASCH">#REF!</definedName>
    <definedName name="_4A1d" localSheetId="10">#REF!</definedName>
    <definedName name="_4A1d">#REF!</definedName>
    <definedName name="_4A2m" localSheetId="10">#REF!</definedName>
    <definedName name="_4A2m">#REF!</definedName>
    <definedName name="_4A2s" localSheetId="10">#REF!</definedName>
    <definedName name="_4A2s">#REF!</definedName>
    <definedName name="_4ACD" localSheetId="10">#REF!</definedName>
    <definedName name="_4ACD">#REF!</definedName>
    <definedName name="_4ASCH" localSheetId="10">#REF!</definedName>
    <definedName name="_4ASCH">#REF!</definedName>
    <definedName name="_4B1d" localSheetId="10">#REF!</definedName>
    <definedName name="_4B1d">#REF!</definedName>
    <definedName name="_4B2m" localSheetId="10">#REF!</definedName>
    <definedName name="_4B2m">#REF!</definedName>
    <definedName name="_4B2s" localSheetId="10">#REF!</definedName>
    <definedName name="_4B2s">#REF!</definedName>
    <definedName name="_4BCD" localSheetId="10">#REF!</definedName>
    <definedName name="_4BCD">#REF!</definedName>
    <definedName name="_4BSCH" localSheetId="10">#REF!</definedName>
    <definedName name="_4BSCH">#REF!</definedName>
    <definedName name="_4C1d" localSheetId="10">#REF!</definedName>
    <definedName name="_4C1d">#REF!</definedName>
    <definedName name="_4C2m" localSheetId="10">#REF!</definedName>
    <definedName name="_4C2m">#REF!</definedName>
    <definedName name="_4C2s" localSheetId="10">#REF!</definedName>
    <definedName name="_4C2s">#REF!</definedName>
    <definedName name="_4CD" localSheetId="10">#REF!</definedName>
    <definedName name="_4CD">#REF!</definedName>
    <definedName name="_4D1d" localSheetId="10">#REF!</definedName>
    <definedName name="_4D1d">#REF!</definedName>
    <definedName name="_4D2m" localSheetId="10">#REF!</definedName>
    <definedName name="_4D2m">#REF!</definedName>
    <definedName name="_4D2s" localSheetId="10">#REF!</definedName>
    <definedName name="_4D2s">#REF!</definedName>
    <definedName name="_4E1d" localSheetId="10">#REF!</definedName>
    <definedName name="_4E1d">#REF!</definedName>
    <definedName name="_4E2m" localSheetId="10">#REF!</definedName>
    <definedName name="_4E2m">#REF!</definedName>
    <definedName name="_4Es" localSheetId="10">#REF!</definedName>
    <definedName name="_4Es">#REF!</definedName>
    <definedName name="_4M" localSheetId="10">#REF!</definedName>
    <definedName name="_4M">#REF!</definedName>
    <definedName name="_4S" localSheetId="10">#REF!</definedName>
    <definedName name="_4S">#REF!</definedName>
    <definedName name="_5_4BCD" localSheetId="10">#REF!</definedName>
    <definedName name="_5_4BCD">#REF!</definedName>
    <definedName name="_6" localSheetId="10">#REF!</definedName>
    <definedName name="_6">#REF!</definedName>
    <definedName name="_6_4BCD" localSheetId="10">#REF!</definedName>
    <definedName name="_6_4BCD">#REF!</definedName>
    <definedName name="_6_4BSCH" localSheetId="10">#REF!</definedName>
    <definedName name="_6_4BSCH">#REF!</definedName>
    <definedName name="_7_4BSCH" localSheetId="10">#REF!</definedName>
    <definedName name="_7_4BSCH">#REF!</definedName>
    <definedName name="_7_4CD" localSheetId="10">#REF!</definedName>
    <definedName name="_7_4CD">#REF!</definedName>
    <definedName name="_8_4CD" localSheetId="10">#REF!</definedName>
    <definedName name="_8_4CD">#REF!</definedName>
    <definedName name="_8PYG_A" localSheetId="10">#REF!</definedName>
    <definedName name="_8PYG_A">#REF!</definedName>
    <definedName name="_9PYG_A" localSheetId="10">#REF!</definedName>
    <definedName name="_9PYG_A">#REF!</definedName>
    <definedName name="_9PYG_M" localSheetId="10">#REF!</definedName>
    <definedName name="_9PYG_M">#REF!</definedName>
    <definedName name="_cc1">[0]!add2_el_d9</definedName>
    <definedName name="_cc10">[0]!dialog10_no</definedName>
    <definedName name="_cc11">[0]!dialog10_yes</definedName>
    <definedName name="_cc12">[0]!dialog8_no</definedName>
    <definedName name="_cc13">[0]!dialog8_yes</definedName>
    <definedName name="_cc14">[0]!poisk</definedName>
    <definedName name="_cc16">[0]!redak_el_d9</definedName>
    <definedName name="_cc17">[0]!sbros_all1</definedName>
    <definedName name="_cc19">[0]!sp_add</definedName>
    <definedName name="_cc2">[0]!clik1</definedName>
    <definedName name="_cc20">[0]!sp_change</definedName>
    <definedName name="_cc21">[0]!sp_zam</definedName>
    <definedName name="_cc22">[0]!vid_all1</definedName>
    <definedName name="_cc23" localSheetId="17">[0]!vid_all2</definedName>
    <definedName name="_cc3">[0]!clik2</definedName>
    <definedName name="_cc4">[0]!del_el_d9</definedName>
    <definedName name="_cc5">[0]!del_el2</definedName>
    <definedName name="_cc6">[0]!del_sp2</definedName>
    <definedName name="_CED11" localSheetId="10">#REF!</definedName>
    <definedName name="_CED11">#REF!</definedName>
    <definedName name="_DAT1" localSheetId="10">#REF!</definedName>
    <definedName name="_DAT1">#REF!</definedName>
    <definedName name="_DAT10" localSheetId="10">#REF!</definedName>
    <definedName name="_DAT10">#REF!</definedName>
    <definedName name="_DAT11" localSheetId="10">#REF!</definedName>
    <definedName name="_DAT11">#REF!</definedName>
    <definedName name="_DAT12" localSheetId="10">#REF!</definedName>
    <definedName name="_DAT12">#REF!</definedName>
    <definedName name="_DAT13" localSheetId="10">#REF!</definedName>
    <definedName name="_DAT13">#REF!</definedName>
    <definedName name="_DAT14" localSheetId="10">#REF!</definedName>
    <definedName name="_DAT14">#REF!</definedName>
    <definedName name="_DAT15" localSheetId="10">#REF!</definedName>
    <definedName name="_DAT15">#REF!</definedName>
    <definedName name="_DAT16" localSheetId="10">#REF!</definedName>
    <definedName name="_DAT16">#REF!</definedName>
    <definedName name="_DAT17" localSheetId="10">#REF!</definedName>
    <definedName name="_DAT17">#REF!</definedName>
    <definedName name="_DAT18" localSheetId="10">#REF!</definedName>
    <definedName name="_DAT18">#REF!</definedName>
    <definedName name="_DAT19" localSheetId="10">#REF!</definedName>
    <definedName name="_DAT19">#REF!</definedName>
    <definedName name="_DAT2" localSheetId="10">#REF!</definedName>
    <definedName name="_DAT2">#REF!</definedName>
    <definedName name="_DAT20" localSheetId="10">#REF!</definedName>
    <definedName name="_DAT20">#REF!</definedName>
    <definedName name="_DAT21" localSheetId="10">#REF!</definedName>
    <definedName name="_DAT21">#REF!</definedName>
    <definedName name="_DAT22" localSheetId="10">#REF!</definedName>
    <definedName name="_DAT22">#REF!</definedName>
    <definedName name="_DAT23" localSheetId="10">#REF!</definedName>
    <definedName name="_DAT23">#REF!</definedName>
    <definedName name="_DAT24" localSheetId="10">#REF!</definedName>
    <definedName name="_DAT24">#REF!</definedName>
    <definedName name="_DAT25" localSheetId="10">#REF!</definedName>
    <definedName name="_DAT25">#REF!</definedName>
    <definedName name="_DAT3" localSheetId="10">#REF!</definedName>
    <definedName name="_DAT3">#REF!</definedName>
    <definedName name="_DAT4" localSheetId="10">#REF!</definedName>
    <definedName name="_DAT4">#REF!</definedName>
    <definedName name="_DAT5" localSheetId="10">#REF!</definedName>
    <definedName name="_DAT5">#REF!</definedName>
    <definedName name="_DAT6" localSheetId="10">#REF!</definedName>
    <definedName name="_DAT6">#REF!</definedName>
    <definedName name="_DAT7" localSheetId="10">#REF!</definedName>
    <definedName name="_DAT7">#REF!</definedName>
    <definedName name="_DAT8" localSheetId="10">#REF!</definedName>
    <definedName name="_DAT8">#REF!</definedName>
    <definedName name="_DAT9" localSheetId="10">#REF!</definedName>
    <definedName name="_DAT9">#REF!</definedName>
    <definedName name="_defferedtaxnote" localSheetId="5">#REF!</definedName>
    <definedName name="_enr1" localSheetId="10">'[4]#ССЫЛКА'!#REF!</definedName>
    <definedName name="_enr1">'[4]#ССЫЛКА'!#REF!</definedName>
    <definedName name="_Fill" localSheetId="10" hidden="1">#REF!</definedName>
    <definedName name="_Fill" hidden="1">#REF!</definedName>
    <definedName name="_k2" localSheetId="10" hidden="1">#REF!</definedName>
    <definedName name="_k2" hidden="1">#REF!</definedName>
    <definedName name="_Key1" localSheetId="10" hidden="1">#REF!</definedName>
    <definedName name="_Key1" hidden="1">#REF!</definedName>
    <definedName name="_Key2" localSheetId="10" hidden="1">#REF!</definedName>
    <definedName name="_Key2" hidden="1">#REF!</definedName>
    <definedName name="_mas6" localSheetId="10">'[4]5222 '!#REF!</definedName>
    <definedName name="_mas6">'[4]5222 '!#REF!</definedName>
    <definedName name="_NMG1" localSheetId="10">'[4]#ССЫЛКА'!#REF!</definedName>
    <definedName name="_NMG1">'[4]#ССЫЛКА'!#REF!</definedName>
    <definedName name="_NMG2" localSheetId="10">[4]!Возврат</definedName>
    <definedName name="_NMG2" localSheetId="7">[4]!Возврат</definedName>
    <definedName name="_NMG2">[4]!Возврат</definedName>
    <definedName name="_Order1" hidden="1">255</definedName>
    <definedName name="_Order2" hidden="1">255</definedName>
    <definedName name="_PL1" localSheetId="10">#REF!</definedName>
    <definedName name="_PL1">#REF!</definedName>
    <definedName name="_ras98" localSheetId="10">[4]Инвестиции!#REF!</definedName>
    <definedName name="_ras98">[4]Инвестиции!#REF!</definedName>
    <definedName name="_ras99" localSheetId="10">[4]Инвестиции!#REF!</definedName>
    <definedName name="_ras99">[4]Инвестиции!#REF!</definedName>
    <definedName name="_ref1" localSheetId="10">#REF!</definedName>
    <definedName name="_ref1">#REF!</definedName>
    <definedName name="_ref2" localSheetId="10">#REF!</definedName>
    <definedName name="_ref2">#REF!</definedName>
    <definedName name="_Ref3" localSheetId="10">#REF!</definedName>
    <definedName name="_Ref3">#REF!</definedName>
    <definedName name="_RSE3">'[5]MUS Calculations- Figure 5410.1'!$H$20</definedName>
    <definedName name="_Sort" localSheetId="5" hidden="1">#REF!</definedName>
    <definedName name="_Sort" localSheetId="10" hidden="1">#REF!</definedName>
    <definedName name="_Sort" hidden="1">#REF!</definedName>
    <definedName name="_ss1">'[4]#ССЫЛКА'!$H$36:$H$76</definedName>
    <definedName name="_TC9613" localSheetId="10">'[1]5 D'!#REF!</definedName>
    <definedName name="_TC9613">'[1]5 D'!#REF!</definedName>
    <definedName name="A" localSheetId="5">#REF!</definedName>
    <definedName name="A">'[4]#ССЫЛКА'!$B$95</definedName>
    <definedName name="aa" localSheetId="5">'[6]1'!$C$19</definedName>
    <definedName name="aa">[0]!add2_el_d9</definedName>
    <definedName name="aaa">'[4]Перечень компаний'!$B$9:$B$40,'[4]Перечень компаний'!$E$9:$E$40,'[4]Перечень компаний'!$H$9:$H$40,'[4]Перечень компаний'!$E$41:$E$41,'[4]Перечень компаний'!$E$41,'[4]Перечень компаний'!$N$9:$N$40</definedName>
    <definedName name="ABD_CQ_1" localSheetId="10">#REF!</definedName>
    <definedName name="ABD_CQ_1">#REF!</definedName>
    <definedName name="ABD_CQ_2" localSheetId="10">#REF!</definedName>
    <definedName name="ABD_CQ_2">#REF!</definedName>
    <definedName name="ABD_CQ_3" localSheetId="10">#REF!</definedName>
    <definedName name="ABD_CQ_3">#REF!</definedName>
    <definedName name="ABD_CQ_4" localSheetId="10">#REF!</definedName>
    <definedName name="ABD_CQ_4">#REF!</definedName>
    <definedName name="ABD_Description" localSheetId="10">#REF!</definedName>
    <definedName name="ABD_Description">#REF!</definedName>
    <definedName name="ABD_GL" localSheetId="10">#REF!</definedName>
    <definedName name="ABD_GL">#REF!</definedName>
    <definedName name="Account_Balance" localSheetId="10">'[7]Excess Calc'!#REF!</definedName>
    <definedName name="Account_Balance">'[7]Excess Calc'!#REF!</definedName>
    <definedName name="accountsbs98" localSheetId="10">[4]Инвестиции!#REF!</definedName>
    <definedName name="accountsbs98">[4]Инвестиции!#REF!</definedName>
    <definedName name="accountsbs99" localSheetId="10">[4]Инвестиции!#REF!</definedName>
    <definedName name="accountsbs99">[4]Инвестиции!#REF!</definedName>
    <definedName name="accountsfv98" localSheetId="10">[4]Инвестиции!#REF!</definedName>
    <definedName name="accountsfv98">[4]Инвестиции!#REF!</definedName>
    <definedName name="accountsimp98" localSheetId="10">[4]Инвестиции!#REF!</definedName>
    <definedName name="accountsimp98">[4]Инвестиции!#REF!</definedName>
    <definedName name="accountspl98" localSheetId="10">[4]Инвестиции!#REF!</definedName>
    <definedName name="accountspl98">[4]Инвестиции!#REF!</definedName>
    <definedName name="accountspl99" localSheetId="10">[4]Инвестиции!#REF!</definedName>
    <definedName name="accountspl99">[4]Инвестиции!#REF!</definedName>
    <definedName name="accrint" localSheetId="10">#REF!</definedName>
    <definedName name="accrint">#REF!</definedName>
    <definedName name="accruedint">'[8]HTM Securities'!$O$31:$O$64</definedName>
    <definedName name="AD_CQ_1" localSheetId="10">#REF!</definedName>
    <definedName name="AD_CQ_1">#REF!</definedName>
    <definedName name="AD_CQ_2" localSheetId="10">#REF!</definedName>
    <definedName name="AD_CQ_2">#REF!</definedName>
    <definedName name="AD_CQ_3" localSheetId="10">#REF!</definedName>
    <definedName name="AD_CQ_3">#REF!</definedName>
    <definedName name="AD_CQ_4" localSheetId="10">#REF!</definedName>
    <definedName name="AD_CQ_4">#REF!</definedName>
    <definedName name="AD_Description" localSheetId="10">#REF!</definedName>
    <definedName name="AD_Description">#REF!</definedName>
    <definedName name="AD_GL" localSheetId="10">#REF!</definedName>
    <definedName name="AD_GL">#REF!</definedName>
    <definedName name="add1_el_d9">[0]!add1_el_d9</definedName>
    <definedName name="add2_el_d9">[0]!add2_el_d9</definedName>
    <definedName name="ADE_CQ_1" localSheetId="10">#REF!</definedName>
    <definedName name="ADE_CQ_1">#REF!</definedName>
    <definedName name="ADE_CQ_2" localSheetId="10">#REF!</definedName>
    <definedName name="ADE_CQ_2">#REF!</definedName>
    <definedName name="ADE_CQ_3" localSheetId="10">#REF!</definedName>
    <definedName name="ADE_CQ_3">#REF!</definedName>
    <definedName name="ADE_CQ_4" localSheetId="10">#REF!</definedName>
    <definedName name="ADE_CQ_4">#REF!</definedName>
    <definedName name="ADE_Description" localSheetId="10">#REF!</definedName>
    <definedName name="ADE_Description">#REF!</definedName>
    <definedName name="ADE_GL" localSheetId="10">#REF!</definedName>
    <definedName name="ADE_GL">#REF!</definedName>
    <definedName name="ADJCOLUMN" localSheetId="10">#REF!</definedName>
    <definedName name="ADJCOLUMN">#REF!</definedName>
    <definedName name="ADJCOLUMN2">[9]Adjustments!$A$5:$A$70</definedName>
    <definedName name="ADJHEADER" localSheetId="10">#REF!</definedName>
    <definedName name="ADJHEADER">#REF!</definedName>
    <definedName name="ADJUSTER2">[9]Adjustments!$A$1:$BB$4</definedName>
    <definedName name="ADJUSTS" localSheetId="10">#REF!</definedName>
    <definedName name="ADJUSTS">#REF!</definedName>
    <definedName name="ADJUSTS2">[9]Adjustments!$B$5:$BB$75</definedName>
    <definedName name="afs">#N/A</definedName>
    <definedName name="AFSL" localSheetId="10">MATCH(0.01,'Note 28 (iii)'!End_Bal,-1)+1</definedName>
    <definedName name="AFSL">MATCH(0.01,End_Bal,-1)+1</definedName>
    <definedName name="Aging_percent">'[10]Statistics {pbc}'!$A$13:$G$13,'[10]Statistics {pbc}'!$A$22:$G$26</definedName>
    <definedName name="Allowance_to_Receivables">'[10]Statistics {pbc}'!$A$2:$G$2,'[10]Statistics {pbc}'!$A$9:$G$9</definedName>
    <definedName name="Allowance_to_Sales">'[10]Statistics {pbc}'!$A$2:$G$2,'[10]Statistics {pbc}'!$A$10:$G$10</definedName>
    <definedName name="AllTables">{1}</definedName>
    <definedName name="AP_CQ_1" localSheetId="10">#REF!</definedName>
    <definedName name="AP_CQ_1">#REF!</definedName>
    <definedName name="AP_CQ_2" localSheetId="10">#REF!</definedName>
    <definedName name="AP_CQ_2">#REF!</definedName>
    <definedName name="AP_CQ_3" localSheetId="10">#REF!</definedName>
    <definedName name="AP_CQ_3">#REF!</definedName>
    <definedName name="AP_CQ_4" localSheetId="10">#REF!</definedName>
    <definedName name="AP_CQ_4">#REF!</definedName>
    <definedName name="AP_Description" localSheetId="10">#REF!</definedName>
    <definedName name="AP_Description">#REF!</definedName>
    <definedName name="AP_GL" localSheetId="10">#REF!</definedName>
    <definedName name="AP_GL">#REF!</definedName>
    <definedName name="aprilexpenses" localSheetId="10">#REF!</definedName>
    <definedName name="aprilexpenses">#REF!</definedName>
    <definedName name="AR_3" localSheetId="10">#REF!</definedName>
    <definedName name="AR_3">#REF!</definedName>
    <definedName name="AR_CQ_1" localSheetId="10">#REF!</definedName>
    <definedName name="AR_CQ_1">#REF!</definedName>
    <definedName name="AR_CQ_2" localSheetId="10">#REF!</definedName>
    <definedName name="AR_CQ_2">#REF!</definedName>
    <definedName name="AR_CQ_3" localSheetId="10">#REF!</definedName>
    <definedName name="AR_CQ_3">#REF!</definedName>
    <definedName name="AR_CQ_4" localSheetId="10">#REF!</definedName>
    <definedName name="AR_CQ_4">#REF!</definedName>
    <definedName name="AR_Description" localSheetId="10">#REF!</definedName>
    <definedName name="AR_Description">#REF!</definedName>
    <definedName name="AR_GL" localSheetId="10">#REF!</definedName>
    <definedName name="AR_GL">#REF!</definedName>
    <definedName name="AR_mov_62" localSheetId="10">#REF!</definedName>
    <definedName name="AR_mov_62">#REF!</definedName>
    <definedName name="AR_mov_62_2" localSheetId="10">#REF!</definedName>
    <definedName name="AR_mov_62_2">#REF!</definedName>
    <definedName name="ARA_Threshold" localSheetId="10">[11]Summary!#REF!</definedName>
    <definedName name="ARA_Threshold">[11]Summary!#REF!</definedName>
    <definedName name="ARP_Threshold" localSheetId="10">[11]Summary!#REF!</definedName>
    <definedName name="ARP_Threshold">[11]Summary!#REF!</definedName>
    <definedName name="AS2DocOpenMode" localSheetId="5" hidden="1">"AS2DocumentBrowse"</definedName>
    <definedName name="AS2DocOpenMode" hidden="1">"AS2DocumentEdit"</definedName>
    <definedName name="AS2HasNoAutoHeaderFooter" hidden="1">" "</definedName>
    <definedName name="AS2NamedRange" hidden="1">6</definedName>
    <definedName name="AS2ReportLS" hidden="1">1</definedName>
    <definedName name="AS2StaticLS" localSheetId="10" hidden="1">#REF!</definedName>
    <definedName name="AS2StaticLS" hidden="1">#REF!</definedName>
    <definedName name="AS2SyncStepLS" hidden="1">0</definedName>
    <definedName name="AS2TickmarkLS" localSheetId="10" hidden="1">#REF!</definedName>
    <definedName name="AS2TickmarkLS" hidden="1">#REF!</definedName>
    <definedName name="AS2VersionLS" hidden="1">300</definedName>
    <definedName name="AVE._BALANCES" localSheetId="10">#REF!</definedName>
    <definedName name="AVE._BALANCES">#REF!</definedName>
    <definedName name="AVERAGE">'[12]Rates &amp; Dates'!$J$10:$J$21,'[12]Rates &amp; Dates'!$N$10:$N$21</definedName>
    <definedName name="Avg_rate" localSheetId="10">#REF!</definedName>
    <definedName name="Avg_rate">#REF!</definedName>
    <definedName name="aКред.порт._юр.лица_31.12.03.xls" localSheetId="10">#REF!</definedName>
    <definedName name="aКред.порт._юр.лица_31.12.03.xls">#REF!</definedName>
    <definedName name="B" localSheetId="5">#REF!</definedName>
    <definedName name="B">'[4]#ССЫЛКА'!$B$98</definedName>
    <definedName name="bal_cost" localSheetId="10">#REF!</definedName>
    <definedName name="bal_cost">#REF!</definedName>
    <definedName name="bal_in" localSheetId="10">#REF!</definedName>
    <definedName name="bal_in">#REF!</definedName>
    <definedName name="bal_out" localSheetId="10">#REF!</definedName>
    <definedName name="bal_out">#REF!</definedName>
    <definedName name="BALAN" localSheetId="10">#REF!</definedName>
    <definedName name="BALAN">#REF!</definedName>
    <definedName name="Balance">'[4]Balance Sheet'!$A$1:$E$54</definedName>
    <definedName name="balanceacc" localSheetId="10">#REF!</definedName>
    <definedName name="balanceacc">#REF!</definedName>
    <definedName name="Bank" localSheetId="10">#REF!</definedName>
    <definedName name="Bank">#REF!</definedName>
    <definedName name="BANK_CASH" localSheetId="10">#REF!</definedName>
    <definedName name="BANK_CASH">#REF!</definedName>
    <definedName name="bankcharges" localSheetId="10">#REF!</definedName>
    <definedName name="bankcharges">#REF!</definedName>
    <definedName name="basic_level" localSheetId="10">#REF!</definedName>
    <definedName name="basic_level">#REF!</definedName>
    <definedName name="bb">'[6]1'!$H$19</definedName>
    <definedName name="bcx" localSheetId="10">#N/A</definedName>
    <definedName name="bcx">OFFSET(Full_Print,0,0,'Deferred Tax Note.'!Last_Row)</definedName>
    <definedName name="Beg_Bal" localSheetId="10">#REF!</definedName>
    <definedName name="Beg_Bal">#REF!</definedName>
    <definedName name="BG_Del" hidden="1">15</definedName>
    <definedName name="BG_Ins" hidden="1">4</definedName>
    <definedName name="BG_Mod" hidden="1">6</definedName>
    <definedName name="bla">'[6]1'!$C$19</definedName>
    <definedName name="bnn">'[6]1'!$H$19</definedName>
    <definedName name="box">'[4]#ССЫЛКА'!$K$8:$L$840</definedName>
    <definedName name="ca">'[4]#ССЫЛКА'!$B$1:$D$306</definedName>
    <definedName name="CA_CQ_1" localSheetId="10">#REF!</definedName>
    <definedName name="CA_CQ_1">#REF!</definedName>
    <definedName name="CA_CQ_2" localSheetId="10">#REF!</definedName>
    <definedName name="CA_CQ_2">#REF!</definedName>
    <definedName name="CA_CQ_3" localSheetId="10">#REF!</definedName>
    <definedName name="CA_CQ_3">#REF!</definedName>
    <definedName name="CA_CQ_4" localSheetId="10">#REF!</definedName>
    <definedName name="CA_CQ_4">#REF!</definedName>
    <definedName name="CA_Description" localSheetId="10">#REF!</definedName>
    <definedName name="CA_Description">#REF!</definedName>
    <definedName name="CA_GL" localSheetId="10">#REF!</definedName>
    <definedName name="CA_GL">#REF!</definedName>
    <definedName name="CAB" localSheetId="10">#REF!</definedName>
    <definedName name="CAB">#REF!</definedName>
    <definedName name="Carry" localSheetId="10">#REF!</definedName>
    <definedName name="Carry">#REF!</definedName>
    <definedName name="CarryEx" localSheetId="10">#REF!</definedName>
    <definedName name="CarryEx">#REF!</definedName>
    <definedName name="CASHFLOW" localSheetId="10">#REF!</definedName>
    <definedName name="CASHFLOW">#REF!</definedName>
    <definedName name="Category" localSheetId="10">#REF!</definedName>
    <definedName name="Category">#REF!</definedName>
    <definedName name="cbrgold" localSheetId="10">#REF!</definedName>
    <definedName name="cbrgold">#REF!</definedName>
    <definedName name="cc">[0]!add1_el_d9</definedName>
    <definedName name="CCE_CQ_1" localSheetId="10">#REF!</definedName>
    <definedName name="CCE_CQ_1">#REF!</definedName>
    <definedName name="CCE_CQ_2" localSheetId="10">#REF!</definedName>
    <definedName name="CCE_CQ_2">#REF!</definedName>
    <definedName name="CCE_CQ_3" localSheetId="10">#REF!</definedName>
    <definedName name="CCE_CQ_3">#REF!</definedName>
    <definedName name="CCE_CQ_4" localSheetId="10">#REF!</definedName>
    <definedName name="CCE_CQ_4">#REF!</definedName>
    <definedName name="CCE_Description" localSheetId="10">#REF!</definedName>
    <definedName name="CCE_Description">#REF!</definedName>
    <definedName name="CCE_GL" localSheetId="10">#REF!</definedName>
    <definedName name="CCE_GL">#REF!</definedName>
    <definedName name="ccy">[13]Loro!$H$29:$H$37</definedName>
    <definedName name="CE_CarryKnownTable" localSheetId="10">#REF!</definedName>
    <definedName name="CE_CarryKnownTable">#REF!</definedName>
    <definedName name="ced15D" localSheetId="10">#REF!</definedName>
    <definedName name="ced15D">#REF!</definedName>
    <definedName name="ced15M" localSheetId="10">#REF!</definedName>
    <definedName name="ced15M">#REF!</definedName>
    <definedName name="ced15S" localSheetId="10">#REF!</definedName>
    <definedName name="ced15S">#REF!</definedName>
    <definedName name="CED5_D" localSheetId="10">#REF!</definedName>
    <definedName name="CED5_D">#REF!</definedName>
    <definedName name="CED5_M" localSheetId="10">#REF!</definedName>
    <definedName name="CED5_M">#REF!</definedName>
    <definedName name="CED5_S" localSheetId="10">#REF!</definedName>
    <definedName name="CED5_S">#REF!</definedName>
    <definedName name="ced5A" localSheetId="10">#REF!</definedName>
    <definedName name="ced5A">#REF!</definedName>
    <definedName name="ced5BM" localSheetId="10">#REF!</definedName>
    <definedName name="ced5BM">#REF!</definedName>
    <definedName name="ced5BS" localSheetId="10">#REF!</definedName>
    <definedName name="ced5BS">#REF!</definedName>
    <definedName name="ced5CM" localSheetId="10">#REF!</definedName>
    <definedName name="ced5CM">#REF!</definedName>
    <definedName name="ced5CS" localSheetId="10">#REF!</definedName>
    <definedName name="ced5CS">#REF!</definedName>
    <definedName name="CEDULA" localSheetId="10">#REF!</definedName>
    <definedName name="CEDULA">#REF!</definedName>
    <definedName name="CFCALC" localSheetId="10">#REF!</definedName>
    <definedName name="CFCALC">#REF!</definedName>
    <definedName name="CFCALC2" localSheetId="10">#REF!</definedName>
    <definedName name="CFCALC2">#REF!</definedName>
    <definedName name="CFCALCHEAD" localSheetId="10">#REF!</definedName>
    <definedName name="CFCALCHEAD">#REF!</definedName>
    <definedName name="CFHEADER" localSheetId="10">#REF!</definedName>
    <definedName name="CFHEADER">#REF!</definedName>
    <definedName name="changeofap" localSheetId="10">#REF!</definedName>
    <definedName name="changeofap">#REF!</definedName>
    <definedName name="changeofar" localSheetId="10">#REF!</definedName>
    <definedName name="changeofar">#REF!</definedName>
    <definedName name="changeofho" localSheetId="10">#REF!</definedName>
    <definedName name="changeofho">#REF!</definedName>
    <definedName name="changeofmi" localSheetId="10">#REF!</definedName>
    <definedName name="changeofmi">#REF!</definedName>
    <definedName name="changeofpl" localSheetId="10">#REF!</definedName>
    <definedName name="changeofpl">#REF!</definedName>
    <definedName name="changeofre" localSheetId="10">#REF!</definedName>
    <definedName name="changeofre">#REF!</definedName>
    <definedName name="changeofsc" localSheetId="10">#REF!</definedName>
    <definedName name="changeofsc">#REF!</definedName>
    <definedName name="changeofts" localSheetId="10">#REF!</definedName>
    <definedName name="changeofts">#REF!</definedName>
    <definedName name="CHF" localSheetId="10">'[4]Курсы валют ЦБ'!#REF!</definedName>
    <definedName name="CHF">'[4]Курсы валют ЦБ'!#REF!</definedName>
    <definedName name="CINCO" localSheetId="10">#REF!</definedName>
    <definedName name="CINCO">#REF!</definedName>
    <definedName name="CIP" localSheetId="10">#REF!</definedName>
    <definedName name="CIP">#REF!</definedName>
    <definedName name="CIP_mov" localSheetId="10">#REF!</definedName>
    <definedName name="CIP_mov">#REF!</definedName>
    <definedName name="CL_CQ_1" localSheetId="10">#REF!</definedName>
    <definedName name="CL_CQ_1">#REF!</definedName>
    <definedName name="CL_CQ_2" localSheetId="10">#REF!</definedName>
    <definedName name="CL_CQ_2">#REF!</definedName>
    <definedName name="CL_CQ_3" localSheetId="10">#REF!</definedName>
    <definedName name="CL_CQ_3">#REF!</definedName>
    <definedName name="CL_CQ_4" localSheetId="10">#REF!</definedName>
    <definedName name="CL_CQ_4">#REF!</definedName>
    <definedName name="CL_Description" localSheetId="10">#REF!</definedName>
    <definedName name="CL_Description">#REF!</definedName>
    <definedName name="CL_GL" localSheetId="10">#REF!</definedName>
    <definedName name="CL_GL">#REF!</definedName>
    <definedName name="clara" localSheetId="10">'[14]4'!#REF!</definedName>
    <definedName name="clara">'[14]4'!#REF!</definedName>
    <definedName name="clik1">[0]!clik1</definedName>
    <definedName name="clik2">[0]!clik2</definedName>
    <definedName name="Clos_rate" localSheetId="10">#REF!</definedName>
    <definedName name="Clos_rate">#REF!</definedName>
    <definedName name="CLOSING">'[12]Rates &amp; Dates'!$I$10:$I$21,'[12]Rates &amp; Dates'!$M$10:$M$21</definedName>
    <definedName name="cod_bum" localSheetId="10">#REF!</definedName>
    <definedName name="cod_bum">#REF!</definedName>
    <definedName name="Conclusion">[15]HideSheet!$A$16:$A$19</definedName>
    <definedName name="conf1">'[4]#ССЫЛКА'!$C$12:$BE$67</definedName>
    <definedName name="conf2">'[4]#ССЫЛКА'!$C$12:$BE$67</definedName>
    <definedName name="confl">'[4]#ССЫЛКА'!$C$12:$BE$67</definedName>
    <definedName name="conflict">'[4]#ССЫЛКА'!$C$12:$BE$67</definedName>
    <definedName name="conflict__">'[4]#ССЫЛКА'!$C$12:$BE$67</definedName>
    <definedName name="conflict_1">'[4]#ССЫЛКА'!$C$12:$BE$67</definedName>
    <definedName name="conflict_2">'[4]#ССЫЛКА'!$C$12:$BE$67</definedName>
    <definedName name="conflict_ii">'[4]#ССЫЛКА'!$C$12:$BE$67</definedName>
    <definedName name="conflict1">'[4]#ССЫЛКА'!$C$12:$BE$67</definedName>
    <definedName name="conflict1__">'[4]#ССЫЛКА'!$C$12:$BE$67</definedName>
    <definedName name="conflict2">'[4]#ССЫЛКА'!$C$12:$BE$67</definedName>
    <definedName name="conflict2__">'[4]#ССЫЛКА'!$C$12:$BE$67</definedName>
    <definedName name="conflictanother">'[4]#ССЫЛКА'!$C$12:$BE$67</definedName>
    <definedName name="COS_CQ_1" localSheetId="10">#REF!</definedName>
    <definedName name="COS_CQ_1">#REF!</definedName>
    <definedName name="COS_CQ_2" localSheetId="10">#REF!</definedName>
    <definedName name="COS_CQ_2">#REF!</definedName>
    <definedName name="COS_CQ_3" localSheetId="10">#REF!</definedName>
    <definedName name="COS_CQ_3">#REF!</definedName>
    <definedName name="COS_CQ_4" localSheetId="10">#REF!</definedName>
    <definedName name="COS_CQ_4">#REF!</definedName>
    <definedName name="COS_Description" localSheetId="10">#REF!</definedName>
    <definedName name="COS_Description">#REF!</definedName>
    <definedName name="COS_GL" localSheetId="10">#REF!</definedName>
    <definedName name="COS_GL">#REF!</definedName>
    <definedName name="COSTOS" localSheetId="10">'[16]10A'!#REF!</definedName>
    <definedName name="COSTOS">'[16]10A'!#REF!</definedName>
    <definedName name="cred">'[17]Проводки''02'!$B$37:$C$37,'[17]Проводки''02'!$B$50:$C$50,'[17]Проводки''02'!$B$53:$C$53,'[17]Проводки''02'!$B$69:$C$69,'[17]Проводки''02'!$B$78:$C$78,'[17]Проводки''02'!$B$81:$C$81,'[17]Проводки''02'!$B$84:$C$84,'[17]Проводки''02'!$C$89,'[17]Проводки''02'!$B$89,'[17]Проводки''02'!$B$98:$C$98,'[17]Проводки''02'!$B$101:$C$101,'[17]Проводки''02'!$B$104:$C$104,'[17]Проводки''02'!$B$108:$C$108,'[17]Проводки''02'!$B$111:$C$111,'[17]Проводки''02'!$B$118:$C$119,'[17]Проводки''02'!$C$119,'[17]Проводки''02'!$B$121:$C$121,'[17]Проводки''02'!$B$124:$C$124,'[17]Проводки''02'!$B$127:$C$127,'[17]Проводки''02'!$B$130:$C$130,'[17]Проводки''02'!$B$138:$C$138</definedName>
    <definedName name="credits" localSheetId="10">'[18]Проводки''02'!$B$37:$C$37,'[18]Проводки''02'!$B$50:$C$50,'[18]Проводки''02'!$B$53:$C$53,'[18]Проводки''02'!$B$69:$C$69,'[18]Проводки''02'!$B$78:$C$78,'[18]Проводки''02'!$B$81:$C$81,'[18]Проводки''02'!$B$84:$C$84,'[18]Проводки''02'!$C$89,'[18]Проводки''02'!$B$89,'[18]Проводки''02'!$B$99:$C$99,'[18]Проводки''02'!#REF!,'[18]Проводки''02'!#REF!,'[18]Проводки''02'!#REF!,'[18]Проводки''02'!#REF!,'[18]Проводки''02'!$B$123:$C$124,'[18]Проводки''02'!$C$124,'[18]Проводки''02'!$B$126:$C$126,'[18]Проводки''02'!$B$129:$C$129,'[18]Проводки''02'!$B$132:$C$132,'[18]Проводки''02'!$B$135:$C$135,'[18]Проводки''02'!$B$144:$C$144</definedName>
    <definedName name="credits">'[18]Проводки''02'!$B$37:$C$37,'[18]Проводки''02'!$B$50:$C$50,'[18]Проводки''02'!$B$53:$C$53,'[18]Проводки''02'!$B$69:$C$69,'[18]Проводки''02'!$B$78:$C$78,'[18]Проводки''02'!$B$81:$C$81,'[18]Проводки''02'!$B$84:$C$84,'[18]Проводки''02'!$C$89,'[18]Проводки''02'!$B$89,'[18]Проводки''02'!$B$99:$C$99,'[18]Проводки''02'!#REF!,'[18]Проводки''02'!#REF!,'[18]Проводки''02'!#REF!,'[18]Проводки''02'!#REF!,'[18]Проводки''02'!$B$123:$C$124,'[18]Проводки''02'!$C$124,'[18]Проводки''02'!$B$126:$C$126,'[18]Проводки''02'!$B$129:$C$129,'[18]Проводки''02'!$B$132:$C$132,'[18]Проводки''02'!$B$135:$C$135,'[18]Проводки''02'!$B$144:$C$144</definedName>
    <definedName name="CUATRO" localSheetId="10">#REF!</definedName>
    <definedName name="CUATRO">#REF!</definedName>
    <definedName name="Current" localSheetId="10">#REF!</definedName>
    <definedName name="Current">#REF!</definedName>
    <definedName name="CY_all_Assets">'[19]Summary of Misstatements'!$D$35</definedName>
    <definedName name="CY_all_Equity">'[19]Summary of Misstatements'!$G$35</definedName>
    <definedName name="CY_all_Income">'[19]Summary of Misstatements'!$H$35</definedName>
    <definedName name="CY_all_Liabs">'[19]Summary of Misstatements'!$E$35</definedName>
    <definedName name="CY_all_RetEarn_bf">'[19]Summary of Misstatements'!$F$35</definedName>
    <definedName name="CY_Cash_Div_Dec" localSheetId="10">'[20]Income Statement'!#REF!</definedName>
    <definedName name="CY_Cash_Div_Dec">'[20]Income Statement'!#REF!</definedName>
    <definedName name="CY_CASH_DIVIDENDS_DECLARED__per_common_share" localSheetId="10">'[20]Income Statement'!#REF!</definedName>
    <definedName name="CY_CASH_DIVIDENDS_DECLARED__per_common_share">'[20]Income Statement'!#REF!</definedName>
    <definedName name="CY_Earnings_per_share" localSheetId="10">[20]Ratios!#REF!</definedName>
    <definedName name="CY_Earnings_per_share">[20]Ratios!#REF!</definedName>
    <definedName name="CY_knw_Assets">'[19]Summary of Misstatements'!$D$12</definedName>
    <definedName name="CY_knw_Equity">'[19]Summary of Misstatements'!$G$12</definedName>
    <definedName name="CY_knw_Income">'[19]Summary of Misstatements'!$H$12</definedName>
    <definedName name="CY_knw_Liabs">'[19]Summary of Misstatements'!$E$12</definedName>
    <definedName name="CY_knw_RetEarn_bf">'[19]Summary of Misstatements'!$F$12</definedName>
    <definedName name="CY_lik_Equity" localSheetId="10">#REF!</definedName>
    <definedName name="CY_lik_Equity">#REF!</definedName>
    <definedName name="CY_lik_Income" localSheetId="10">#REF!</definedName>
    <definedName name="CY_lik_Income">#REF!</definedName>
    <definedName name="CY_lik_Liabs" localSheetId="10">#REF!</definedName>
    <definedName name="CY_lik_Liabs">#REF!</definedName>
    <definedName name="CY_lik_RetEarn_bf" localSheetId="10">#REF!</definedName>
    <definedName name="CY_lik_RetEarn_bf">#REF!</definedName>
    <definedName name="CY_LT_Debt" localSheetId="10">'[20]Balance Sheet'!#REF!</definedName>
    <definedName name="CY_LT_Debt">'[20]Balance Sheet'!#REF!</definedName>
    <definedName name="CY_Market_Value_of_Equity" localSheetId="10">'[20]Income Statement'!#REF!</definedName>
    <definedName name="CY_Market_Value_of_Equity">'[20]Income Statement'!#REF!</definedName>
    <definedName name="CY_Tangible_Net_Worth" localSheetId="10">'[20]Income Statement'!#REF!</definedName>
    <definedName name="CY_Tangible_Net_Worth">'[20]Income Statement'!#REF!</definedName>
    <definedName name="CY_tx_all_Equity">'[19]Summary of Misstatements'!$L$35</definedName>
    <definedName name="CY_tx_all_Income">'[19]Summary of Misstatements'!$M$35</definedName>
    <definedName name="CY_tx_all_Liabs" localSheetId="10">#REF!</definedName>
    <definedName name="CY_tx_all_Liabs">#REF!</definedName>
    <definedName name="CY_tx_all_RetEarn_bf">'[19]Summary of Misstatements'!$K$35</definedName>
    <definedName name="CY_tx_knw_Equity">'[19]Summary of Misstatements'!$L$12</definedName>
    <definedName name="CY_tx_knw_Income">'[19]Summary of Misstatements'!$M$12</definedName>
    <definedName name="CY_tx_knw_Liabs">'[19]Summary of Misstatements'!$J$12</definedName>
    <definedName name="CY_tx_knw_RetEarn_bf">'[19]Summary of Misstatements'!$K$12</definedName>
    <definedName name="CY_tx_lik_Equity" localSheetId="10">#REF!</definedName>
    <definedName name="CY_tx_lik_Equity">#REF!</definedName>
    <definedName name="CY_tx_lik_Income" localSheetId="10">#REF!</definedName>
    <definedName name="CY_tx_lik_Income">#REF!</definedName>
    <definedName name="CY_tx_lik_Liabs" localSheetId="10">#REF!</definedName>
    <definedName name="CY_tx_lik_Liabs">#REF!</definedName>
    <definedName name="CY_tx_lik_RetEarn_bf" localSheetId="10">#REF!</definedName>
    <definedName name="CY_tx_lik_RetEarn_bf">#REF!</definedName>
    <definedName name="CY_Weighted_Average" localSheetId="10">'[20]Income Statement'!#REF!</definedName>
    <definedName name="CY_Weighted_Average">'[20]Income Statement'!#REF!</definedName>
    <definedName name="CY_Working_Capital" localSheetId="10">'[20]Income Statement'!#REF!</definedName>
    <definedName name="CY_Working_Capital">'[20]Income Statement'!#REF!</definedName>
    <definedName name="cy00tex">[4]Консолидация!$E$146,[4]Консолидация!$E$148:$E$151</definedName>
    <definedName name="cy01tex">[4]Консолидация!$F$146,[4]Консолидация!$F$148:$F$151</definedName>
    <definedName name="cy02tex">[4]Консолидация!$G$146,[4]Консолидация!$G$148:$G$151</definedName>
    <definedName name="CY4b2" localSheetId="10">#REF!</definedName>
    <definedName name="CY4b2">#REF!</definedName>
    <definedName name="CY4b2Ac" localSheetId="10">#REF!</definedName>
    <definedName name="CY4b2Ac">#REF!</definedName>
    <definedName name="CY4c2" localSheetId="10">#REF!</definedName>
    <definedName name="CY4c2">#REF!</definedName>
    <definedName name="CY4c2Ac" localSheetId="10">#REF!</definedName>
    <definedName name="CY4c2Ac">#REF!</definedName>
    <definedName name="CY5Suc" localSheetId="10">#REF!</definedName>
    <definedName name="CY5Suc">#REF!</definedName>
    <definedName name="CY5SucAc" localSheetId="10">#REF!</definedName>
    <definedName name="CY5SucAc">#REF!</definedName>
    <definedName name="cy99tex">[4]Консолидация!$D$146,[4]Консолидация!$D$148:$D$151</definedName>
    <definedName name="D" localSheetId="10">#REF!</definedName>
    <definedName name="D">#REF!</definedName>
    <definedName name="dat_1" localSheetId="10">#REF!</definedName>
    <definedName name="dat_1">#REF!</definedName>
    <definedName name="Data" localSheetId="5">#REF!</definedName>
    <definedName name="data" localSheetId="10">#REF!</definedName>
    <definedName name="data">#REF!</definedName>
    <definedName name="data0">[21]Итог!$C$19:$F$470</definedName>
    <definedName name="DataB" localSheetId="10">#REF!</definedName>
    <definedName name="DataB">#REF!</definedName>
    <definedName name="_xlnm.Database" localSheetId="10">#REF!</definedName>
    <definedName name="_xlnm.Database">#REF!</definedName>
    <definedName name="DATE">'[22]PAGE 1'!$B$1</definedName>
    <definedName name="date0" localSheetId="10">[21]Итог!#REF!</definedName>
    <definedName name="date0">[21]Итог!#REF!</definedName>
    <definedName name="Date1" localSheetId="5">[23]Date!$B$1</definedName>
    <definedName name="date1">'[21]1'!$D$2</definedName>
    <definedName name="DATE2" localSheetId="5">'[22]PAGE 1'!$B$2</definedName>
    <definedName name="date2">'[21]2'!$D$2</definedName>
    <definedName name="date3" localSheetId="5">[24]Date!$B$2</definedName>
    <definedName name="date3">'[21]3'!$D$2</definedName>
    <definedName name="date4">'[21]4'!$D$6</definedName>
    <definedName name="DateBegin" localSheetId="10">#REF!</definedName>
    <definedName name="DateBegin">#REF!</definedName>
    <definedName name="DateEnd" localSheetId="10">#REF!</definedName>
    <definedName name="DateEnd">#REF!</definedName>
    <definedName name="DateRest" localSheetId="10">#REF!</definedName>
    <definedName name="DateRest">#REF!</definedName>
    <definedName name="DATES" localSheetId="10">#REF!</definedName>
    <definedName name="DATES">#REF!</definedName>
    <definedName name="DATOS" localSheetId="10">#REF!</definedName>
    <definedName name="DATOS">#REF!</definedName>
    <definedName name="Days_in_Receivables">'[10]Statistics {pbc}'!$A$2:$G$2,'[10]Statistics {pbc}'!$A$8:$G$8</definedName>
    <definedName name="dcCred_RANGE" localSheetId="10">#REF!</definedName>
    <definedName name="dcCred_RANGE">#REF!</definedName>
    <definedName name="dd" localSheetId="5">Scheduled_Payment+Extra_Payment</definedName>
    <definedName name="dd">'[4]#ССЫЛКА'!$A$2:$C$560</definedName>
    <definedName name="Debet" localSheetId="10">'[4]5222 '!#REF!</definedName>
    <definedName name="Debet">'[4]5222 '!#REF!</definedName>
    <definedName name="Debt_Exp_to_Sales">'[10]Statistics {pbc}'!$A$2:$G$2,'[10]Statistics {pbc}'!$A$11:$G$11</definedName>
    <definedName name="DefferdTaxNote" localSheetId="5">#REF!</definedName>
    <definedName name="del_el_d9">[0]!del_el_d9</definedName>
    <definedName name="del_el2">[0]!del_el2</definedName>
    <definedName name="del_sp2">[0]!del_sp2</definedName>
    <definedName name="DEM_TOM" localSheetId="10">[4]СЭЛТ!#REF!</definedName>
    <definedName name="DEM_TOM">[4]СЭЛТ!#REF!</definedName>
    <definedName name="DEM_TOM_A" localSheetId="10">[4]СЭЛТ!#REF!</definedName>
    <definedName name="DEM_TOM_A">[4]СЭЛТ!#REF!</definedName>
    <definedName name="DEM_TOM_B" localSheetId="10">[4]СЭЛТ!#REF!</definedName>
    <definedName name="DEM_TOM_B">[4]СЭЛТ!#REF!</definedName>
    <definedName name="DEM_TOM_D" localSheetId="10">[4]СЭЛТ!#REF!</definedName>
    <definedName name="DEM_TOM_D">[4]СЭЛТ!#REF!</definedName>
    <definedName name="DEM_TOM_T" localSheetId="10">[4]СЭЛТ!#REF!</definedName>
    <definedName name="DEM_TOM_T">[4]СЭЛТ!#REF!</definedName>
    <definedName name="DEM_TOM_V" localSheetId="10">[4]СЭЛТ!#REF!</definedName>
    <definedName name="DEM_TOM_V">[4]СЭЛТ!#REF!</definedName>
    <definedName name="DEPOSITS" localSheetId="10">#REF!</definedName>
    <definedName name="DEPOSITS">#REF!</definedName>
    <definedName name="Det_141" localSheetId="10">'[4]5'!#REF!</definedName>
    <definedName name="Det_141">'[4]5'!#REF!</definedName>
    <definedName name="DET_145" localSheetId="10">#REF!</definedName>
    <definedName name="DET_145">#REF!</definedName>
    <definedName name="dhha" localSheetId="10">#REF!</definedName>
    <definedName name="dhha">#REF!</definedName>
    <definedName name="dialog10_no">[0]!dialog10_no</definedName>
    <definedName name="dialog10_yes">[0]!dialog10_yes</definedName>
    <definedName name="dialog11_1_no">[0]!dialog11_1_no</definedName>
    <definedName name="dialog11_1_yes">[0]!dialog11_1_yes</definedName>
    <definedName name="dialog8_no">[0]!dialog8_no</definedName>
    <definedName name="dialog8_yes">[0]!dialog8_yes</definedName>
    <definedName name="DIEZ" localSheetId="10">#REF!</definedName>
    <definedName name="DIEZ">#REF!</definedName>
    <definedName name="Difference" localSheetId="10">'[7]Excess Calc'!#REF!</definedName>
    <definedName name="Difference">'[7]Excess Calc'!#REF!</definedName>
    <definedName name="Disaggregations" localSheetId="10">[25]Depreciation!#REF!</definedName>
    <definedName name="Disaggregations">[25]Depreciation!#REF!</definedName>
    <definedName name="discountRate" localSheetId="10">#REF!</definedName>
    <definedName name="discountRate">#REF!</definedName>
    <definedName name="DK" localSheetId="10">#REF!</definedName>
    <definedName name="DK">#REF!</definedName>
    <definedName name="DOS" localSheetId="10">#REF!</definedName>
    <definedName name="DOS">#REF!</definedName>
    <definedName name="dr">'[4]#ССЫЛКА'!$B$2:$D$552</definedName>
    <definedName name="dsAllValSum" localSheetId="10">#REF!</definedName>
    <definedName name="dsAllValSum">#REF!</definedName>
    <definedName name="dsBankGuar_PORTF" localSheetId="10">[26]Гарантии!#REF!</definedName>
    <definedName name="dsBankGuar_PORTF">[26]Гарантии!#REF!</definedName>
    <definedName name="dsCRED_RANGE" localSheetId="10">#REF!</definedName>
    <definedName name="dsCRED_RANGE">#REF!</definedName>
    <definedName name="dsCredF_PORTF" localSheetId="10">#REF!</definedName>
    <definedName name="dsCredF_PORTF">#REF!</definedName>
    <definedName name="dsCredFFL_PORTF" localSheetId="10">#REF!</definedName>
    <definedName name="dsCredFFL_PORTF">#REF!</definedName>
    <definedName name="dsCredG_PORTF" localSheetId="10">#REF!</definedName>
    <definedName name="dsCredG_PORTF">#REF!</definedName>
    <definedName name="dsCredGFL_PORTF" localSheetId="10">#REF!</definedName>
    <definedName name="dsCredGFL_PORTF">#REF!</definedName>
    <definedName name="dsKRED_PORTF" localSheetId="10">#REF!</definedName>
    <definedName name="dsKRED_PORTF">#REF!</definedName>
    <definedName name="dsKREDFL_PORTF" localSheetId="10">#REF!</definedName>
    <definedName name="dsKREDFL_PORTF">#REF!</definedName>
    <definedName name="dule01" localSheetId="17">[0]!sbros_all2</definedName>
    <definedName name="E" localSheetId="10">#REF!</definedName>
    <definedName name="E">#REF!</definedName>
    <definedName name="ECU" localSheetId="10">'[4]Курсы валют ЦБ'!#REF!</definedName>
    <definedName name="ECU">'[4]Курсы валют ЦБ'!#REF!</definedName>
    <definedName name="eer" localSheetId="10">#REF!</definedName>
    <definedName name="eer">#REF!</definedName>
    <definedName name="ENC" localSheetId="10">#REF!</definedName>
    <definedName name="ENC">#REF!</definedName>
    <definedName name="End_Bal" localSheetId="10">#REF!</definedName>
    <definedName name="End_Bal">#REF!</definedName>
    <definedName name="end_row">#N/A</definedName>
    <definedName name="enr" localSheetId="10">'[4]#ССЫЛКА'!#REF!</definedName>
    <definedName name="enr">'[4]#ССЫЛКА'!#REF!</definedName>
    <definedName name="EQ_CQ_1" localSheetId="10">#REF!</definedName>
    <definedName name="EQ_CQ_1">#REF!</definedName>
    <definedName name="EQ_CQ_2" localSheetId="10">#REF!</definedName>
    <definedName name="EQ_CQ_2">#REF!</definedName>
    <definedName name="EQ_CQ_3" localSheetId="10">#REF!</definedName>
    <definedName name="EQ_CQ_3">#REF!</definedName>
    <definedName name="EQ_CQ_4" localSheetId="10">#REF!</definedName>
    <definedName name="EQ_CQ_4">#REF!</definedName>
    <definedName name="EQ_Description" localSheetId="10">#REF!</definedName>
    <definedName name="EQ_Description">#REF!</definedName>
    <definedName name="EQ_GL" localSheetId="10">#REF!</definedName>
    <definedName name="EQ_GL">#REF!</definedName>
    <definedName name="equity">'[4]#ССЫЛКА'!$T$224:$T$290</definedName>
    <definedName name="ESP" localSheetId="10">'[4]Курсы валют ЦБ'!#REF!</definedName>
    <definedName name="ESP">'[4]Курсы валют ЦБ'!#REF!</definedName>
    <definedName name="excess_count" localSheetId="10">#REF!</definedName>
    <definedName name="excess_count">#REF!</definedName>
    <definedName name="Expected_balance" localSheetId="10">'[7]Excess Calc'!#REF!</definedName>
    <definedName name="Expected_balance">'[7]Excess Calc'!#REF!</definedName>
    <definedName name="ext_cons_24_26">'[4]#ССЫЛКА'!$A$6:$F$3145</definedName>
    <definedName name="Extra_Pay" localSheetId="10">#REF!</definedName>
    <definedName name="Extra_Pay">#REF!</definedName>
    <definedName name="F_" localSheetId="10">#REF!</definedName>
    <definedName name="F_">#REF!</definedName>
    <definedName name="f_txt_no2">[0]!f_txt_no2</definedName>
    <definedName name="FA_Cost" localSheetId="10">#REF!</definedName>
    <definedName name="FA_Cost">#REF!</definedName>
    <definedName name="FA_cost_Gr" localSheetId="10">#REF!</definedName>
    <definedName name="FA_cost_Gr">#REF!</definedName>
    <definedName name="FA_Depr" localSheetId="10">#REF!</definedName>
    <definedName name="FA_Depr">#REF!</definedName>
    <definedName name="FA_depr_Gr" localSheetId="10">#REF!</definedName>
    <definedName name="FA_depr_Gr">#REF!</definedName>
    <definedName name="FA_mov_cost" localSheetId="10">#REF!</definedName>
    <definedName name="FA_mov_cost">#REF!</definedName>
    <definedName name="FA_mov_depr" localSheetId="10">#REF!</definedName>
    <definedName name="FA_mov_depr">#REF!</definedName>
    <definedName name="fdsf">'[4]#ССЫЛКА'!$C$12:$BE$67</definedName>
    <definedName name="ff" localSheetId="5" hidden="1">#REF!</definedName>
    <definedName name="ff">'[4]#ССЫЛКА'!$G$2:$H$514</definedName>
    <definedName name="fgtg">'[4]Перечень компаний'!$B$9:$B$40,'[4]Перечень компаний'!$E$9:$E$40,'[4]Перечень компаний'!$H$9:$H$40,'[4]Перечень компаний'!$E$41:$E$41,'[4]Перечень компаний'!$E$41,'[4]Перечень компаний'!$N$9:$N$40</definedName>
    <definedName name="FIM" localSheetId="10">'[4]Курсы валют ЦБ'!#REF!</definedName>
    <definedName name="FIM">'[4]Курсы валют ЦБ'!#REF!</definedName>
    <definedName name="First_Cost" localSheetId="10">#REF!</definedName>
    <definedName name="First_Cost">#REF!</definedName>
    <definedName name="First_Cost_in" localSheetId="10">#REF!</definedName>
    <definedName name="First_Cost_in">#REF!</definedName>
    <definedName name="First_Cost_out" localSheetId="10">#REF!</definedName>
    <definedName name="First_Cost_out">#REF!</definedName>
    <definedName name="FIXEDASSETS" localSheetId="10">#REF!</definedName>
    <definedName name="FIXEDASSETS">#REF!</definedName>
    <definedName name="FORData" localSheetId="10">[27]!FORData</definedName>
    <definedName name="FORData" localSheetId="7">[27]!FORData</definedName>
    <definedName name="FORData">[27]!FORData</definedName>
    <definedName name="FRF" localSheetId="10">'[4]Курсы валют ЦБ'!#REF!</definedName>
    <definedName name="FRF">'[4]Курсы валют ЦБ'!#REF!</definedName>
    <definedName name="Full_Print" localSheetId="10">#REF!</definedName>
    <definedName name="Full_Print">#REF!</definedName>
    <definedName name="FUNCTIONAL">'[12]Rates &amp; Dates'!$H$10:$K$21</definedName>
    <definedName name="G" localSheetId="10">#REF!</definedName>
    <definedName name="G">#REF!</definedName>
    <definedName name="GASTOS" localSheetId="10">#REF!</definedName>
    <definedName name="GASTOS">#REF!</definedName>
    <definedName name="GE_CQ_1" localSheetId="10">#REF!</definedName>
    <definedName name="GE_CQ_1">#REF!</definedName>
    <definedName name="GE_CQ_2" localSheetId="10">#REF!</definedName>
    <definedName name="GE_CQ_2">#REF!</definedName>
    <definedName name="GE_CQ_3" localSheetId="10">#REF!</definedName>
    <definedName name="GE_CQ_3">#REF!</definedName>
    <definedName name="GE_CQ_4" localSheetId="10">#REF!</definedName>
    <definedName name="GE_CQ_4">#REF!</definedName>
    <definedName name="GE_Description" localSheetId="10">#REF!</definedName>
    <definedName name="GE_Description">#REF!</definedName>
    <definedName name="GE_GL" localSheetId="10">#REF!</definedName>
    <definedName name="GE_GL">#REF!</definedName>
    <definedName name="gfg" localSheetId="10">#REF!</definedName>
    <definedName name="gfg">#REF!</definedName>
    <definedName name="Global_view">'[4]#ССЫЛКА'!$A$1:$AU$90</definedName>
    <definedName name="GM_CQ_1" localSheetId="10">#REF!</definedName>
    <definedName name="GM_CQ_1">#REF!</definedName>
    <definedName name="GM_CQ_2" localSheetId="10">#REF!</definedName>
    <definedName name="GM_CQ_2">#REF!</definedName>
    <definedName name="GM_CQ_3" localSheetId="10">#REF!</definedName>
    <definedName name="GM_CQ_3">#REF!</definedName>
    <definedName name="GM_CQ_4" localSheetId="10">#REF!</definedName>
    <definedName name="GM_CQ_4">#REF!</definedName>
    <definedName name="GM_Description" localSheetId="10">#REF!</definedName>
    <definedName name="GM_Description">#REF!</definedName>
    <definedName name="GM_GL" localSheetId="10">#REF!</definedName>
    <definedName name="GM_GL">#REF!</definedName>
    <definedName name="Goris" localSheetId="10">'[4]5222 '!#REF!</definedName>
    <definedName name="Goris">'[4]5222 '!#REF!</definedName>
    <definedName name="GTOS.VTAS.ADM." localSheetId="10">'[28]4'!#REF!</definedName>
    <definedName name="GTOS.VTAS.ADM.">'[28]4'!#REF!</definedName>
    <definedName name="gy">'[4]#ССЫЛКА'!$A$2:$C$477</definedName>
    <definedName name="H" localSheetId="10">#REF!</definedName>
    <definedName name="H">#REF!</definedName>
    <definedName name="half98">'[4]#ССЫЛКА'!$C$67</definedName>
    <definedName name="HAR" localSheetId="10">'[16]10A'!#REF!</definedName>
    <definedName name="HAR">'[16]10A'!#REF!</definedName>
    <definedName name="HARI" localSheetId="10">'[16]10A'!#REF!</definedName>
    <definedName name="HARI">'[16]10A'!#REF!</definedName>
    <definedName name="HARIN" localSheetId="10">'[16]10A'!#REF!</definedName>
    <definedName name="HARIN">'[16]10A'!#REF!</definedName>
    <definedName name="HARINA" localSheetId="10">'[16]10A'!#REF!</definedName>
    <definedName name="HARINA">'[16]10A'!#REF!</definedName>
    <definedName name="Header_Row" localSheetId="10">ROW(#REF!)</definedName>
    <definedName name="Header_Row">ROW(#REF!)</definedName>
    <definedName name="hhhhh">'[4]Перечень компаний'!$B$9:$B$40,'[4]Перечень компаний'!$E$9:$E$40,'[4]Перечень компаний'!$H$9:$H$40,'[4]Перечень компаний'!$E$41:$E$41,'[4]Перечень компаний'!$E$41,'[4]Перечень компаний'!$N$9:$N$40</definedName>
    <definedName name="hjiort" localSheetId="10" hidden="1">[29]XREF!#REF!</definedName>
    <definedName name="hjiort" hidden="1">[29]XREF!#REF!</definedName>
    <definedName name="hjuyt">{1}</definedName>
    <definedName name="homr" localSheetId="10">'[4]#ССЫЛКА'!#REF!</definedName>
    <definedName name="homr">'[4]#ССЫЛКА'!#REF!</definedName>
    <definedName name="homr1" localSheetId="10">'[4]#ССЫЛКА'!#REF!</definedName>
    <definedName name="homr1">'[4]#ССЫЛКА'!#REF!</definedName>
    <definedName name="HTMamount">'[8]HTM Securities'!$M$31:$M$64</definedName>
    <definedName name="hytf">'[30]CMA Calculations- R Factor'!$H$16</definedName>
    <definedName name="I" localSheetId="10">#REF!</definedName>
    <definedName name="I">#REF!</definedName>
    <definedName name="IASFS">[4]МСФО!$A$1:$B$433</definedName>
    <definedName name="ICK" localSheetId="10">'[4]Курсы валют ЦБ'!#REF!</definedName>
    <definedName name="ICK">'[4]Курсы валют ЦБ'!#REF!</definedName>
    <definedName name="IFH" localSheetId="10">#REF!</definedName>
    <definedName name="IFH">#REF!</definedName>
    <definedName name="impair98" localSheetId="10">[4]Инвестиции!#REF!</definedName>
    <definedName name="impair98">[4]Инвестиции!#REF!</definedName>
    <definedName name="impair99" localSheetId="10">[4]Инвестиции!#REF!</definedName>
    <definedName name="impair99">[4]Инвестиции!#REF!</definedName>
    <definedName name="impbal" localSheetId="10">#REF!</definedName>
    <definedName name="impbal">#REF!</definedName>
    <definedName name="imprepyG" localSheetId="10">#REF!</definedName>
    <definedName name="imprepyG">#REF!</definedName>
    <definedName name="IMPTO" localSheetId="10">#REF!</definedName>
    <definedName name="IMPTO">#REF!</definedName>
    <definedName name="index_for_95">'[4]#ССЫЛКА'!$C$48</definedName>
    <definedName name="index_for_96">'[4]#ССЫЛКА'!$C$49</definedName>
    <definedName name="index_for_97">'[4]#ССЫЛКА'!$C$50</definedName>
    <definedName name="index_for_half_97">'[4]#ССЫЛКА'!$B$53</definedName>
    <definedName name="infadd98" localSheetId="10">[4]Инвестиции!#REF!</definedName>
    <definedName name="infadd98">[4]Инвестиции!#REF!</definedName>
    <definedName name="infadd99" localSheetId="10">[4]Инвестиции!#REF!</definedName>
    <definedName name="infadd99">[4]Инвестиции!#REF!</definedName>
    <definedName name="infdisp98" localSheetId="10">[4]Инвестиции!#REF!</definedName>
    <definedName name="infdisp98">[4]Инвестиции!#REF!</definedName>
    <definedName name="infdisp99" localSheetId="10">[4]Инвестиции!#REF!</definedName>
    <definedName name="infdisp99">[4]Инвестиции!#REF!</definedName>
    <definedName name="inflation" localSheetId="10">#REF!</definedName>
    <definedName name="inflation">#REF!</definedName>
    <definedName name="inflation_2q" localSheetId="10">#REF!</definedName>
    <definedName name="inflation_2q">#REF!</definedName>
    <definedName name="inflation_3q" localSheetId="10">#REF!</definedName>
    <definedName name="inflation_3q">#REF!</definedName>
    <definedName name="INFO_EXE_SERVER_PATH" hidden="1">"C:\ALCHEMEX60\ALCHEMEX.EXE"</definedName>
    <definedName name="INFO_INSTANCE_ID" hidden="1">"1018"</definedName>
    <definedName name="INFO_INSTANCE_NAME" hidden="1">"Zambia Management Pack D-2-0 (P2007)_20100719_16_08_24_088.xls"</definedName>
    <definedName name="INFO_REPORT_CODE" hidden="1">"P9-FI01-2-0"</definedName>
    <definedName name="INFO_REPORT_ID" hidden="1">"4"</definedName>
    <definedName name="INFO_REPORT_NAME" hidden="1">"Zambia Management Pack D-2-0 (P2007)"</definedName>
    <definedName name="INFO_RUN_USER" hidden="1">""</definedName>
    <definedName name="INFO_RUN_WORKSTATION" hidden="1">"PANSERVER"</definedName>
    <definedName name="infob98" localSheetId="10">[4]Инвестиции!#REF!</definedName>
    <definedName name="infob98">[4]Инвестиции!#REF!</definedName>
    <definedName name="infob99" localSheetId="10">[4]Инвестиции!#REF!</definedName>
    <definedName name="infob99">[4]Инвестиции!#REF!</definedName>
    <definedName name="inftotal98" localSheetId="10">[4]Инвестиции!#REF!</definedName>
    <definedName name="inftotal98">[4]Инвестиции!#REF!</definedName>
    <definedName name="inftotal99" localSheetId="10">[4]Инвестиции!#REF!</definedName>
    <definedName name="inftotal99">[4]Инвестиции!#REF!</definedName>
    <definedName name="Int" localSheetId="10">#REF!</definedName>
    <definedName name="Int">#REF!</definedName>
    <definedName name="INT_CQ_1" localSheetId="10">#REF!</definedName>
    <definedName name="INT_CQ_1">#REF!</definedName>
    <definedName name="INT_CQ_2" localSheetId="10">#REF!</definedName>
    <definedName name="INT_CQ_2">#REF!</definedName>
    <definedName name="INT_CQ_3" localSheetId="10">#REF!</definedName>
    <definedName name="INT_CQ_3">#REF!</definedName>
    <definedName name="INT_CQ_4" localSheetId="10">#REF!</definedName>
    <definedName name="INT_CQ_4">#REF!</definedName>
    <definedName name="INT_Description" localSheetId="10">#REF!</definedName>
    <definedName name="INT_Description">#REF!</definedName>
    <definedName name="INT_GL" localSheetId="10">#REF!</definedName>
    <definedName name="INT_GL">#REF!</definedName>
    <definedName name="Interest_Rate" localSheetId="10">#REF!</definedName>
    <definedName name="Interest_Rate">#REF!</definedName>
    <definedName name="interm_level" localSheetId="10">#REF!</definedName>
    <definedName name="interm_level">#REF!</definedName>
    <definedName name="INV_CQ_1" localSheetId="10">#REF!</definedName>
    <definedName name="INV_CQ_1">#REF!</definedName>
    <definedName name="INV_CQ_2" localSheetId="10">#REF!</definedName>
    <definedName name="INV_CQ_2">#REF!</definedName>
    <definedName name="INV_CQ_3" localSheetId="10">#REF!</definedName>
    <definedName name="INV_CQ_3">#REF!</definedName>
    <definedName name="INV_CQ_4" localSheetId="10">#REF!</definedName>
    <definedName name="INV_CQ_4">#REF!</definedName>
    <definedName name="INV_Description" localSheetId="10">#REF!</definedName>
    <definedName name="INV_Description">#REF!</definedName>
    <definedName name="inv_far_gourdes" localSheetId="10">#REF!</definedName>
    <definedName name="inv_far_gourdes">#REF!</definedName>
    <definedName name="inv_feed_gourdes" localSheetId="10">#REF!</definedName>
    <definedName name="inv_feed_gourdes">#REF!</definedName>
    <definedName name="INV_GL" localSheetId="10">#REF!</definedName>
    <definedName name="INV_GL">#REF!</definedName>
    <definedName name="Investements" localSheetId="10">#REF!</definedName>
    <definedName name="Investements">#REF!</definedName>
    <definedName name="Investm" localSheetId="10">[4]!Возврат</definedName>
    <definedName name="Investm" localSheetId="7">[4]!Возврат</definedName>
    <definedName name="Investm">[4]!Возврат</definedName>
    <definedName name="INVESTMENTS" localSheetId="10">#REF!</definedName>
    <definedName name="INVESTMENTS">#REF!</definedName>
    <definedName name="IRP" localSheetId="10">'[4]Курсы валют ЦБ'!#REF!</definedName>
    <definedName name="IRP">'[4]Курсы валют ЦБ'!#REF!</definedName>
    <definedName name="is_cover" localSheetId="10">#REF!</definedName>
    <definedName name="is_cover">#REF!</definedName>
    <definedName name="IT_CQ_1" localSheetId="10">#REF!</definedName>
    <definedName name="IT_CQ_1">#REF!</definedName>
    <definedName name="IT_CQ_2" localSheetId="10">#REF!</definedName>
    <definedName name="IT_CQ_2">#REF!</definedName>
    <definedName name="IT_CQ_3" localSheetId="10">#REF!</definedName>
    <definedName name="IT_CQ_3">#REF!</definedName>
    <definedName name="IT_CQ_4" localSheetId="10">#REF!</definedName>
    <definedName name="IT_CQ_4">#REF!</definedName>
    <definedName name="IT_Description" localSheetId="10">#REF!</definedName>
    <definedName name="IT_Description">#REF!</definedName>
    <definedName name="IT_GL" localSheetId="10">#REF!</definedName>
    <definedName name="IT_GL">#REF!</definedName>
    <definedName name="ITL" localSheetId="10">'[4]Курсы валют ЦБ'!#REF!</definedName>
    <definedName name="ITL">'[4]Курсы валют ЦБ'!#REF!</definedName>
    <definedName name="itsum" localSheetId="10">'[31]НДС - июнь'!#REF!</definedName>
    <definedName name="itsum">'[31]НДС - июнь'!#REF!</definedName>
    <definedName name="izn_cost" localSheetId="10">#REF!</definedName>
    <definedName name="izn_cost">#REF!</definedName>
    <definedName name="izn_in" localSheetId="10">#REF!</definedName>
    <definedName name="izn_in">#REF!</definedName>
    <definedName name="izn_out" localSheetId="10">#REF!</definedName>
    <definedName name="izn_out">#REF!</definedName>
    <definedName name="j" localSheetId="5">'[14]1'!$O$19</definedName>
    <definedName name="J" localSheetId="10">#REF!</definedName>
    <definedName name="J">#REF!</definedName>
    <definedName name="jan_03">'[4]#ССЫЛКА'!$B$2:$D$569</definedName>
    <definedName name="jert">'[30]CMA Calculations- R Factor'!$H$16</definedName>
    <definedName name="jiiuud" localSheetId="10">#REF!</definedName>
    <definedName name="jiiuud">#REF!</definedName>
    <definedName name="jj">'[4]#ССЫЛКА'!$B$2:$D$478</definedName>
    <definedName name="JPY" localSheetId="10">'[4]Курсы валют ЦБ'!#REF!</definedName>
    <definedName name="JPY">'[4]Курсы валют ЦБ'!#REF!</definedName>
    <definedName name="JR4th" localSheetId="10">#REF!</definedName>
    <definedName name="JR4th">#REF!</definedName>
    <definedName name="JR5th" localSheetId="10">#REF!</definedName>
    <definedName name="JR5th">#REF!</definedName>
    <definedName name="JRLines" localSheetId="10">#REF!</definedName>
    <definedName name="JRLines">#REF!</definedName>
    <definedName name="jtrs">{1}</definedName>
    <definedName name="k">'[4]#ССЫЛКА'!$B$99</definedName>
    <definedName name="kawoi" hidden="1">"AS2DocumentBrowse"</definedName>
    <definedName name="Kentron" localSheetId="10">'[4]5222 '!#REF!</definedName>
    <definedName name="Kentron">'[4]5222 '!#REF!</definedName>
    <definedName name="Kind" localSheetId="10">#REF!</definedName>
    <definedName name="Kind">#REF!</definedName>
    <definedName name="KindEx" localSheetId="10">#REF!</definedName>
    <definedName name="KindEx">#REF!</definedName>
    <definedName name="kk" localSheetId="10" hidden="1">#REF!</definedName>
    <definedName name="kk" hidden="1">#REF!</definedName>
    <definedName name="KZT" localSheetId="10">'[4]Курсы валют ЦБ'!#REF!</definedName>
    <definedName name="KZT">'[4]Курсы валют ЦБ'!#REF!</definedName>
    <definedName name="L_Adjust">[32]Links!$H:$H</definedName>
    <definedName name="L_AJE_Tot">[32]Links!$G:$G</definedName>
    <definedName name="L_CY_Beg">[32]Links!$F:$F</definedName>
    <definedName name="L_CY_End">[32]Links!$J:$J</definedName>
    <definedName name="L_PY_End">[32]Links!$K:$K</definedName>
    <definedName name="L_RJE_Tot">[32]Links!$I:$I</definedName>
    <definedName name="lang" localSheetId="10">#REF!</definedName>
    <definedName name="lang">#REF!</definedName>
    <definedName name="Last_Row" localSheetId="5">#N/A</definedName>
    <definedName name="Last_row" localSheetId="10">#REF!</definedName>
    <definedName name="Last_row">#REF!</definedName>
    <definedName name="Levels" localSheetId="10">#REF!</definedName>
    <definedName name="Levels">#REF!</definedName>
    <definedName name="Lgold" localSheetId="10">#REF!</definedName>
    <definedName name="Lgold">#REF!</definedName>
    <definedName name="LineSaldoDay" localSheetId="10">#REF!</definedName>
    <definedName name="LineSaldoDay">#REF!</definedName>
    <definedName name="LineSaldoDayEx" localSheetId="10">#REF!</definedName>
    <definedName name="LineSaldoDayEx">#REF!</definedName>
    <definedName name="Loan_Amount" localSheetId="10">#REF!</definedName>
    <definedName name="Loan_Amount">#REF!</definedName>
    <definedName name="Loan_Start" localSheetId="10">#REF!</definedName>
    <definedName name="Loan_Start">#REF!</definedName>
    <definedName name="Loan_Years" localSheetId="10">#REF!</definedName>
    <definedName name="Loan_Years">#REF!</definedName>
    <definedName name="LOANS_ADVANCES" localSheetId="10">#REF!</definedName>
    <definedName name="LOANS_ADVANCES">#REF!</definedName>
    <definedName name="loansfrombanks" localSheetId="10">#REF!</definedName>
    <definedName name="loansfrombanks">#REF!</definedName>
    <definedName name="loroamount">[13]Loro!$J$29:$J$37</definedName>
    <definedName name="LTD_CQ_1" localSheetId="10">#REF!</definedName>
    <definedName name="LTD_CQ_1">#REF!</definedName>
    <definedName name="LTD_CQ_2" localSheetId="10">#REF!</definedName>
    <definedName name="LTD_CQ_2">#REF!</definedName>
    <definedName name="LTD_CQ_3" localSheetId="10">#REF!</definedName>
    <definedName name="LTD_CQ_3">#REF!</definedName>
    <definedName name="LTD_CQ_4" localSheetId="10">#REF!</definedName>
    <definedName name="LTD_CQ_4">#REF!</definedName>
    <definedName name="LTD_Description" localSheetId="10">#REF!</definedName>
    <definedName name="LTD_Description">#REF!</definedName>
    <definedName name="LTD_GL" localSheetId="10">#REF!</definedName>
    <definedName name="LTD_GL">#REF!</definedName>
    <definedName name="LTI_6" localSheetId="10">#REF!</definedName>
    <definedName name="LTI_6">#REF!</definedName>
    <definedName name="maket8145">[0]!maket8145</definedName>
    <definedName name="Materiality" localSheetId="10">#REF!</definedName>
    <definedName name="Materiality">#REF!</definedName>
    <definedName name="MATRIZ" localSheetId="10">#REF!</definedName>
    <definedName name="MATRIZ">#REF!</definedName>
    <definedName name="mi_re_end01">[4]УрРасч!$H$31,[4]УрРасч!$H$29</definedName>
    <definedName name="MngtFees" localSheetId="10">#REF!</definedName>
    <definedName name="MngtFees">#REF!</definedName>
    <definedName name="MngtfeesAFR" localSheetId="10">#REF!</definedName>
    <definedName name="MngtfeesAFR">#REF!</definedName>
    <definedName name="mod">[33]INTRODUC!$D$5</definedName>
    <definedName name="moderate_level" localSheetId="10">#REF!</definedName>
    <definedName name="moderate_level">#REF!</definedName>
    <definedName name="moneda">[34]INTRODUC!$D$6</definedName>
    <definedName name="Monetary_Precision" localSheetId="10">[25]Depreciation!#REF!</definedName>
    <definedName name="Monetary_Precision">[25]Depreciation!#REF!</definedName>
    <definedName name="Monetary_precision1">'[35]Excess Calc'!$B$5</definedName>
    <definedName name="Month_RF" localSheetId="10">#REF!</definedName>
    <definedName name="Month_RF">#REF!</definedName>
    <definedName name="N">'[4]#ССЫЛКА'!$B$97</definedName>
    <definedName name="name_bum" localSheetId="10">#REF!</definedName>
    <definedName name="name_bum">#REF!</definedName>
    <definedName name="Name_CO" localSheetId="10">#REF!</definedName>
    <definedName name="Name_CO">#REF!</definedName>
    <definedName name="Name_FP" localSheetId="10">#REF!</definedName>
    <definedName name="Name_FP">#REF!</definedName>
    <definedName name="Name_Int" localSheetId="10">#REF!</definedName>
    <definedName name="Name_Int">#REF!</definedName>
    <definedName name="name_reserv" localSheetId="10">#REF!</definedName>
    <definedName name="name_reserv">#REF!</definedName>
    <definedName name="Name_RF" localSheetId="10">#REF!</definedName>
    <definedName name="Name_RF">#REF!</definedName>
    <definedName name="Name_ST" localSheetId="10">#REF!</definedName>
    <definedName name="Name_ST">#REF!</definedName>
    <definedName name="name97">'[4]#ССЫЛКА'!$A$6</definedName>
    <definedName name="name98">'[4]#ССЫЛКА'!$A$75</definedName>
    <definedName name="name99">'[4]#ССЫЛКА'!$A$85</definedName>
    <definedName name="NBGCCY" localSheetId="10">#REF!</definedName>
    <definedName name="NBGCCY">#REF!</definedName>
    <definedName name="NBGEXRATE" localSheetId="10">#REF!</definedName>
    <definedName name="NBGEXRATE">#REF!</definedName>
    <definedName name="NBGXrates" localSheetId="10">#REF!</definedName>
    <definedName name="NBGXrates">#REF!</definedName>
    <definedName name="nbv">[4]scenario1!$F$63</definedName>
    <definedName name="NDR" localSheetId="10">#REF!</definedName>
    <definedName name="NDR">#REF!</definedName>
    <definedName name="NDS_out" localSheetId="10">#REF!</definedName>
    <definedName name="NDS_out">#REF!</definedName>
    <definedName name="NETPAY" localSheetId="10">DATE(YEAR('Note 28 (iii)'!Loan_Start),MONTH('Note 28 (iii)'!Loan_Start)+Payment_Number,DAY('Note 28 (iii)'!Loan_Start))</definedName>
    <definedName name="NETPAY" localSheetId="7">DATE(YEAR([0]!Loan_Start),MONTH([0]!Loan_Start)+Payment_Number,DAY([0]!Loan_Start))</definedName>
    <definedName name="NETPAY">DATE(YEAR(Loan_Start),MONTH(Loan_Start)+Payment_Number,DAY(Loan_Start))</definedName>
    <definedName name="newcrossholding" localSheetId="10">#REF!</definedName>
    <definedName name="newcrossholding">#REF!</definedName>
    <definedName name="next_coupon" localSheetId="10">#REF!</definedName>
    <definedName name="next_coupon">#REF!</definedName>
    <definedName name="NI_CQ_1" localSheetId="10">#REF!</definedName>
    <definedName name="NI_CQ_1">#REF!</definedName>
    <definedName name="NI_CQ_2" localSheetId="10">#REF!</definedName>
    <definedName name="NI_CQ_2">#REF!</definedName>
    <definedName name="NI_CQ_3" localSheetId="10">#REF!</definedName>
    <definedName name="NI_CQ_3">#REF!</definedName>
    <definedName name="NI_CQ_4" localSheetId="10">#REF!</definedName>
    <definedName name="NI_CQ_4">#REF!</definedName>
    <definedName name="NI_Description" localSheetId="10">#REF!</definedName>
    <definedName name="NI_Description">#REF!</definedName>
    <definedName name="NI_GL" localSheetId="10">#REF!</definedName>
    <definedName name="NI_GL">#REF!</definedName>
    <definedName name="NMG" localSheetId="10">'[4]#ССЫЛКА'!#REF!</definedName>
    <definedName name="NMG">'[4]#ССЫЛКА'!#REF!</definedName>
    <definedName name="nnn">'[4]#ССЫЛКА'!$B$2:$D$560</definedName>
    <definedName name="NOE_CQ_1" localSheetId="10">#REF!</definedName>
    <definedName name="NOE_CQ_1">#REF!</definedName>
    <definedName name="NOE_CQ_2" localSheetId="10">#REF!</definedName>
    <definedName name="NOE_CQ_2">#REF!</definedName>
    <definedName name="NOE_CQ_3" localSheetId="10">#REF!</definedName>
    <definedName name="NOE_CQ_3">#REF!</definedName>
    <definedName name="NOE_CQ_4" localSheetId="10">#REF!</definedName>
    <definedName name="NOE_CQ_4">#REF!</definedName>
    <definedName name="NOE_Description" localSheetId="10">#REF!</definedName>
    <definedName name="NOE_Description">#REF!</definedName>
    <definedName name="NOE_GL" localSheetId="10">#REF!</definedName>
    <definedName name="NOE_GL">#REF!</definedName>
    <definedName name="Nojemberian" localSheetId="10">'[4]5222 '!#REF!</definedName>
    <definedName name="Nojemberian">'[4]5222 '!#REF!</definedName>
    <definedName name="NORMAL" localSheetId="10">#REF!</definedName>
    <definedName name="NORMAL">#REF!</definedName>
    <definedName name="NorNork" localSheetId="10">'[4]5222 '!#REF!</definedName>
    <definedName name="NorNork">'[4]5222 '!#REF!</definedName>
    <definedName name="nov">'[4]#ССЫЛКА'!$B$2:$E$560</definedName>
    <definedName name="novoe" hidden="1">"AS2DocumentBrowse"</definedName>
    <definedName name="NS_CQ_1" localSheetId="10">#REF!</definedName>
    <definedName name="NS_CQ_1">#REF!</definedName>
    <definedName name="NS_CQ_2" localSheetId="10">#REF!</definedName>
    <definedName name="NS_CQ_2">#REF!</definedName>
    <definedName name="NS_CQ_3" localSheetId="10">#REF!</definedName>
    <definedName name="NS_CQ_3">#REF!</definedName>
    <definedName name="NS_CQ_4" localSheetId="10">#REF!</definedName>
    <definedName name="NS_CQ_4">#REF!</definedName>
    <definedName name="NS_Description" localSheetId="10">#REF!</definedName>
    <definedName name="NS_Description">#REF!</definedName>
    <definedName name="NS_GL" localSheetId="10">#REF!</definedName>
    <definedName name="NS_GL">#REF!</definedName>
    <definedName name="NUEVE" localSheetId="10">#REF!</definedName>
    <definedName name="NUEVE">#REF!</definedName>
    <definedName name="Num_Pmt_Per_Year" localSheetId="10">#REF!</definedName>
    <definedName name="Num_Pmt_Per_Year">#REF!</definedName>
    <definedName name="Number_of_Payments" localSheetId="10">MATCH(0.01,'Note 28 (iii)'!End_Bal,-1)+1</definedName>
    <definedName name="Number_of_Payments">MATCH(0.01,End_Bal,-1)+1</definedName>
    <definedName name="Number_of_Selections" localSheetId="10">#REF!</definedName>
    <definedName name="Number_of_Selections">#REF!</definedName>
    <definedName name="OA_CQ_1" localSheetId="10">#REF!</definedName>
    <definedName name="OA_CQ_1">#REF!</definedName>
    <definedName name="OA_CQ_2" localSheetId="10">#REF!</definedName>
    <definedName name="OA_CQ_2">#REF!</definedName>
    <definedName name="OA_CQ_3" localSheetId="10">#REF!</definedName>
    <definedName name="OA_CQ_3">#REF!</definedName>
    <definedName name="OA_CQ_4" localSheetId="10">#REF!</definedName>
    <definedName name="OA_CQ_4">#REF!</definedName>
    <definedName name="OA_Description" localSheetId="10">#REF!</definedName>
    <definedName name="OA_Description">#REF!</definedName>
    <definedName name="OA_GL" localSheetId="10">#REF!</definedName>
    <definedName name="OA_GL">#REF!</definedName>
    <definedName name="obnyl_no">[0]!obnyl_no</definedName>
    <definedName name="OC_CQ_1" localSheetId="10">#REF!</definedName>
    <definedName name="OC_CQ_1">#REF!</definedName>
    <definedName name="OC_CQ_2" localSheetId="10">#REF!</definedName>
    <definedName name="OC_CQ_2">#REF!</definedName>
    <definedName name="OC_CQ_3" localSheetId="10">#REF!</definedName>
    <definedName name="OC_CQ_3">#REF!</definedName>
    <definedName name="OC_CQ_4" localSheetId="10">#REF!</definedName>
    <definedName name="OC_CQ_4">#REF!</definedName>
    <definedName name="OC_Description" localSheetId="10">#REF!</definedName>
    <definedName name="OC_Description">#REF!</definedName>
    <definedName name="OC_GL" localSheetId="10">#REF!</definedName>
    <definedName name="OC_GL">#REF!</definedName>
    <definedName name="OCA_CQ_1" localSheetId="10">#REF!</definedName>
    <definedName name="OCA_CQ_1">#REF!</definedName>
    <definedName name="OCA_CQ_2" localSheetId="10">#REF!</definedName>
    <definedName name="OCA_CQ_2">#REF!</definedName>
    <definedName name="OCA_CQ_3" localSheetId="10">#REF!</definedName>
    <definedName name="OCA_CQ_3">#REF!</definedName>
    <definedName name="OCA_CQ_4" localSheetId="10">#REF!</definedName>
    <definedName name="OCA_CQ_4">#REF!</definedName>
    <definedName name="OCA_Description" localSheetId="10">#REF!</definedName>
    <definedName name="OCA_Description">#REF!</definedName>
    <definedName name="OCA_GL" localSheetId="10">#REF!</definedName>
    <definedName name="OCA_GL">#REF!</definedName>
    <definedName name="OCHO" localSheetId="10">#REF!</definedName>
    <definedName name="OCHO">#REF!</definedName>
    <definedName name="OCL_CQ_1" localSheetId="10">#REF!</definedName>
    <definedName name="OCL_CQ_1">#REF!</definedName>
    <definedName name="OCL_CQ_2" localSheetId="10">#REF!</definedName>
    <definedName name="OCL_CQ_2">#REF!</definedName>
    <definedName name="OCL_CQ_3" localSheetId="10">#REF!</definedName>
    <definedName name="OCL_CQ_3">#REF!</definedName>
    <definedName name="OCL_CQ_4" localSheetId="10">#REF!</definedName>
    <definedName name="OCL_CQ_4">#REF!</definedName>
    <definedName name="OCL_Description" localSheetId="10">#REF!</definedName>
    <definedName name="OCL_Description">#REF!</definedName>
    <definedName name="OCL_GL" localSheetId="10">#REF!</definedName>
    <definedName name="OCL_GL">#REF!</definedName>
    <definedName name="old">'[4]#ССЫЛКА'!$H$2:$I$516</definedName>
    <definedName name="olfr">{1}</definedName>
    <definedName name="ONCA_CQ_1" localSheetId="10">#REF!</definedName>
    <definedName name="ONCA_CQ_1">#REF!</definedName>
    <definedName name="ONCA_CQ_2" localSheetId="10">#REF!</definedName>
    <definedName name="ONCA_CQ_2">#REF!</definedName>
    <definedName name="ONCA_CQ_3" localSheetId="10">#REF!</definedName>
    <definedName name="ONCA_CQ_3">#REF!</definedName>
    <definedName name="ONCA_CQ_4" localSheetId="10">#REF!</definedName>
    <definedName name="ONCA_CQ_4">#REF!</definedName>
    <definedName name="ONCA_Description" localSheetId="10">#REF!</definedName>
    <definedName name="ONCA_Description">#REF!</definedName>
    <definedName name="ONCA_GL" localSheetId="10">#REF!</definedName>
    <definedName name="ONCA_GL">#REF!</definedName>
    <definedName name="ONCE" localSheetId="10">#REF!</definedName>
    <definedName name="ONCE">#REF!</definedName>
    <definedName name="ONCL_CQ_1" localSheetId="10">#REF!</definedName>
    <definedName name="ONCL_CQ_1">#REF!</definedName>
    <definedName name="ONCL_CQ_2" localSheetId="10">#REF!</definedName>
    <definedName name="ONCL_CQ_2">#REF!</definedName>
    <definedName name="ONCL_CQ_3" localSheetId="10">#REF!</definedName>
    <definedName name="ONCL_CQ_3">#REF!</definedName>
    <definedName name="ONCL_CQ_4" localSheetId="10">#REF!</definedName>
    <definedName name="ONCL_CQ_4">#REF!</definedName>
    <definedName name="ONCL_Description" localSheetId="10">#REF!</definedName>
    <definedName name="ONCL_Description">#REF!</definedName>
    <definedName name="ONCL_GL" localSheetId="10">#REF!</definedName>
    <definedName name="ONCL_GL">#REF!</definedName>
    <definedName name="ONOE_CQ_1" localSheetId="10">#REF!</definedName>
    <definedName name="ONOE_CQ_1">#REF!</definedName>
    <definedName name="ONOE_CQ_2" localSheetId="10">#REF!</definedName>
    <definedName name="ONOE_CQ_2">#REF!</definedName>
    <definedName name="ONOE_CQ_3" localSheetId="10">#REF!</definedName>
    <definedName name="ONOE_CQ_3">#REF!</definedName>
    <definedName name="ONOE_CQ_4" localSheetId="10">#REF!</definedName>
    <definedName name="ONOE_CQ_4">#REF!</definedName>
    <definedName name="ONOE_Description" localSheetId="10">#REF!</definedName>
    <definedName name="ONOE_Description">#REF!</definedName>
    <definedName name="ONOE_GL" localSheetId="10">#REF!</definedName>
    <definedName name="ONOE_GL">#REF!</definedName>
    <definedName name="ONOI_CQ_1" localSheetId="10">#REF!</definedName>
    <definedName name="ONOI_CQ_1">#REF!</definedName>
    <definedName name="ONOI_CQ_2" localSheetId="10">#REF!</definedName>
    <definedName name="ONOI_CQ_2">#REF!</definedName>
    <definedName name="ONOI_CQ_3" localSheetId="10">#REF!</definedName>
    <definedName name="ONOI_CQ_3">#REF!</definedName>
    <definedName name="ONOI_CQ_4" localSheetId="10">#REF!</definedName>
    <definedName name="ONOI_CQ_4">#REF!</definedName>
    <definedName name="ONOI_Description" localSheetId="10">#REF!</definedName>
    <definedName name="ONOI_Description">#REF!</definedName>
    <definedName name="ONOI_GL" localSheetId="10">#REF!</definedName>
    <definedName name="ONOI_GL">#REF!</definedName>
    <definedName name="OOE_CQ_1" localSheetId="10">#REF!</definedName>
    <definedName name="OOE_CQ_1">#REF!</definedName>
    <definedName name="OOE_CQ_2" localSheetId="10">#REF!</definedName>
    <definedName name="OOE_CQ_2">#REF!</definedName>
    <definedName name="OOE_CQ_3" localSheetId="10">#REF!</definedName>
    <definedName name="OOE_CQ_3">#REF!</definedName>
    <definedName name="OOE_CQ_4" localSheetId="10">#REF!</definedName>
    <definedName name="OOE_CQ_4">#REF!</definedName>
    <definedName name="OOE_Description" localSheetId="10">#REF!</definedName>
    <definedName name="OOE_Description">#REF!</definedName>
    <definedName name="OOE_GL" localSheetId="10">#REF!</definedName>
    <definedName name="OOE_GL">#REF!</definedName>
    <definedName name="OperOst_cost" localSheetId="10">'[36]выбытие 01.04.05-30.09.05'!#REF!</definedName>
    <definedName name="OperOst_cost">'[36]выбытие 01.04.05-30.09.05'!#REF!</definedName>
    <definedName name="OperOst_in" localSheetId="10">'[36]выбытие 01.04.05-30.09.05'!#REF!</definedName>
    <definedName name="OperOst_in">'[36]выбытие 01.04.05-30.09.05'!#REF!</definedName>
    <definedName name="opr_sp_dnr">[0]!opr_sp_dnr</definedName>
    <definedName name="ORP" hidden="1">{#N/A,#N/A,FALSE,"Aging Summary";#N/A,#N/A,FALSE,"Ratio Analysis";#N/A,#N/A,FALSE,"Test 120 Day Accts";#N/A,#N/A,FALSE,"Tickmarks"}</definedName>
    <definedName name="OTHERASSETS" localSheetId="10">#REF!</definedName>
    <definedName name="OTHERASSETS">#REF!</definedName>
    <definedName name="OTHERLIAB" localSheetId="10">#REF!</definedName>
    <definedName name="OTHERLIAB">#REF!</definedName>
    <definedName name="outRange" localSheetId="10">#REF!</definedName>
    <definedName name="outRange">#REF!</definedName>
    <definedName name="page1" localSheetId="10">#REF!</definedName>
    <definedName name="page1">#REF!</definedName>
    <definedName name="page10" localSheetId="10">#REF!</definedName>
    <definedName name="page10">#REF!</definedName>
    <definedName name="page11" localSheetId="10">#REF!</definedName>
    <definedName name="page11">#REF!</definedName>
    <definedName name="page12" localSheetId="10">#REF!</definedName>
    <definedName name="page12">#REF!</definedName>
    <definedName name="page13" localSheetId="10">#REF!</definedName>
    <definedName name="page13">#REF!</definedName>
    <definedName name="page14" localSheetId="10">#REF!</definedName>
    <definedName name="page14">#REF!</definedName>
    <definedName name="page15" localSheetId="10">#REF!</definedName>
    <definedName name="page15">#REF!</definedName>
    <definedName name="page16" localSheetId="10">#REF!</definedName>
    <definedName name="page16">#REF!</definedName>
    <definedName name="page17" localSheetId="10">#REF!</definedName>
    <definedName name="page17">#REF!</definedName>
    <definedName name="page18" localSheetId="10">#REF!</definedName>
    <definedName name="page18">#REF!</definedName>
    <definedName name="page19" localSheetId="10">#REF!</definedName>
    <definedName name="page19">#REF!</definedName>
    <definedName name="page2" localSheetId="10">#REF!</definedName>
    <definedName name="page2">#REF!</definedName>
    <definedName name="page20" localSheetId="10">#REF!</definedName>
    <definedName name="page20">#REF!</definedName>
    <definedName name="page21" localSheetId="10">#REF!</definedName>
    <definedName name="page21">#REF!</definedName>
    <definedName name="page22" localSheetId="10">#REF!</definedName>
    <definedName name="page22">#REF!</definedName>
    <definedName name="page23" localSheetId="10">#REF!</definedName>
    <definedName name="page23">#REF!</definedName>
    <definedName name="page24" localSheetId="10">#REF!</definedName>
    <definedName name="page24">#REF!</definedName>
    <definedName name="page25" localSheetId="10">#REF!</definedName>
    <definedName name="page25">#REF!</definedName>
    <definedName name="page26" localSheetId="10">#REF!</definedName>
    <definedName name="page26">#REF!</definedName>
    <definedName name="page27" localSheetId="10">#REF!</definedName>
    <definedName name="page27">#REF!</definedName>
    <definedName name="page28" localSheetId="10">#REF!</definedName>
    <definedName name="page28">#REF!</definedName>
    <definedName name="page29" localSheetId="10">#REF!</definedName>
    <definedName name="page29">#REF!</definedName>
    <definedName name="page3" localSheetId="10">#REF!</definedName>
    <definedName name="page3">#REF!</definedName>
    <definedName name="page30" localSheetId="10">#REF!</definedName>
    <definedName name="page30">#REF!</definedName>
    <definedName name="page31" localSheetId="10">#REF!</definedName>
    <definedName name="page31">#REF!</definedName>
    <definedName name="page32" localSheetId="10">#REF!</definedName>
    <definedName name="page32">#REF!</definedName>
    <definedName name="page33" localSheetId="10">#REF!</definedName>
    <definedName name="page33">#REF!</definedName>
    <definedName name="page34" localSheetId="10">#REF!</definedName>
    <definedName name="page34">#REF!</definedName>
    <definedName name="page35" localSheetId="10">#REF!</definedName>
    <definedName name="page35">#REF!</definedName>
    <definedName name="page36" localSheetId="10">#REF!</definedName>
    <definedName name="page36">#REF!</definedName>
    <definedName name="page37" localSheetId="10">#REF!</definedName>
    <definedName name="page37">#REF!</definedName>
    <definedName name="page38" localSheetId="10">#REF!</definedName>
    <definedName name="page38">#REF!</definedName>
    <definedName name="page39" localSheetId="10">#REF!</definedName>
    <definedName name="page39">#REF!</definedName>
    <definedName name="page4" localSheetId="10">#REF!</definedName>
    <definedName name="page4">#REF!</definedName>
    <definedName name="page40" localSheetId="10">#REF!</definedName>
    <definedName name="page40">#REF!</definedName>
    <definedName name="page41" localSheetId="10">#REF!</definedName>
    <definedName name="page41">#REF!</definedName>
    <definedName name="page42" localSheetId="10">#REF!</definedName>
    <definedName name="page42">#REF!</definedName>
    <definedName name="page43" localSheetId="10">#REF!</definedName>
    <definedName name="page43">#REF!</definedName>
    <definedName name="page44" localSheetId="10">#REF!</definedName>
    <definedName name="page44">#REF!</definedName>
    <definedName name="page45" localSheetId="10">#REF!</definedName>
    <definedName name="page45">#REF!</definedName>
    <definedName name="page46" localSheetId="10">#REF!</definedName>
    <definedName name="page46">#REF!</definedName>
    <definedName name="page47" localSheetId="10">#REF!</definedName>
    <definedName name="page47">#REF!</definedName>
    <definedName name="Page4E" localSheetId="10">#REF!</definedName>
    <definedName name="Page4E">#REF!</definedName>
    <definedName name="page5" localSheetId="10">#REF!</definedName>
    <definedName name="page5">#REF!</definedName>
    <definedName name="page6" localSheetId="10">#REF!</definedName>
    <definedName name="page6">#REF!</definedName>
    <definedName name="page7" localSheetId="10">#REF!</definedName>
    <definedName name="page7">#REF!</definedName>
    <definedName name="page8" localSheetId="10">#REF!</definedName>
    <definedName name="page8">#REF!</definedName>
    <definedName name="page9" localSheetId="10">#REF!</definedName>
    <definedName name="page9">#REF!</definedName>
    <definedName name="ParameterResult" localSheetId="10">#REF!</definedName>
    <definedName name="ParameterResult">#REF!</definedName>
    <definedName name="Pay_Date" localSheetId="10">#REF!</definedName>
    <definedName name="Pay_Date">#REF!</definedName>
    <definedName name="Pay_Num" localSheetId="10">#REF!</definedName>
    <definedName name="Pay_Num">#REF!</definedName>
    <definedName name="PAYE" localSheetId="10">IF('Note 28 (iii)'!Loan_Amount*'Note 28 (iii)'!Interest_Rate*'Note 28 (iii)'!Loan_Years*'Note 28 (iii)'!Loan_Start&gt;0,1,0)</definedName>
    <definedName name="PAYE">IF(Loan_Amount*Interest_Rate*Loan_Years*Loan_Start&gt;0,1,0)</definedName>
    <definedName name="Payment_Date" localSheetId="10">DATE(YEAR('Note 28 (iii)'!Loan_Start),MONTH('Note 28 (iii)'!Loan_Start)+Payment_Number,DAY('Note 28 (iii)'!Loan_Start))</definedName>
    <definedName name="Payment_Date" localSheetId="7">DATE(YEAR([0]!Loan_Start),MONTH([0]!Loan_Start)+Payment_Number,DAY([0]!Loan_Start))</definedName>
    <definedName name="Payment_Date">DATE(YEAR(Loan_Start),MONTH(Loan_Start)+Payment_Number,DAY(Loan_Start))</definedName>
    <definedName name="Pension" localSheetId="10">#REF!</definedName>
    <definedName name="Pension">#REF!</definedName>
    <definedName name="per_cost" localSheetId="10">#REF!</definedName>
    <definedName name="per_cost">#REF!</definedName>
    <definedName name="per_in" localSheetId="10">#REF!</definedName>
    <definedName name="per_in">#REF!</definedName>
    <definedName name="per_out" localSheetId="10">#REF!</definedName>
    <definedName name="per_out">#REF!</definedName>
    <definedName name="PERIOD" localSheetId="5">'[12]Rates &amp; Dates'!$C$10:$C$21</definedName>
    <definedName name="Period" localSheetId="10">#REF!</definedName>
    <definedName name="Period">#REF!</definedName>
    <definedName name="PERIOD1">'[12]Rates &amp; Dates'!$C$10:$O$10</definedName>
    <definedName name="PERIOD10">'[12]Rates &amp; Dates'!$C$19:$O$19</definedName>
    <definedName name="PERIOD11">'[12]Rates &amp; Dates'!$C$20:$O$20</definedName>
    <definedName name="PERIOD12">'[37]Rates &amp; Dates'!$C$21:$O$21</definedName>
    <definedName name="PERIOD2">'[12]Rates &amp; Dates'!$C$11:$O$11</definedName>
    <definedName name="PERIOD3">'[12]Rates &amp; Dates'!$C$12:$O$12</definedName>
    <definedName name="PERIOD4">'[12]Rates &amp; Dates'!$C$13:$O$13</definedName>
    <definedName name="PERIOD5">'[12]Rates &amp; Dates'!$C$14:$O$14</definedName>
    <definedName name="PERIOD6">'[12]Rates &amp; Dates'!$C$15:$O$15</definedName>
    <definedName name="PERIOD7">'[12]Rates &amp; Dates'!$C$16:$O$16</definedName>
    <definedName name="PERIOD8">'[12]Rates &amp; Dates'!$C$17:$O$17</definedName>
    <definedName name="PERIOD9">'[12]Rates &amp; Dates'!$C$18:$O$18</definedName>
    <definedName name="PETTCASHSUNDRIES" localSheetId="10">#REF!</definedName>
    <definedName name="PETTCASHSUNDRIES">#REF!</definedName>
    <definedName name="PETTYCASHDEBTORS" localSheetId="10">#REF!</definedName>
    <definedName name="PETTYCASHDEBTORS">#REF!</definedName>
    <definedName name="PETTYCASHREPAIRS" localSheetId="10">#REF!</definedName>
    <definedName name="PETTYCASHREPAIRS">#REF!</definedName>
    <definedName name="PETTYCASHSALARIES" localSheetId="10">#REF!</definedName>
    <definedName name="PETTYCASHSALARIES">#REF!</definedName>
    <definedName name="PETTYCASHSECURITY" localSheetId="10">#REF!</definedName>
    <definedName name="PETTYCASHSECURITY">#REF!</definedName>
    <definedName name="PETTYCASHSTATIONERY" localSheetId="10">#REF!</definedName>
    <definedName name="PETTYCASHSTATIONERY">#REF!</definedName>
    <definedName name="PETTYCASHTEAS" localSheetId="10">#REF!</definedName>
    <definedName name="PETTYCASHTEAS">#REF!</definedName>
    <definedName name="PETTYCASHTELEPHONES" localSheetId="10">#REF!</definedName>
    <definedName name="PETTYCASHTELEPHONES">#REF!</definedName>
    <definedName name="PETTYCASHTELPHONES" localSheetId="10">#REF!</definedName>
    <definedName name="PETTYCASHTELPHONES">#REF!</definedName>
    <definedName name="PETTYCASHTRANSPORT" localSheetId="10">#REF!</definedName>
    <definedName name="PETTYCASHTRANSPORT">#REF!</definedName>
    <definedName name="PG" localSheetId="10">'[28]4'!#REF!</definedName>
    <definedName name="PG">'[28]4'!#REF!</definedName>
    <definedName name="PH" localSheetId="10">#REF!</definedName>
    <definedName name="PH">#REF!</definedName>
    <definedName name="PL">'[4]P&amp;L'!$A$1:$D$44</definedName>
    <definedName name="Plan" localSheetId="10">#REF!</definedName>
    <definedName name="Plan">#REF!</definedName>
    <definedName name="poisk">[0]!poisk</definedName>
    <definedName name="Potential_errors" localSheetId="10">#REF!</definedName>
    <definedName name="Potential_errors">#REF!</definedName>
    <definedName name="PPE_CQ_1" localSheetId="10">#REF!</definedName>
    <definedName name="PPE_CQ_1">#REF!</definedName>
    <definedName name="PPE_CQ_2" localSheetId="10">#REF!</definedName>
    <definedName name="PPE_CQ_2">#REF!</definedName>
    <definedName name="PPE_CQ_3" localSheetId="10">#REF!</definedName>
    <definedName name="PPE_CQ_3">#REF!</definedName>
    <definedName name="PPE_CQ_4" localSheetId="10">#REF!</definedName>
    <definedName name="PPE_CQ_4">#REF!</definedName>
    <definedName name="PPE_Description" localSheetId="10">#REF!</definedName>
    <definedName name="PPE_Description">#REF!</definedName>
    <definedName name="PPE_GL" localSheetId="10">#REF!</definedName>
    <definedName name="PPE_GL">#REF!</definedName>
    <definedName name="Pre_tax_materiality" localSheetId="10">#REF!</definedName>
    <definedName name="Pre_tax_materiality">#REF!</definedName>
    <definedName name="PREPARAR" localSheetId="10">#REF!</definedName>
    <definedName name="PREPARAR">#REF!</definedName>
    <definedName name="PREPARAR2" localSheetId="10">#REF!</definedName>
    <definedName name="PREPARAR2">#REF!</definedName>
    <definedName name="Presentation">'[4]#ССЫЛКА'!$B$1:$J$90</definedName>
    <definedName name="Princ" localSheetId="10">#REF!</definedName>
    <definedName name="Princ">#REF!</definedName>
    <definedName name="PRINCI" localSheetId="10">#REF!</definedName>
    <definedName name="PRINCI">#REF!</definedName>
    <definedName name="_xlnm.Print_Area" localSheetId="8">'Appendix 1'!$A$1:$K$36</definedName>
    <definedName name="_xlnm.Print_Area" localSheetId="9">'Appendix 2'!$A$1:$P$121</definedName>
    <definedName name="_xlnm.Print_Area" localSheetId="6">'Computation gen reserve'!$A$1:$F$34</definedName>
    <definedName name="_xlnm.Print_Area" localSheetId="5">'Deferred Tax Note.'!$A$1:$M$27</definedName>
    <definedName name="_xlnm.Print_Area" localSheetId="13">'detailed operating '!$A$1:$D$53</definedName>
    <definedName name="_xlnm.Print_Area" localSheetId="1">Journals!$A$1:$E$68</definedName>
    <definedName name="_xlnm.Print_Area" localSheetId="10">'Note 28 (iii)'!$A$1:$N$221</definedName>
    <definedName name="_xlnm.Print_Area" localSheetId="7">'Notes 18 to 29 (2)'!$A$1:$J$276</definedName>
    <definedName name="_xlnm.Print_Area" localSheetId="0">'opinion 4-5-Old'!$A$1:$B$61</definedName>
    <definedName name="_xlnm.Print_Area" localSheetId="4">'Other interest'!$A$1:$P$49</definedName>
    <definedName name="_xlnm.Print_Area">'[38]furniture &amp; equipment'!#REF!</definedName>
    <definedName name="Print_Area_Reset" localSheetId="10">#N/A</definedName>
    <definedName name="Print_Area_Reset">OFFSET(Full_Print,0,0,'Deferred Tax Note.'!Last_Row)</definedName>
    <definedName name="PRINT1" localSheetId="10">#REF!</definedName>
    <definedName name="PRINT1">#REF!</definedName>
    <definedName name="PRINT2" localSheetId="10">#REF!</definedName>
    <definedName name="PRINT2">#REF!</definedName>
    <definedName name="PRINT3" localSheetId="10">#REF!</definedName>
    <definedName name="PRINT3">#REF!</definedName>
    <definedName name="PRINT4" localSheetId="10">[39]UnadjBS!#REF!</definedName>
    <definedName name="PRINT4">[39]UnadjBS!#REF!</definedName>
    <definedName name="PRINT5" localSheetId="10">#REF!</definedName>
    <definedName name="PRINT5">#REF!</definedName>
    <definedName name="PRINT6" localSheetId="10">#REF!</definedName>
    <definedName name="PRINT6">#REF!</definedName>
    <definedName name="PRINT7" localSheetId="10">[39]UnadjBS!#REF!</definedName>
    <definedName name="PRINT7">[39]UnadjBS!#REF!</definedName>
    <definedName name="PRINTA" localSheetId="10">[39]UnadjBS!#REF!</definedName>
    <definedName name="PRINTA">[39]UnadjBS!#REF!</definedName>
    <definedName name="PRINTALL" localSheetId="10">#REF!</definedName>
    <definedName name="PRINTALL">#REF!</definedName>
    <definedName name="PRINTALLLEADS" localSheetId="10">#REF!</definedName>
    <definedName name="PRINTALLLEADS">#REF!</definedName>
    <definedName name="PRINTB" localSheetId="10">#REF!</definedName>
    <definedName name="PRINTB">#REF!</definedName>
    <definedName name="PRINTC" localSheetId="10">[39]UnadjBS!#REF!</definedName>
    <definedName name="PRINTC">[39]UnadjBS!#REF!</definedName>
    <definedName name="PRINTE" localSheetId="10">[39]UnadjBS!#REF!</definedName>
    <definedName name="PRINTE">[39]UnadjBS!#REF!</definedName>
    <definedName name="PRINTF" localSheetId="10">[39]UnadjBS!#REF!</definedName>
    <definedName name="PRINTF">[39]UnadjBS!#REF!</definedName>
    <definedName name="PRINTHA" localSheetId="10">[39]UnadjBS!#REF!</definedName>
    <definedName name="PRINTHA">[39]UnadjBS!#REF!</definedName>
    <definedName name="PRINTHL" localSheetId="10">[39]UnadjBS!#REF!</definedName>
    <definedName name="PRINTHL">[39]UnadjBS!#REF!</definedName>
    <definedName name="PRINTI" localSheetId="10">[39]UnadjBS!#REF!</definedName>
    <definedName name="PRINTI">[39]UnadjBS!#REF!</definedName>
    <definedName name="PRINTJ" localSheetId="10">#REF!</definedName>
    <definedName name="PRINTJ">#REF!</definedName>
    <definedName name="Prior" localSheetId="10">#REF!</definedName>
    <definedName name="Prior">#REF!</definedName>
    <definedName name="PRODHAR" localSheetId="10">#REF!</definedName>
    <definedName name="PRODHAR">#REF!</definedName>
    <definedName name="PRODSUB" localSheetId="10">#REF!</definedName>
    <definedName name="PRODSUB">#REF!</definedName>
    <definedName name="Product_Type" localSheetId="10">#REF!</definedName>
    <definedName name="Product_Type">#REF!</definedName>
    <definedName name="PROGRAM">[34]INTRODUC!$D$5</definedName>
    <definedName name="ProjectName">{"Client Name or Project Name"}</definedName>
    <definedName name="Proofs" localSheetId="10">#REF!</definedName>
    <definedName name="Proofs">#REF!</definedName>
    <definedName name="Property" localSheetId="10">#REF!</definedName>
    <definedName name="Property">#REF!</definedName>
    <definedName name="PS" localSheetId="10">#REF!</definedName>
    <definedName name="PS">#REF!</definedName>
    <definedName name="PY_all_Equity" localSheetId="10">#REF!</definedName>
    <definedName name="PY_all_Equity">#REF!</definedName>
    <definedName name="PY_all_Income">'[19]Summary of Misstatements'!$H$52</definedName>
    <definedName name="PY_all_RetEarn">'[19]Summary of Misstatements'!$F$52</definedName>
    <definedName name="PY_Cash_Div_Dec" localSheetId="10">'[20]Income Statement'!#REF!</definedName>
    <definedName name="PY_Cash_Div_Dec">'[20]Income Statement'!#REF!</definedName>
    <definedName name="PY_CASH_DIVIDENDS_DECLARED__per_common_share" localSheetId="10">'[20]Income Statement'!#REF!</definedName>
    <definedName name="PY_CASH_DIVIDENDS_DECLARED__per_common_share">'[20]Income Statement'!#REF!</definedName>
    <definedName name="PY_Earnings_per_share" localSheetId="10">[20]Ratios!#REF!</definedName>
    <definedName name="PY_Earnings_per_share">[20]Ratios!#REF!</definedName>
    <definedName name="PY_knw_Income">'[19]Summary of Misstatements'!$H$44</definedName>
    <definedName name="PY_knw_RetEarn">'[19]Summary of Misstatements'!$F$44</definedName>
    <definedName name="PY_lik_Income" localSheetId="10">#REF!</definedName>
    <definedName name="PY_lik_Income">#REF!</definedName>
    <definedName name="PY_lik_RetEarn" localSheetId="10">#REF!</definedName>
    <definedName name="PY_lik_RetEarn">#REF!</definedName>
    <definedName name="PY_LT_Debt" localSheetId="10">'[20]Balance Sheet'!#REF!</definedName>
    <definedName name="PY_LT_Debt">'[20]Balance Sheet'!#REF!</definedName>
    <definedName name="PY_Market_Value_of_Equity" localSheetId="10">'[20]Income Statement'!#REF!</definedName>
    <definedName name="PY_Market_Value_of_Equity">'[20]Income Statement'!#REF!</definedName>
    <definedName name="PY_Tangible_Net_Worth" localSheetId="10">'[20]Income Statement'!#REF!</definedName>
    <definedName name="PY_Tangible_Net_Worth">'[20]Income Statement'!#REF!</definedName>
    <definedName name="PY_tot_knw_Xfoot" localSheetId="10">#REF!</definedName>
    <definedName name="PY_tot_knw_Xfoot">#REF!</definedName>
    <definedName name="PY_tot_lik_Xfoot" localSheetId="10">#REF!</definedName>
    <definedName name="PY_tot_lik_Xfoot">#REF!</definedName>
    <definedName name="PY_tx_all_Income">'[19]Summary of Misstatements'!$M$52</definedName>
    <definedName name="PY_tx_all_RetEarn">'[19]Summary of Misstatements'!$K$52</definedName>
    <definedName name="PY_tx_knw_Income">'[19]Summary of Misstatements'!$M$44</definedName>
    <definedName name="PY_tx_knw_RetEarn">'[19]Summary of Misstatements'!$K$44</definedName>
    <definedName name="PY_tx_lik_Income" localSheetId="10">#REF!</definedName>
    <definedName name="PY_tx_lik_Income">#REF!</definedName>
    <definedName name="PY_tx_lik_RetEarn" localSheetId="10">#REF!</definedName>
    <definedName name="PY_tx_lik_RetEarn">#REF!</definedName>
    <definedName name="PY_Weighted_Average" localSheetId="10">'[20]Income Statement'!#REF!</definedName>
    <definedName name="PY_Weighted_Average">'[20]Income Statement'!#REF!</definedName>
    <definedName name="PY_Working_Capital" localSheetId="10">'[20]Income Statement'!#REF!</definedName>
    <definedName name="PY_Working_Capital">'[20]Income Statement'!#REF!</definedName>
    <definedName name="PY2_Cash_Div_Dec" localSheetId="10">'[20]Income Statement'!#REF!</definedName>
    <definedName name="PY2_Cash_Div_Dec">'[20]Income Statement'!#REF!</definedName>
    <definedName name="PY2_CASH_DIVIDENDS_DECLARED__per_common_share" localSheetId="10">'[20]Income Statement'!#REF!</definedName>
    <definedName name="PY2_CASH_DIVIDENDS_DECLARED__per_common_share">'[20]Income Statement'!#REF!</definedName>
    <definedName name="PY2_Earnings_per_share" localSheetId="10">[20]Ratios!#REF!</definedName>
    <definedName name="PY2_Earnings_per_share">[20]Ratios!#REF!</definedName>
    <definedName name="PY2_LT_Debt" localSheetId="10">'[20]Balance Sheet'!#REF!</definedName>
    <definedName name="PY2_LT_Debt">'[20]Balance Sheet'!#REF!</definedName>
    <definedName name="PY2_Market_Value_of_Equity" localSheetId="10">'[20]Income Statement'!#REF!</definedName>
    <definedName name="PY2_Market_Value_of_Equity">'[20]Income Statement'!#REF!</definedName>
    <definedName name="PY2_Tangible_Net_Worth" localSheetId="10">'[20]Income Statement'!#REF!</definedName>
    <definedName name="PY2_Tangible_Net_Worth">'[20]Income Statement'!#REF!</definedName>
    <definedName name="PY2_Weighted_Average" localSheetId="10">'[20]Income Statement'!#REF!</definedName>
    <definedName name="PY2_Weighted_Average">'[20]Income Statement'!#REF!</definedName>
    <definedName name="PY2_Working_Capital" localSheetId="10">'[20]Income Statement'!#REF!</definedName>
    <definedName name="PY2_Working_Capital">'[20]Income Statement'!#REF!</definedName>
    <definedName name="PY4b2" localSheetId="10">#REF!</definedName>
    <definedName name="PY4b2">#REF!</definedName>
    <definedName name="PY4b2Ac" localSheetId="10">#REF!</definedName>
    <definedName name="PY4b2Ac">#REF!</definedName>
    <definedName name="PY4c2" localSheetId="10">#REF!</definedName>
    <definedName name="PY4c2">#REF!</definedName>
    <definedName name="PY4c2Ac" localSheetId="10">#REF!</definedName>
    <definedName name="PY4c2Ac">#REF!</definedName>
    <definedName name="PY5Suc" localSheetId="10">#REF!</definedName>
    <definedName name="PY5Suc">#REF!</definedName>
    <definedName name="PY5SucAc" localSheetId="10">#REF!</definedName>
    <definedName name="PY5SucAc">#REF!</definedName>
    <definedName name="q">'[40]Переоценка сроч'!$Q$7</definedName>
    <definedName name="qqqqq">[0]!qqqqq</definedName>
    <definedName name="quant_cost" localSheetId="10">#REF!</definedName>
    <definedName name="quant_cost">#REF!</definedName>
    <definedName name="quant_in" localSheetId="10">#REF!</definedName>
    <definedName name="quant_in">#REF!</definedName>
    <definedName name="quant_out" localSheetId="10">#REF!</definedName>
    <definedName name="quant_out">#REF!</definedName>
    <definedName name="qwer">'[30]CMA Calculations- R Factor'!$H$16</definedName>
    <definedName name="R_Factor" localSheetId="10">[25]Depreciation!#REF!</definedName>
    <definedName name="R_Factor">[25]Depreciation!#REF!</definedName>
    <definedName name="Rate" localSheetId="5">[41]Rates!$B$6</definedName>
    <definedName name="rate">'[4]#ССЫЛКА'!$H$1</definedName>
    <definedName name="rate1" localSheetId="10">[4]Time!#REF!</definedName>
    <definedName name="rate1">[4]Time!#REF!</definedName>
    <definedName name="rate2">'[4]#ССЫЛКА'!$G$1</definedName>
    <definedName name="RateEx" localSheetId="10">#REF!</definedName>
    <definedName name="RateEx">#REF!</definedName>
    <definedName name="RBSHEADER" localSheetId="10">#REF!</definedName>
    <definedName name="RBSHEADER">#REF!</definedName>
    <definedName name="RE_CQ_1" localSheetId="10">#REF!</definedName>
    <definedName name="RE_CQ_1">#REF!</definedName>
    <definedName name="RE_CQ_2" localSheetId="10">#REF!</definedName>
    <definedName name="RE_CQ_2">#REF!</definedName>
    <definedName name="RE_CQ_3" localSheetId="10">#REF!</definedName>
    <definedName name="RE_CQ_3">#REF!</definedName>
    <definedName name="RE_CQ_4" localSheetId="10">#REF!</definedName>
    <definedName name="RE_CQ_4">#REF!</definedName>
    <definedName name="RE_Description" localSheetId="10">#REF!</definedName>
    <definedName name="RE_Description">#REF!</definedName>
    <definedName name="RE_GL" localSheetId="10">#REF!</definedName>
    <definedName name="RE_GL">#REF!</definedName>
    <definedName name="RECATBSHEAD" localSheetId="10">#REF!</definedName>
    <definedName name="RECATBSHEAD">#REF!</definedName>
    <definedName name="RECATEGORISDBS" localSheetId="10">#REF!</definedName>
    <definedName name="RECATEGORISDBS">#REF!</definedName>
    <definedName name="RECATP_L" localSheetId="10">#REF!</definedName>
    <definedName name="RECATP_L">#REF!</definedName>
    <definedName name="RECATP_LHEADER" localSheetId="10">#REF!</definedName>
    <definedName name="RECATP_LHEADER">#REF!</definedName>
    <definedName name="redak_el_d9">[0]!redak_el_d9</definedName>
    <definedName name="ref">[42]Ассоциированные!$AE$15,[42]Ассоциированные!$AC$15,[42]Ассоциированные!$AB$15,[42]Ассоциированные!$Z$15,[42]Ассоциированные!$X$15,[42]Ассоциированные!$W$15,[42]Ассоциированные!$U$15,[42]Ассоциированные!$S$15,[42]Ассоциированные!$R$15,[42]Ассоциированные!$P$15,[42]Ассоциированные!$N$15,[42]Ассоциированные!$M$15,[42]Ассоциированные!$L$6,[42]Ассоциированные!$O$6,[42]Ассоциированные!$P$6,[42]Ассоциированные!$Q$6</definedName>
    <definedName name="Ref_1" localSheetId="10">#REF!</definedName>
    <definedName name="Ref_1">#REF!</definedName>
    <definedName name="Ref_2" localSheetId="10">#REF!</definedName>
    <definedName name="Ref_2">#REF!</definedName>
    <definedName name="repdate" localSheetId="10">#REF!</definedName>
    <definedName name="repdate">#REF!</definedName>
    <definedName name="Report" localSheetId="10">#REF!</definedName>
    <definedName name="Report">#REF!</definedName>
    <definedName name="Report11" localSheetId="10">#REF!</definedName>
    <definedName name="Report11">#REF!</definedName>
    <definedName name="Report13" localSheetId="10">#REF!</definedName>
    <definedName name="Report13">#REF!</definedName>
    <definedName name="Report15" localSheetId="10">#REF!</definedName>
    <definedName name="Report15">#REF!</definedName>
    <definedName name="Report16" localSheetId="10">#REF!</definedName>
    <definedName name="Report16">#REF!</definedName>
    <definedName name="Report17" localSheetId="10">#REF!</definedName>
    <definedName name="Report17">#REF!</definedName>
    <definedName name="Report18" localSheetId="10">#REF!</definedName>
    <definedName name="Report18">#REF!</definedName>
    <definedName name="Report19" localSheetId="10">#REF!</definedName>
    <definedName name="Report19">#REF!</definedName>
    <definedName name="Report2" localSheetId="10">#REF!</definedName>
    <definedName name="Report2">#REF!</definedName>
    <definedName name="Report20" localSheetId="10">#REF!</definedName>
    <definedName name="Report20">#REF!</definedName>
    <definedName name="Report22" localSheetId="10">[43]Лист1!#REF!</definedName>
    <definedName name="Report22">[43]Лист1!#REF!</definedName>
    <definedName name="Report3" localSheetId="10">#REF!</definedName>
    <definedName name="Report3">#REF!</definedName>
    <definedName name="Report4" localSheetId="10">#REF!</definedName>
    <definedName name="Report4">#REF!</definedName>
    <definedName name="Report5" localSheetId="10">#REF!</definedName>
    <definedName name="Report5">#REF!</definedName>
    <definedName name="REPORTING">'[12]Rates &amp; Dates'!$L$10:$O$21</definedName>
    <definedName name="repy">'[4]#ССЫЛКА'!$T$233</definedName>
    <definedName name="RES" localSheetId="10">#REF!</definedName>
    <definedName name="RES">#REF!</definedName>
    <definedName name="RESERVES" localSheetId="10">#REF!</definedName>
    <definedName name="RESERVES">#REF!</definedName>
    <definedName name="Residual_difference" localSheetId="10">'[7]Excess Calc'!#REF!</definedName>
    <definedName name="Residual_difference">'[7]Excess Calc'!#REF!</definedName>
    <definedName name="rest_cost" localSheetId="10">#REF!</definedName>
    <definedName name="rest_cost">#REF!</definedName>
    <definedName name="rest_in" localSheetId="10">#REF!</definedName>
    <definedName name="rest_in">#REF!</definedName>
    <definedName name="rest_out" localSheetId="10">#REF!</definedName>
    <definedName name="rest_out">#REF!</definedName>
    <definedName name="reval98" localSheetId="10">[4]Инвестиции!#REF!</definedName>
    <definedName name="reval98">[4]Инвестиции!#REF!</definedName>
    <definedName name="reval99" localSheetId="10">[4]Инвестиции!#REF!</definedName>
    <definedName name="reval99">[4]Инвестиции!#REF!</definedName>
    <definedName name="REVISION" localSheetId="10">#REF!</definedName>
    <definedName name="REVISION">#REF!</definedName>
    <definedName name="roll">'[4]#ССЫЛКА'!$X$7</definedName>
    <definedName name="rows">[4]АКРасч!$1:$5,[4]АКРасч!$7:$22,[4]АКРасч!$24:$41,[4]АКРасч!$43:$54,[4]АКРасч!$55:$56,[4]АКРасч!$58:$71,[4]АКРасч!$72:$98</definedName>
    <definedName name="rows1">[4]АКРасч!$1:$5,[4]АКРасч!$7:$22,[4]АКРасч!$24:$41,[4]АКРасч!$43:$54,[4]АКРасч!$55:$56,[4]АКРасч!$58:$71,[4]АКРасч!$72:$98</definedName>
    <definedName name="rr">'[4]#ССЫЛКА'!$I$3:$J$516</definedName>
    <definedName name="RSA_FS">[4]РСБУ_МСФО!$A$1:$B$403</definedName>
    <definedName name="RUSBSHEADER" localSheetId="10">#REF!</definedName>
    <definedName name="RUSBSHEADER">#REF!</definedName>
    <definedName name="RUSSIANBS" localSheetId="10">#REF!</definedName>
    <definedName name="RUSSIANBS">#REF!</definedName>
    <definedName name="s" localSheetId="5">[44]TB!$B$215</definedName>
    <definedName name="s">'[4]Перечень компаний'!$B$9:$B$40,'[4]Перечень компаний'!$E$9:$E$40,'[4]Перечень компаний'!$H$9:$H$40,'[4]Перечень компаний'!$E$41:$E$41,'[4]Перечень компаний'!$E$41,'[4]Перечень компаний'!$N$9:$N$40</definedName>
    <definedName name="S_AcctDes" localSheetId="10">#REF!</definedName>
    <definedName name="S_AcctDes">#REF!</definedName>
    <definedName name="S_Adjust" localSheetId="10">[45]Lead!#REF!</definedName>
    <definedName name="S_Adjust">[45]Lead!#REF!</definedName>
    <definedName name="S_Adjust_Data">[32]Lead!$I$1:$I$158</definedName>
    <definedName name="S_Adjust_GT" localSheetId="10">[45]Lead!#REF!</definedName>
    <definedName name="S_Adjust_GT">[45]Lead!#REF!</definedName>
    <definedName name="S_AJE_Tot" localSheetId="10">[45]Lead!#REF!</definedName>
    <definedName name="S_AJE_Tot">[45]Lead!#REF!</definedName>
    <definedName name="S_AJE_Tot_Data">[32]Lead!$H$1:$H$158</definedName>
    <definedName name="S_AJE_Tot_GT" localSheetId="10">[45]Lead!#REF!</definedName>
    <definedName name="S_AJE_Tot_GT">[45]Lead!#REF!</definedName>
    <definedName name="S_CompNum" localSheetId="10">[45]Lead!#REF!</definedName>
    <definedName name="S_CompNum">[45]Lead!#REF!</definedName>
    <definedName name="S_CY_Beg" localSheetId="10">#REF!</definedName>
    <definedName name="S_CY_Beg">#REF!</definedName>
    <definedName name="S_CY_Beg_Data">[32]Lead!$F$1:$F$158</definedName>
    <definedName name="S_CY_Beg_GT" localSheetId="10">#REF!</definedName>
    <definedName name="S_CY_Beg_GT">#REF!</definedName>
    <definedName name="S_CY_End" localSheetId="10">[45]Lead!#REF!</definedName>
    <definedName name="S_CY_End">[45]Lead!#REF!</definedName>
    <definedName name="S_CY_End_Data">[32]Lead!$K$1:$K$158</definedName>
    <definedName name="S_CY_End_GT" localSheetId="10">#REF!</definedName>
    <definedName name="S_CY_End_GT" localSheetId="17">[45]Lead!#REF!</definedName>
    <definedName name="S_CY_End_GT">#REF!</definedName>
    <definedName name="S_Diff_Amt" localSheetId="10">#REF!</definedName>
    <definedName name="S_Diff_Amt">#REF!</definedName>
    <definedName name="S_Diff_Pct" localSheetId="10">#REF!</definedName>
    <definedName name="S_Diff_Pct">#REF!</definedName>
    <definedName name="S_GrpNum" localSheetId="10">[45]Lead!#REF!</definedName>
    <definedName name="S_GrpNum">[45]Lead!#REF!</definedName>
    <definedName name="S_Headings" localSheetId="10">#REF!</definedName>
    <definedName name="S_Headings">#REF!</definedName>
    <definedName name="S_KeyValue" localSheetId="10">[45]Lead!#REF!</definedName>
    <definedName name="S_KeyValue">[45]Lead!#REF!</definedName>
    <definedName name="S_PY_End" localSheetId="10">[45]Lead!#REF!</definedName>
    <definedName name="S_PY_End">[45]Lead!#REF!</definedName>
    <definedName name="S_PY_End_Data">[32]Lead!$M$1:$M$158</definedName>
    <definedName name="S_PY_End_GT" localSheetId="10">[45]Lead!#REF!</definedName>
    <definedName name="S_PY_End_GT">[45]Lead!#REF!</definedName>
    <definedName name="S_RJE_Tot" localSheetId="10">[45]Lead!#REF!</definedName>
    <definedName name="S_RJE_Tot">[45]Lead!#REF!</definedName>
    <definedName name="S_RJE_Tot_Data">[32]Lead!$J$1:$J$158</definedName>
    <definedName name="S_RJE_Tot_GT" localSheetId="10">[45]Lead!#REF!</definedName>
    <definedName name="S_RJE_Tot_GT">[45]Lead!#REF!</definedName>
    <definedName name="S_RowNum" localSheetId="10">#REF!</definedName>
    <definedName name="S_RowNum">#REF!</definedName>
    <definedName name="SA_table" localSheetId="10">#REF!</definedName>
    <definedName name="SA_table">#REF!</definedName>
    <definedName name="Saldo" localSheetId="10">#REF!</definedName>
    <definedName name="Saldo">#REF!</definedName>
    <definedName name="SaldoDayD" localSheetId="10">#REF!</definedName>
    <definedName name="SaldoDayD">#REF!</definedName>
    <definedName name="SaldoDayDEx" localSheetId="10">#REF!</definedName>
    <definedName name="SaldoDayDEx">#REF!</definedName>
    <definedName name="SaldoDayEkvEx" localSheetId="10">#REF!</definedName>
    <definedName name="SaldoDayEkvEx">#REF!</definedName>
    <definedName name="SaldoDayK" localSheetId="10">#REF!</definedName>
    <definedName name="SaldoDayK">#REF!</definedName>
    <definedName name="SaldoDayKEx" localSheetId="10">#REF!</definedName>
    <definedName name="SaldoDayKEx">#REF!</definedName>
    <definedName name="SaldoEx" localSheetId="10">#REF!</definedName>
    <definedName name="SaldoEx">#REF!</definedName>
    <definedName name="sample_sum" localSheetId="10">#REF!</definedName>
    <definedName name="sample_sum">#REF!</definedName>
    <definedName name="sbros_all1">[0]!sbros_all1</definedName>
    <definedName name="sbros_all2">[0]!sbros_all2</definedName>
    <definedName name="Sch" localSheetId="10">#REF!</definedName>
    <definedName name="Sch">#REF!</definedName>
    <definedName name="Sched_Pay" localSheetId="10">#REF!</definedName>
    <definedName name="Sched_Pay">#REF!</definedName>
    <definedName name="Scheduled_Extra_Payments" localSheetId="10">#REF!</definedName>
    <definedName name="Scheduled_Extra_Payments">#REF!</definedName>
    <definedName name="Scheduled_Interest_Rate" localSheetId="10">#REF!</definedName>
    <definedName name="Scheduled_Interest_Rate">#REF!</definedName>
    <definedName name="Scheduled_Monthly_Payment" localSheetId="10">#REF!</definedName>
    <definedName name="Scheduled_Monthly_Payment">#REF!</definedName>
    <definedName name="Security" localSheetId="10">#REF!</definedName>
    <definedName name="Security">#REF!</definedName>
    <definedName name="SEIS" localSheetId="10">#REF!</definedName>
    <definedName name="SEIS">#REF!</definedName>
    <definedName name="SEK" localSheetId="10">'[4]Курсы валют ЦБ'!#REF!</definedName>
    <definedName name="SEK">'[4]Курсы валют ЦБ'!#REF!</definedName>
    <definedName name="SelectedDate">[41]Lookup!$A$1</definedName>
    <definedName name="SelectOnly" localSheetId="10">#REF!</definedName>
    <definedName name="SelectOnly">#REF!</definedName>
    <definedName name="ses">'[4]#ССЫЛКА'!$A$2:$C$548</definedName>
    <definedName name="SHARECAPITAL" localSheetId="10">#REF!</definedName>
    <definedName name="SHARECAPITAL">#REF!</definedName>
    <definedName name="shares" localSheetId="10">#REF!</definedName>
    <definedName name="shares">#REF!</definedName>
    <definedName name="SIETE" localSheetId="10">#REF!</definedName>
    <definedName name="SIETE">#REF!</definedName>
    <definedName name="sp_add">[0]!sp_add</definedName>
    <definedName name="sp_change">[0]!sp_change</definedName>
    <definedName name="sp_zam">[0]!sp_zam</definedName>
    <definedName name="SpecMove">'[4]#ССЫЛКА'!$F:$K</definedName>
    <definedName name="SpisDate" localSheetId="10">#REF!</definedName>
    <definedName name="SpisDate">#REF!</definedName>
    <definedName name="ss" localSheetId="10">#REF!</definedName>
    <definedName name="ss">#REF!</definedName>
    <definedName name="st" localSheetId="10" hidden="1">#REF!</definedName>
    <definedName name="st" hidden="1">#REF!</definedName>
    <definedName name="st_Loans_b" localSheetId="10">#REF!</definedName>
    <definedName name="st_Loans_b">#REF!</definedName>
    <definedName name="st_loans_f" localSheetId="10">#REF!</definedName>
    <definedName name="st_loans_f">#REF!</definedName>
    <definedName name="ST_loans_o" localSheetId="10">#REF!</definedName>
    <definedName name="ST_loans_o">#REF!</definedName>
    <definedName name="StartSeller" localSheetId="10">[27]!StartSeller</definedName>
    <definedName name="StartSeller" localSheetId="7">[27]!StartSeller</definedName>
    <definedName name="StartSeller">[27]!StartSeller</definedName>
    <definedName name="STD_CQ_1" localSheetId="10">#REF!</definedName>
    <definedName name="STD_CQ_1">#REF!</definedName>
    <definedName name="STD_CQ_2" localSheetId="10">#REF!</definedName>
    <definedName name="STD_CQ_2">#REF!</definedName>
    <definedName name="STD_CQ_3" localSheetId="10">#REF!</definedName>
    <definedName name="STD_CQ_3">#REF!</definedName>
    <definedName name="STD_CQ_4" localSheetId="10">#REF!</definedName>
    <definedName name="STD_CQ_4">#REF!</definedName>
    <definedName name="STD_Description" localSheetId="10">#REF!</definedName>
    <definedName name="STD_Description">#REF!</definedName>
    <definedName name="STD_GL" localSheetId="10">#REF!</definedName>
    <definedName name="STD_GL">#REF!</definedName>
    <definedName name="suchii_usd_tod" localSheetId="10">[4]СЭЛТ!#REF!</definedName>
    <definedName name="suchii_usd_tod">[4]СЭЛТ!#REF!</definedName>
    <definedName name="sum" localSheetId="5">#REF!</definedName>
    <definedName name="SUM" localSheetId="10">'[31]НДС - июнь'!#REF!</definedName>
    <definedName name="SUM">'[31]НДС - июнь'!#REF!</definedName>
    <definedName name="Sum_Data" localSheetId="10">#REF!</definedName>
    <definedName name="Sum_Data">#REF!</definedName>
    <definedName name="SumFlDD" localSheetId="10">#REF!</definedName>
    <definedName name="SumFlDD">#REF!</definedName>
    <definedName name="SumFlDol" localSheetId="10">#REF!</definedName>
    <definedName name="SumFlDol">#REF!</definedName>
    <definedName name="SumFlEE" localSheetId="10">#REF!</definedName>
    <definedName name="SumFlEE">#REF!</definedName>
    <definedName name="SumFlEuro" localSheetId="10">#REF!</definedName>
    <definedName name="SumFlEuro">#REF!</definedName>
    <definedName name="SumFlRub" localSheetId="10">#REF!</definedName>
    <definedName name="SumFlRub">#REF!</definedName>
    <definedName name="SumJurDD" localSheetId="10">#REF!</definedName>
    <definedName name="SumJurDD">#REF!</definedName>
    <definedName name="SumJurDol" localSheetId="10">#REF!</definedName>
    <definedName name="SumJurDol">#REF!</definedName>
    <definedName name="SumJurEE" localSheetId="10">#REF!</definedName>
    <definedName name="SumJurEE">#REF!</definedName>
    <definedName name="SumJurEuro" localSheetId="10">#REF!</definedName>
    <definedName name="SumJurEuro">#REF!</definedName>
    <definedName name="SumJurRub" localSheetId="10">#REF!</definedName>
    <definedName name="SumJurRub">#REF!</definedName>
    <definedName name="SV_ENCPT_LOGON_PWD" hidden="1">"078104085088070"</definedName>
    <definedName name="SV_ENCPT_LOGON_USER" hidden="1">"095094088070084"</definedName>
    <definedName name="SV_REPORT_CODE" hidden="1">"P9-FI01-2-0"</definedName>
    <definedName name="SV_REPORT_ID" hidden="1">"4"</definedName>
    <definedName name="SV_REPORT_NAME" hidden="1">"Zambia Management Pack D-2-0 (P2007)"</definedName>
    <definedName name="SV_SOLUTION_ID" hidden="1">"0"</definedName>
    <definedName name="SYMBOLS1">'[21]1'!$C$10:$C$465</definedName>
    <definedName name="SYMBOLS2">'[21]2'!$C$10:$C$465</definedName>
    <definedName name="SYMBOLS3">'[21]3'!$C$10:$C$461</definedName>
    <definedName name="SYMBOLS4">'[21]4'!$C$10:$C$461</definedName>
    <definedName name="T" localSheetId="5">#REF!</definedName>
    <definedName name="t">'[4]#ССЫЛКА'!$B$99</definedName>
    <definedName name="T_DEL_210" localSheetId="10">#REF!</definedName>
    <definedName name="T_DEL_210">#REF!</definedName>
    <definedName name="T_DEL_2100" localSheetId="10">#REF!</definedName>
    <definedName name="T_DEL_2100">#REF!</definedName>
    <definedName name="T_DEL_2101" localSheetId="10">#REF!</definedName>
    <definedName name="T_DEL_2101">#REF!</definedName>
    <definedName name="T_DEL_2103" localSheetId="10">#REF!</definedName>
    <definedName name="T_DEL_2103">#REF!</definedName>
    <definedName name="T_DEL_2104" localSheetId="10">#REF!</definedName>
    <definedName name="T_DEL_2104">#REF!</definedName>
    <definedName name="T_DEL_2105" localSheetId="10">#REF!</definedName>
    <definedName name="T_DEL_2105">#REF!</definedName>
    <definedName name="T_DEL_2107" localSheetId="10">#REF!</definedName>
    <definedName name="T_DEL_2107">#REF!</definedName>
    <definedName name="T_DEL_2108" localSheetId="10">#REF!</definedName>
    <definedName name="T_DEL_2108">#REF!</definedName>
    <definedName name="T_DEL_2109" localSheetId="10">#REF!</definedName>
    <definedName name="T_DEL_2109">#REF!</definedName>
    <definedName name="T_DEL_211" localSheetId="10">#REF!</definedName>
    <definedName name="T_DEL_211">#REF!</definedName>
    <definedName name="T_DEL_2110" localSheetId="10">#REF!</definedName>
    <definedName name="T_DEL_2110">#REF!</definedName>
    <definedName name="T_DEL_2111" localSheetId="10">#REF!</definedName>
    <definedName name="T_DEL_2111">#REF!</definedName>
    <definedName name="T_DEL_2112" localSheetId="10">#REF!</definedName>
    <definedName name="T_DEL_2112">#REF!</definedName>
    <definedName name="T_DEL_2113" localSheetId="10">#REF!</definedName>
    <definedName name="T_DEL_2113">#REF!</definedName>
    <definedName name="T_DEL_2114" localSheetId="10">#REF!</definedName>
    <definedName name="T_DEL_2114">#REF!</definedName>
    <definedName name="T_DEL_2115" localSheetId="10">#REF!</definedName>
    <definedName name="T_DEL_2115">#REF!</definedName>
    <definedName name="T_DEL_2116" localSheetId="10">#REF!</definedName>
    <definedName name="T_DEL_2116">#REF!</definedName>
    <definedName name="T_DEL_2118" localSheetId="10">#REF!</definedName>
    <definedName name="T_DEL_2118">#REF!</definedName>
    <definedName name="T_DEL_2119" localSheetId="10">#REF!</definedName>
    <definedName name="T_DEL_2119">#REF!</definedName>
    <definedName name="T_DEL_212" localSheetId="10">#REF!</definedName>
    <definedName name="T_DEL_212">#REF!</definedName>
    <definedName name="T_DEL_2120" localSheetId="10">#REF!</definedName>
    <definedName name="T_DEL_2120">#REF!</definedName>
    <definedName name="T_DEL_2122" localSheetId="10">#REF!</definedName>
    <definedName name="T_DEL_2122">#REF!</definedName>
    <definedName name="T_DEL_2123" localSheetId="10">#REF!</definedName>
    <definedName name="T_DEL_2123">#REF!</definedName>
    <definedName name="T_DEL_2125" localSheetId="10">#REF!</definedName>
    <definedName name="T_DEL_2125">#REF!</definedName>
    <definedName name="T_DEL_2126" localSheetId="10">#REF!</definedName>
    <definedName name="T_DEL_2126">#REF!</definedName>
    <definedName name="T_DEL_2128" localSheetId="10">#REF!</definedName>
    <definedName name="T_DEL_2128">#REF!</definedName>
    <definedName name="T_DEL_2129" localSheetId="10">#REF!</definedName>
    <definedName name="T_DEL_2129">#REF!</definedName>
    <definedName name="T_DEL_2131" localSheetId="10">#REF!</definedName>
    <definedName name="T_DEL_2131">#REF!</definedName>
    <definedName name="T_DEL_2132" localSheetId="10">#REF!</definedName>
    <definedName name="T_DEL_2132">#REF!</definedName>
    <definedName name="T_DEL_214" localSheetId="10">#REF!</definedName>
    <definedName name="T_DEL_214">#REF!</definedName>
    <definedName name="T_DEL_215" localSheetId="10">#REF!</definedName>
    <definedName name="T_DEL_215">#REF!</definedName>
    <definedName name="T_DEL_216" localSheetId="10">#REF!</definedName>
    <definedName name="T_DEL_216">#REF!</definedName>
    <definedName name="T_DEL_218" localSheetId="10">#REF!</definedName>
    <definedName name="T_DEL_218">#REF!</definedName>
    <definedName name="T_DEL_219" localSheetId="10">#REF!</definedName>
    <definedName name="T_DEL_219">#REF!</definedName>
    <definedName name="T_DEL_221" localSheetId="10">#REF!</definedName>
    <definedName name="T_DEL_221">#REF!</definedName>
    <definedName name="T_DEL_222" localSheetId="10">#REF!</definedName>
    <definedName name="T_DEL_222">#REF!</definedName>
    <definedName name="T_DEL_223" localSheetId="10">#REF!</definedName>
    <definedName name="T_DEL_223">#REF!</definedName>
    <definedName name="T_DEL_225" localSheetId="10">#REF!</definedName>
    <definedName name="T_DEL_225">#REF!</definedName>
    <definedName name="T_DEL_226" localSheetId="10">#REF!</definedName>
    <definedName name="T_DEL_226">#REF!</definedName>
    <definedName name="T_DEL_227" localSheetId="10">#REF!</definedName>
    <definedName name="T_DEL_227">#REF!</definedName>
    <definedName name="T_DEL_228" localSheetId="10">#REF!</definedName>
    <definedName name="T_DEL_228">#REF!</definedName>
    <definedName name="T_DEL_230" localSheetId="10">#REF!</definedName>
    <definedName name="T_DEL_230">#REF!</definedName>
    <definedName name="T_DEL_231" localSheetId="10">#REF!</definedName>
    <definedName name="T_DEL_231">#REF!</definedName>
    <definedName name="T_DEL_233" localSheetId="10">#REF!</definedName>
    <definedName name="T_DEL_233">#REF!</definedName>
    <definedName name="T_DEL_234" localSheetId="10">#REF!</definedName>
    <definedName name="T_DEL_234">#REF!</definedName>
    <definedName name="T_DEL_235" localSheetId="10">#REF!</definedName>
    <definedName name="T_DEL_235">#REF!</definedName>
    <definedName name="T_DEL_237" localSheetId="10">#REF!</definedName>
    <definedName name="T_DEL_237">#REF!</definedName>
    <definedName name="T_DEL_238" localSheetId="10">#REF!</definedName>
    <definedName name="T_DEL_238">#REF!</definedName>
    <definedName name="T_DEL_24" localSheetId="10">#REF!</definedName>
    <definedName name="T_DEL_24">#REF!</definedName>
    <definedName name="T_DEL_240" localSheetId="10">#REF!</definedName>
    <definedName name="T_DEL_240">#REF!</definedName>
    <definedName name="T_DEL_241" localSheetId="10">#REF!</definedName>
    <definedName name="T_DEL_241">#REF!</definedName>
    <definedName name="T_DEL_242" localSheetId="10">#REF!</definedName>
    <definedName name="T_DEL_242">#REF!</definedName>
    <definedName name="T_DEL_244" localSheetId="10">#REF!</definedName>
    <definedName name="T_DEL_244">#REF!</definedName>
    <definedName name="T_DEL_245" localSheetId="10">#REF!</definedName>
    <definedName name="T_DEL_245">#REF!</definedName>
    <definedName name="T_DEL_246" localSheetId="10">#REF!</definedName>
    <definedName name="T_DEL_246">#REF!</definedName>
    <definedName name="T_DEL_248" localSheetId="10">#REF!</definedName>
    <definedName name="T_DEL_248">#REF!</definedName>
    <definedName name="T_DEL_249" localSheetId="10">#REF!</definedName>
    <definedName name="T_DEL_249">#REF!</definedName>
    <definedName name="T_DEL_25" localSheetId="10">#REF!</definedName>
    <definedName name="T_DEL_25">#REF!</definedName>
    <definedName name="T_DEL_251" localSheetId="10">#REF!</definedName>
    <definedName name="T_DEL_251">#REF!</definedName>
    <definedName name="T_DEL_252" localSheetId="10">#REF!</definedName>
    <definedName name="T_DEL_252">#REF!</definedName>
    <definedName name="T_DEL_254" localSheetId="10">#REF!</definedName>
    <definedName name="T_DEL_254">#REF!</definedName>
    <definedName name="T_DEL_255" localSheetId="10">#REF!</definedName>
    <definedName name="T_DEL_255">#REF!</definedName>
    <definedName name="T_DEL_257" localSheetId="10">#REF!</definedName>
    <definedName name="T_DEL_257">#REF!</definedName>
    <definedName name="T_DEL_258" localSheetId="10">#REF!</definedName>
    <definedName name="T_DEL_258">#REF!</definedName>
    <definedName name="T_DEL_26" localSheetId="10">#REF!</definedName>
    <definedName name="T_DEL_26">#REF!</definedName>
    <definedName name="T_DEL_260" localSheetId="10">#REF!</definedName>
    <definedName name="T_DEL_260">#REF!</definedName>
    <definedName name="T_DEL_261" localSheetId="10">#REF!</definedName>
    <definedName name="T_DEL_261">#REF!</definedName>
    <definedName name="T_DEL_262" localSheetId="10">#REF!</definedName>
    <definedName name="T_DEL_262">#REF!</definedName>
    <definedName name="T_DEL_264" localSheetId="10">#REF!</definedName>
    <definedName name="T_DEL_264">#REF!</definedName>
    <definedName name="T_DEL_265" localSheetId="10">#REF!</definedName>
    <definedName name="T_DEL_265">#REF!</definedName>
    <definedName name="T_DEL_266" localSheetId="10">#REF!</definedName>
    <definedName name="T_DEL_266">#REF!</definedName>
    <definedName name="T_DEL_268" localSheetId="10">#REF!</definedName>
    <definedName name="T_DEL_268">#REF!</definedName>
    <definedName name="T_DEL_269" localSheetId="10">#REF!</definedName>
    <definedName name="T_DEL_269">#REF!</definedName>
    <definedName name="T_DEL_270" localSheetId="10">#REF!</definedName>
    <definedName name="T_DEL_270">#REF!</definedName>
    <definedName name="T_DEL_271" localSheetId="10">#REF!</definedName>
    <definedName name="T_DEL_271">#REF!</definedName>
    <definedName name="T_DEL_272" localSheetId="10">#REF!</definedName>
    <definedName name="T_DEL_272">#REF!</definedName>
    <definedName name="T_DEL_273" localSheetId="10">#REF!</definedName>
    <definedName name="T_DEL_273">#REF!</definedName>
    <definedName name="T_DEL_275" localSheetId="10">#REF!</definedName>
    <definedName name="T_DEL_275">#REF!</definedName>
    <definedName name="T_DEL_276" localSheetId="10">#REF!</definedName>
    <definedName name="T_DEL_276">#REF!</definedName>
    <definedName name="T_DEL_277" localSheetId="10">#REF!</definedName>
    <definedName name="T_DEL_277">#REF!</definedName>
    <definedName name="T_DEL_278" localSheetId="10">#REF!</definedName>
    <definedName name="T_DEL_278">#REF!</definedName>
    <definedName name="T_DEL_279" localSheetId="10">#REF!</definedName>
    <definedName name="T_DEL_279">#REF!</definedName>
    <definedName name="T_DEL_28" localSheetId="10">#REF!</definedName>
    <definedName name="T_DEL_28">#REF!</definedName>
    <definedName name="T_DEL_281" localSheetId="10">#REF!</definedName>
    <definedName name="T_DEL_281">#REF!</definedName>
    <definedName name="T_DEL_282" localSheetId="10">#REF!</definedName>
    <definedName name="T_DEL_282">#REF!</definedName>
    <definedName name="T_DEL_283" localSheetId="10">#REF!</definedName>
    <definedName name="T_DEL_283">#REF!</definedName>
    <definedName name="T_DEL_285" localSheetId="10">#REF!</definedName>
    <definedName name="T_DEL_285">#REF!</definedName>
    <definedName name="T_DEL_286" localSheetId="10">#REF!</definedName>
    <definedName name="T_DEL_286">#REF!</definedName>
    <definedName name="T_DEL_287" localSheetId="10">#REF!</definedName>
    <definedName name="T_DEL_287">#REF!</definedName>
    <definedName name="T_DEL_289" localSheetId="10">#REF!</definedName>
    <definedName name="T_DEL_289">#REF!</definedName>
    <definedName name="T_DEL_29" localSheetId="10">#REF!</definedName>
    <definedName name="T_DEL_29">#REF!</definedName>
    <definedName name="T_DEL_290" localSheetId="10">#REF!</definedName>
    <definedName name="T_DEL_290">#REF!</definedName>
    <definedName name="T_DEL_292" localSheetId="10">#REF!</definedName>
    <definedName name="T_DEL_292">#REF!</definedName>
    <definedName name="T_DEL_293" localSheetId="10">#REF!</definedName>
    <definedName name="T_DEL_293">#REF!</definedName>
    <definedName name="T_DEL_295" localSheetId="10">#REF!</definedName>
    <definedName name="T_DEL_295">#REF!</definedName>
    <definedName name="T_DEL_296" localSheetId="10">#REF!</definedName>
    <definedName name="T_DEL_296">#REF!</definedName>
    <definedName name="T_DEL_297" localSheetId="10">#REF!</definedName>
    <definedName name="T_DEL_297">#REF!</definedName>
    <definedName name="T_DEL_299" localSheetId="10">#REF!</definedName>
    <definedName name="T_DEL_299">#REF!</definedName>
    <definedName name="T_IND_21331" localSheetId="10">#REF!</definedName>
    <definedName name="T_IND_21331">#REF!</definedName>
    <definedName name="T_IND_21441" localSheetId="10">#REF!</definedName>
    <definedName name="T_IND_21441">#REF!</definedName>
    <definedName name="T_IND_21511" localSheetId="10">#REF!</definedName>
    <definedName name="T_IND_21511">#REF!</definedName>
    <definedName name="T_IND_21541" localSheetId="10">#REF!</definedName>
    <definedName name="T_IND_21541">#REF!</definedName>
    <definedName name="T_IND_21591" localSheetId="10">#REF!</definedName>
    <definedName name="T_IND_21591">#REF!</definedName>
    <definedName name="T_INS_21341" localSheetId="10">#REF!</definedName>
    <definedName name="T_INS_21341">#REF!</definedName>
    <definedName name="T_INS_21351" localSheetId="10">#REF!</definedName>
    <definedName name="T_INS_21351">#REF!</definedName>
    <definedName name="T_INS_21361" localSheetId="10">#REF!</definedName>
    <definedName name="T_INS_21361">#REF!</definedName>
    <definedName name="T_INS_21371" localSheetId="10">#REF!</definedName>
    <definedName name="T_INS_21371">#REF!</definedName>
    <definedName name="T_INS_21381" localSheetId="10">#REF!</definedName>
    <definedName name="T_INS_21381">#REF!</definedName>
    <definedName name="T_INS_21391" localSheetId="10">#REF!</definedName>
    <definedName name="T_INS_21391">#REF!</definedName>
    <definedName name="T_INS_21401" localSheetId="10">#REF!</definedName>
    <definedName name="T_INS_21401">#REF!</definedName>
    <definedName name="T_INS_21411" localSheetId="10">#REF!</definedName>
    <definedName name="T_INS_21411">#REF!</definedName>
    <definedName name="T_INS_21421" localSheetId="10">#REF!</definedName>
    <definedName name="T_INS_21421">#REF!</definedName>
    <definedName name="T_INS_21431" localSheetId="10">#REF!</definedName>
    <definedName name="T_INS_21431">#REF!</definedName>
    <definedName name="T_INS_21451" localSheetId="10">#REF!</definedName>
    <definedName name="T_INS_21451">#REF!</definedName>
    <definedName name="T_INS_21461" localSheetId="10">#REF!</definedName>
    <definedName name="T_INS_21461">#REF!</definedName>
    <definedName name="T_INS_21471" localSheetId="10">#REF!</definedName>
    <definedName name="T_INS_21471">#REF!</definedName>
    <definedName name="T_INS_21481" localSheetId="10">#REF!</definedName>
    <definedName name="T_INS_21481">#REF!</definedName>
    <definedName name="T_INS_21491" localSheetId="10">#REF!</definedName>
    <definedName name="T_INS_21491">#REF!</definedName>
    <definedName name="T_INS_21501" localSheetId="10">#REF!</definedName>
    <definedName name="T_INS_21501">#REF!</definedName>
    <definedName name="T_INS_21521" localSheetId="10">#REF!</definedName>
    <definedName name="T_INS_21521">#REF!</definedName>
    <definedName name="T_INS_21531" localSheetId="10">#REF!</definedName>
    <definedName name="T_INS_21531">#REF!</definedName>
    <definedName name="T_INS_21551" localSheetId="10">#REF!</definedName>
    <definedName name="T_INS_21551">#REF!</definedName>
    <definedName name="T_INS_21561" localSheetId="10">#REF!</definedName>
    <definedName name="T_INS_21561">#REF!</definedName>
    <definedName name="T_INS_21571" localSheetId="10">#REF!</definedName>
    <definedName name="T_INS_21571">#REF!</definedName>
    <definedName name="T_INS_21581" localSheetId="10">#REF!</definedName>
    <definedName name="T_INS_21581">#REF!</definedName>
    <definedName name="T_INS_21601" localSheetId="10">#REF!</definedName>
    <definedName name="T_INS_21601">#REF!</definedName>
    <definedName name="T_INS_21611" localSheetId="10">#REF!</definedName>
    <definedName name="T_INS_21611">#REF!</definedName>
    <definedName name="T_INS_21621" localSheetId="10">#REF!</definedName>
    <definedName name="T_INS_21621">#REF!</definedName>
    <definedName name="T_INS_21631" localSheetId="10">#REF!</definedName>
    <definedName name="T_INS_21631">#REF!</definedName>
    <definedName name="T_INS_21641" localSheetId="10">#REF!</definedName>
    <definedName name="T_INS_21641">#REF!</definedName>
    <definedName name="T_INS_21651" localSheetId="10">#REF!</definedName>
    <definedName name="T_INS_21651">#REF!</definedName>
    <definedName name="T_INS_21661" localSheetId="10">#REF!</definedName>
    <definedName name="T_INS_21661">#REF!</definedName>
    <definedName name="T_INS_21671" localSheetId="10">#REF!</definedName>
    <definedName name="T_INS_21671">#REF!</definedName>
    <definedName name="T_INS_21681" localSheetId="10">#REF!</definedName>
    <definedName name="T_INS_21681">#REF!</definedName>
    <definedName name="T_INS_21691" localSheetId="10">#REF!</definedName>
    <definedName name="T_INS_21691">#REF!</definedName>
    <definedName name="T_INS_21701" localSheetId="10">#REF!</definedName>
    <definedName name="T_INS_21701">#REF!</definedName>
    <definedName name="T_INS_21711" localSheetId="10">#REF!</definedName>
    <definedName name="T_INS_21711">#REF!</definedName>
    <definedName name="T_INS_21721" localSheetId="10">#REF!</definedName>
    <definedName name="T_INS_21721">#REF!</definedName>
    <definedName name="T_INS_21731" localSheetId="10">#REF!</definedName>
    <definedName name="T_INS_21731">#REF!</definedName>
    <definedName name="T_INS_21741" localSheetId="10">#REF!</definedName>
    <definedName name="T_INS_21741">#REF!</definedName>
    <definedName name="T_MOD_1210" localSheetId="10">#REF!</definedName>
    <definedName name="T_MOD_1210">#REF!</definedName>
    <definedName name="T_MOD_1410" localSheetId="10">#REF!</definedName>
    <definedName name="T_MOD_1410">#REF!</definedName>
    <definedName name="T_MOD_610" localSheetId="10">#REF!</definedName>
    <definedName name="T_MOD_610">#REF!</definedName>
    <definedName name="T_MOD_910" localSheetId="10">#REF!</definedName>
    <definedName name="T_MOD_910">#REF!</definedName>
    <definedName name="TA_CQ_1" localSheetId="10">#REF!</definedName>
    <definedName name="TA_CQ_1">#REF!</definedName>
    <definedName name="TA_CQ_2" localSheetId="10">#REF!</definedName>
    <definedName name="TA_CQ_2">#REF!</definedName>
    <definedName name="TA_CQ_3" localSheetId="10">#REF!</definedName>
    <definedName name="TA_CQ_3">#REF!</definedName>
    <definedName name="TA_CQ_4" localSheetId="10">#REF!</definedName>
    <definedName name="TA_CQ_4">#REF!</definedName>
    <definedName name="TA_Description" localSheetId="10">#REF!</definedName>
    <definedName name="TA_Description">#REF!</definedName>
    <definedName name="TA_GL" localSheetId="10">#REF!</definedName>
    <definedName name="TA_GL">#REF!</definedName>
    <definedName name="TabHeader" localSheetId="10">#REF!</definedName>
    <definedName name="TabHeader">#REF!</definedName>
    <definedName name="TabHeaderEx" localSheetId="10">#REF!</definedName>
    <definedName name="TabHeaderEx">#REF!</definedName>
    <definedName name="Table" localSheetId="10">#REF!</definedName>
    <definedName name="Table">#REF!</definedName>
    <definedName name="table_param" localSheetId="10">#REF!</definedName>
    <definedName name="table_param">#REF!</definedName>
    <definedName name="Tables_25_27">'[4]#ССЫЛКА'!$A$1:$I$2701</definedName>
    <definedName name="tahoma">'[4]#ССЫЛКА'!$1:$1048576</definedName>
    <definedName name="Tatev" localSheetId="10">'[4]5222 '!#REF!</definedName>
    <definedName name="Tatev">'[4]5222 '!#REF!</definedName>
    <definedName name="tax" localSheetId="10">#REF!</definedName>
    <definedName name="tax">#REF!</definedName>
    <definedName name="Tax_Effect_Income" localSheetId="10">#REF!</definedName>
    <definedName name="Tax_Effect_Income">#REF!</definedName>
    <definedName name="Tax_Effect_Liabs">'[19]Summary of Misstatements'!$J$53</definedName>
    <definedName name="Tax_Effect_RetEarn" localSheetId="10">#REF!</definedName>
    <definedName name="Tax_Effect_RetEarn">#REF!</definedName>
    <definedName name="Tax_Rate">[4]Assumptions!$C$102</definedName>
    <definedName name="Taxonomy" localSheetId="10">#REF!</definedName>
    <definedName name="Taxonomy">#REF!</definedName>
    <definedName name="TB">[11]Summary!#REF!</definedName>
    <definedName name="TC" localSheetId="10">#REF!</definedName>
    <definedName name="TC">#REF!</definedName>
    <definedName name="TCACUM96" localSheetId="10">'[1]5 D'!#REF!</definedName>
    <definedName name="TCACUM96">'[1]5 D'!#REF!</definedName>
    <definedName name="TCACUM97" localSheetId="10">'[1]5 D'!#REF!</definedName>
    <definedName name="TCACUM97">'[1]5 D'!#REF!</definedName>
    <definedName name="TCCED6" localSheetId="10">'[1]5 D'!#REF!</definedName>
    <definedName name="TCCED6">'[1]5 D'!#REF!</definedName>
    <definedName name="TCCED6A" localSheetId="10">'[1]5 D'!#REF!</definedName>
    <definedName name="TCCED6A">'[1]5 D'!#REF!</definedName>
    <definedName name="TCMP" localSheetId="10">'[1]5 D'!#REF!</definedName>
    <definedName name="TCMP">'[1]5 D'!#REF!</definedName>
    <definedName name="TCMPA" localSheetId="10">'[1]5 D'!#REF!</definedName>
    <definedName name="TCMPA">'[1]5 D'!#REF!</definedName>
    <definedName name="TCMPAC" localSheetId="10">'[1]5 D'!#REF!</definedName>
    <definedName name="TCMPAC">'[1]5 D'!#REF!</definedName>
    <definedName name="TCMPACA" localSheetId="10">'[1]5 D'!#REF!</definedName>
    <definedName name="TCMPACA">'[1]5 D'!#REF!</definedName>
    <definedName name="TCOL_CQ_1" localSheetId="10">#REF!</definedName>
    <definedName name="TCOL_CQ_1">#REF!</definedName>
    <definedName name="TCOL_CQ_2" localSheetId="10">#REF!</definedName>
    <definedName name="TCOL_CQ_2">#REF!</definedName>
    <definedName name="TCOL_CQ_3" localSheetId="10">#REF!</definedName>
    <definedName name="TCOL_CQ_3">#REF!</definedName>
    <definedName name="TCOL_CQ_4" localSheetId="10">#REF!</definedName>
    <definedName name="TCOL_CQ_4">#REF!</definedName>
    <definedName name="TCOL_Description" localSheetId="10">#REF!</definedName>
    <definedName name="TCOL_Description">#REF!</definedName>
    <definedName name="TCOL_GL" localSheetId="10">#REF!</definedName>
    <definedName name="TCOL_GL">#REF!</definedName>
    <definedName name="tek_formula_yes">[0]!tek_formula_yes</definedName>
    <definedName name="TEST0" localSheetId="10">#REF!</definedName>
    <definedName name="TEST0">#REF!</definedName>
    <definedName name="TEST1" localSheetId="10">#REF!</definedName>
    <definedName name="TEST1">#REF!</definedName>
    <definedName name="TEST18" localSheetId="10">#REF!</definedName>
    <definedName name="TEST18">#REF!</definedName>
    <definedName name="TEST19" localSheetId="10">#REF!</definedName>
    <definedName name="TEST19">#REF!</definedName>
    <definedName name="TEST2" localSheetId="10">#REF!</definedName>
    <definedName name="TEST2">#REF!</definedName>
    <definedName name="TEST20" localSheetId="10">#REF!</definedName>
    <definedName name="TEST20">#REF!</definedName>
    <definedName name="TEST21" localSheetId="10">#REF!</definedName>
    <definedName name="TEST21">#REF!</definedName>
    <definedName name="TEST22" localSheetId="10">#REF!</definedName>
    <definedName name="TEST22">#REF!</definedName>
    <definedName name="TEST23" localSheetId="10">#REF!</definedName>
    <definedName name="TEST23">#REF!</definedName>
    <definedName name="TEST24" localSheetId="10">#REF!</definedName>
    <definedName name="TEST24">#REF!</definedName>
    <definedName name="TEST25" localSheetId="10">#REF!</definedName>
    <definedName name="TEST25">#REF!</definedName>
    <definedName name="TEST26" localSheetId="10">#REF!</definedName>
    <definedName name="TEST26">#REF!</definedName>
    <definedName name="TEST27" localSheetId="10">#REF!</definedName>
    <definedName name="TEST27">#REF!</definedName>
    <definedName name="TEST3" localSheetId="10">#REF!</definedName>
    <definedName name="TEST3">#REF!</definedName>
    <definedName name="TEST4" localSheetId="10">#REF!</definedName>
    <definedName name="TEST4">#REF!</definedName>
    <definedName name="TEST5" localSheetId="10">#REF!</definedName>
    <definedName name="TEST5">#REF!</definedName>
    <definedName name="TESTHKEY" localSheetId="10">#REF!</definedName>
    <definedName name="TESTHKEY">#REF!</definedName>
    <definedName name="TESTKEYS" localSheetId="10">#REF!</definedName>
    <definedName name="TESTKEYS">#REF!</definedName>
    <definedName name="TESTVKEY" localSheetId="10">#REF!</definedName>
    <definedName name="TESTVKEY">#REF!</definedName>
    <definedName name="TextA" localSheetId="10">[46]MetaData!#REF!</definedName>
    <definedName name="TextA">[46]MetaData!#REF!</definedName>
    <definedName name="TextB1" localSheetId="10">[46]MetaData!#REF!</definedName>
    <definedName name="TextB1">[46]MetaData!#REF!</definedName>
    <definedName name="TextB2" localSheetId="10">[46]MetaData!#REF!</definedName>
    <definedName name="TextB2">[46]MetaData!#REF!</definedName>
    <definedName name="TextB3" localSheetId="10">[46]MetaData!#REF!</definedName>
    <definedName name="TextB3">[46]MetaData!#REF!</definedName>
    <definedName name="TextC" localSheetId="10">[46]MetaData!#REF!</definedName>
    <definedName name="TextC">[46]MetaData!#REF!</definedName>
    <definedName name="TextD" localSheetId="10">[46]MetaData!#REF!</definedName>
    <definedName name="TextD">[46]MetaData!#REF!</definedName>
    <definedName name="TextE" localSheetId="10">[46]MetaData!#REF!</definedName>
    <definedName name="TextE">[46]MetaData!#REF!</definedName>
    <definedName name="TextF" localSheetId="10">[46]MetaData!#REF!</definedName>
    <definedName name="TextF">[46]MetaData!#REF!</definedName>
    <definedName name="TextG" localSheetId="10">[46]MetaData!#REF!</definedName>
    <definedName name="TextG">[46]MetaData!#REF!</definedName>
    <definedName name="TextH" localSheetId="10">[46]MetaData!#REF!</definedName>
    <definedName name="TextH">[46]MetaData!#REF!</definedName>
    <definedName name="TextI" localSheetId="10">[46]MetaData!#REF!</definedName>
    <definedName name="TextI">[46]MetaData!#REF!</definedName>
    <definedName name="TextJ" localSheetId="10">[46]MetaData!#REF!</definedName>
    <definedName name="TextJ">[46]MetaData!#REF!</definedName>
    <definedName name="TextK" localSheetId="10">[46]MetaData!#REF!</definedName>
    <definedName name="TextK">[46]MetaData!#REF!</definedName>
    <definedName name="TextL" localSheetId="10">[46]MetaData!#REF!</definedName>
    <definedName name="TextL">[46]MetaData!#REF!</definedName>
    <definedName name="TextM" localSheetId="10">[46]MetaData!#REF!</definedName>
    <definedName name="TextM">[46]MetaData!#REF!</definedName>
    <definedName name="TextN" localSheetId="10">[46]MetaData!#REF!</definedName>
    <definedName name="TextN">[46]MetaData!#REF!</definedName>
    <definedName name="TextO" localSheetId="10">[46]MetaData!#REF!</definedName>
    <definedName name="TextO">[46]MetaData!#REF!</definedName>
    <definedName name="TextP" localSheetId="10">[46]MetaData!#REF!</definedName>
    <definedName name="TextP">[46]MetaData!#REF!</definedName>
    <definedName name="TextQ" localSheetId="10">[46]MetaData!#REF!</definedName>
    <definedName name="TextQ">[46]MetaData!#REF!</definedName>
    <definedName name="TextR" localSheetId="10">[46]MetaData!#REF!</definedName>
    <definedName name="TextR">[46]MetaData!#REF!</definedName>
    <definedName name="TextRefCopy10">[47]PPE!$G$16</definedName>
    <definedName name="TextRefCopy100" localSheetId="10">'[48]CCY Revaluation'!#REF!</definedName>
    <definedName name="TextRefCopy100">'[48]CCY Revaluation'!#REF!</definedName>
    <definedName name="TextRefCopy101" localSheetId="10">[49]lead!#REF!</definedName>
    <definedName name="TextRefCopy101">[49]lead!#REF!</definedName>
    <definedName name="TextRefCopy102" localSheetId="10">[49]lead!#REF!</definedName>
    <definedName name="TextRefCopy102">[49]lead!#REF!</definedName>
    <definedName name="TextRefCopy103" localSheetId="10">[49]lead!#REF!</definedName>
    <definedName name="TextRefCopy103">[49]lead!#REF!</definedName>
    <definedName name="TextRefCopy104" localSheetId="10">[49]lead!#REF!</definedName>
    <definedName name="TextRefCopy104">[49]lead!#REF!</definedName>
    <definedName name="TextRefCopy105" localSheetId="10">[49]lead!#REF!</definedName>
    <definedName name="TextRefCopy105">[49]lead!#REF!</definedName>
    <definedName name="TextRefCopy106" localSheetId="10">[49]lead!#REF!</definedName>
    <definedName name="TextRefCopy106">[49]lead!#REF!</definedName>
    <definedName name="TextRefCopy107" localSheetId="10">[49]lead!#REF!</definedName>
    <definedName name="TextRefCopy107">[49]lead!#REF!</definedName>
    <definedName name="TextRefCopy108" localSheetId="10">'[48]REPO Deals'!#REF!</definedName>
    <definedName name="TextRefCopy108">'[48]REPO Deals'!#REF!</definedName>
    <definedName name="TextRefCopy109" localSheetId="10">'[49]REPO Deals'!#REF!</definedName>
    <definedName name="TextRefCopy109">'[49]REPO Deals'!#REF!</definedName>
    <definedName name="TextRefCopy11">[47]PPE!$I$16</definedName>
    <definedName name="TextRefCopy110" localSheetId="10">'[49]REPO Deals'!#REF!</definedName>
    <definedName name="TextRefCopy110">'[49]REPO Deals'!#REF!</definedName>
    <definedName name="TextRefCopy111" localSheetId="10">'[48]REPO Deals'!#REF!</definedName>
    <definedName name="TextRefCopy111">'[48]REPO Deals'!#REF!</definedName>
    <definedName name="TextRefCopy112" localSheetId="10">'[48]Recon''n'!#REF!</definedName>
    <definedName name="TextRefCopy112">'[48]Recon''n'!#REF!</definedName>
    <definedName name="TextRefCopy113" localSheetId="10">'[48]Recon''n'!#REF!</definedName>
    <definedName name="TextRefCopy113">'[48]Recon''n'!#REF!</definedName>
    <definedName name="TextRefCopy114" localSheetId="10">'[48]Recon''n'!#REF!</definedName>
    <definedName name="TextRefCopy114">'[48]Recon''n'!#REF!</definedName>
    <definedName name="TextRefCopy115" localSheetId="10">'[48]Recon''n'!#REF!</definedName>
    <definedName name="TextRefCopy115">'[48]Recon''n'!#REF!</definedName>
    <definedName name="TextRefCopy116" localSheetId="10">'[48]Recon''n'!#REF!</definedName>
    <definedName name="TextRefCopy116">'[48]Recon''n'!#REF!</definedName>
    <definedName name="TextRefCopy117" localSheetId="10">'[48]Recon''n'!#REF!</definedName>
    <definedName name="TextRefCopy117">'[48]Recon''n'!#REF!</definedName>
    <definedName name="TextRefCopy118" localSheetId="10">'[48]Recon''n'!#REF!</definedName>
    <definedName name="TextRefCopy118">'[48]Recon''n'!#REF!</definedName>
    <definedName name="TextRefCopy119" localSheetId="10">'[48]Recon''n'!#REF!</definedName>
    <definedName name="TextRefCopy119">'[48]Recon''n'!#REF!</definedName>
    <definedName name="TextRefCopy12" localSheetId="10">#REF!</definedName>
    <definedName name="TextRefCopy12">#REF!</definedName>
    <definedName name="TextRefCopy120" localSheetId="10">'[48]Recon''n'!#REF!</definedName>
    <definedName name="TextRefCopy120">'[48]Recon''n'!#REF!</definedName>
    <definedName name="TextRefCopy121" localSheetId="10">'[48]Recon''n'!#REF!</definedName>
    <definedName name="TextRefCopy121">'[48]Recon''n'!#REF!</definedName>
    <definedName name="TextRefCopy122" localSheetId="10">'[48]Recon''n'!#REF!</definedName>
    <definedName name="TextRefCopy122">'[48]Recon''n'!#REF!</definedName>
    <definedName name="TextRefCopy123" localSheetId="10">[50]HLR05!#REF!</definedName>
    <definedName name="TextRefCopy123">[50]HLR05!#REF!</definedName>
    <definedName name="TextRefCopy124" localSheetId="10">#REF!</definedName>
    <definedName name="TextRefCopy124">#REF!</definedName>
    <definedName name="TextRefCopy125" localSheetId="10">[50]HLR05!#REF!</definedName>
    <definedName name="TextRefCopy125">[50]HLR05!#REF!</definedName>
    <definedName name="TextRefCopy126" localSheetId="10">#REF!</definedName>
    <definedName name="TextRefCopy126">#REF!</definedName>
    <definedName name="TextRefCopy127" localSheetId="10">[50]HLR05!#REF!</definedName>
    <definedName name="TextRefCopy127">[50]HLR05!#REF!</definedName>
    <definedName name="TextRefCopy128" localSheetId="10">#REF!</definedName>
    <definedName name="TextRefCopy128">#REF!</definedName>
    <definedName name="TextRefCopy129" localSheetId="10">#REF!</definedName>
    <definedName name="TextRefCopy129">#REF!</definedName>
    <definedName name="TextRefCopy13" localSheetId="10">#REF!</definedName>
    <definedName name="TextRefCopy13">#REF!</definedName>
    <definedName name="TextRefCopy130" localSheetId="10">[50]HLR05!#REF!</definedName>
    <definedName name="TextRefCopy130">[50]HLR05!#REF!</definedName>
    <definedName name="TextRefCopy131" localSheetId="10">[50]HLR05!#REF!</definedName>
    <definedName name="TextRefCopy131">[50]HLR05!#REF!</definedName>
    <definedName name="TextRefCopy132" localSheetId="10">#REF!</definedName>
    <definedName name="TextRefCopy132">#REF!</definedName>
    <definedName name="TextRefCopy133" localSheetId="10">[50]HLR05!#REF!</definedName>
    <definedName name="TextRefCopy133">[50]HLR05!#REF!</definedName>
    <definedName name="TextRefCopy134" localSheetId="10">#REF!</definedName>
    <definedName name="TextRefCopy134">#REF!</definedName>
    <definedName name="TextRefCopy135" localSheetId="10">[50]HLR05!#REF!</definedName>
    <definedName name="TextRefCopy135">[50]HLR05!#REF!</definedName>
    <definedName name="TextRefCopy136" localSheetId="10">[50]HLR05!#REF!</definedName>
    <definedName name="TextRefCopy136">[50]HLR05!#REF!</definedName>
    <definedName name="TextRefCopy137" localSheetId="10">#REF!</definedName>
    <definedName name="TextRefCopy137">#REF!</definedName>
    <definedName name="TextRefCopy138" localSheetId="10">[50]HLR05!#REF!</definedName>
    <definedName name="TextRefCopy138">[50]HLR05!#REF!</definedName>
    <definedName name="TextRefCopy139" localSheetId="10">#REF!</definedName>
    <definedName name="TextRefCopy139">#REF!</definedName>
    <definedName name="TextRefCopy14" localSheetId="10">#REF!</definedName>
    <definedName name="TextRefCopy14">#REF!</definedName>
    <definedName name="TextRefCopy140" localSheetId="10">#REF!</definedName>
    <definedName name="TextRefCopy140">#REF!</definedName>
    <definedName name="TextRefCopy141" localSheetId="10">[50]HLR05!#REF!</definedName>
    <definedName name="TextRefCopy141">[50]HLR05!#REF!</definedName>
    <definedName name="TextRefCopy142" localSheetId="10">#REF!</definedName>
    <definedName name="TextRefCopy142">#REF!</definedName>
    <definedName name="TextRefCopy143" localSheetId="10">[50]HLR05!#REF!</definedName>
    <definedName name="TextRefCopy143">[50]HLR05!#REF!</definedName>
    <definedName name="TextRefCopy144" localSheetId="10">#REF!</definedName>
    <definedName name="TextRefCopy144">#REF!</definedName>
    <definedName name="TextRefCopy145" localSheetId="10">#REF!</definedName>
    <definedName name="TextRefCopy145">#REF!</definedName>
    <definedName name="TextRefCopy146" localSheetId="10">#REF!</definedName>
    <definedName name="TextRefCopy146">#REF!</definedName>
    <definedName name="TextRefCopy147">[51]BD!$D$36</definedName>
    <definedName name="TextRefCopy148" localSheetId="10">#REF!</definedName>
    <definedName name="TextRefCopy148">#REF!</definedName>
    <definedName name="TextRefCopy149" localSheetId="10">[50]HLR05!#REF!</definedName>
    <definedName name="TextRefCopy149">[50]HLR05!#REF!</definedName>
    <definedName name="TextRefCopy150" localSheetId="10">[50]HLR05!#REF!</definedName>
    <definedName name="TextRefCopy150">[50]HLR05!#REF!</definedName>
    <definedName name="TextRefCopy151" localSheetId="10">#REF!</definedName>
    <definedName name="TextRefCopy151">#REF!</definedName>
    <definedName name="TextRefCopy152" localSheetId="10">#REF!</definedName>
    <definedName name="TextRefCopy152">#REF!</definedName>
    <definedName name="TextRefCopy153" localSheetId="10">[50]HLR05!#REF!</definedName>
    <definedName name="TextRefCopy153">[50]HLR05!#REF!</definedName>
    <definedName name="TextRefCopy154" localSheetId="10">#REF!</definedName>
    <definedName name="TextRefCopy154">#REF!</definedName>
    <definedName name="TextRefCopy155" localSheetId="10">[50]HLR05!#REF!</definedName>
    <definedName name="TextRefCopy155">[50]HLR05!#REF!</definedName>
    <definedName name="TextRefCopy156" localSheetId="10">[50]HLR05!#REF!</definedName>
    <definedName name="TextRefCopy156">[50]HLR05!#REF!</definedName>
    <definedName name="TextRefCopy157" localSheetId="10">#REF!</definedName>
    <definedName name="TextRefCopy157">#REF!</definedName>
    <definedName name="TextRefCopy158" localSheetId="10">#REF!</definedName>
    <definedName name="TextRefCopy158">#REF!</definedName>
    <definedName name="TextRefCopy159" localSheetId="10">[50]HLR05!#REF!</definedName>
    <definedName name="TextRefCopy159">[50]HLR05!#REF!</definedName>
    <definedName name="TextRefCopy16" localSheetId="10">#REF!</definedName>
    <definedName name="TextRefCopy16">#REF!</definedName>
    <definedName name="TextRefCopy160" localSheetId="10">[50]HLR05!#REF!</definedName>
    <definedName name="TextRefCopy160">[50]HLR05!#REF!</definedName>
    <definedName name="TextRefCopy161">'[52]Credit lines - PBC'!$F$18</definedName>
    <definedName name="TextRefCopy162" localSheetId="10">#REF!</definedName>
    <definedName name="TextRefCopy162">#REF!</definedName>
    <definedName name="TextRefCopy163" localSheetId="10">[50]HLR05!#REF!</definedName>
    <definedName name="TextRefCopy163">[50]HLR05!#REF!</definedName>
    <definedName name="TextRefCopy164" localSheetId="10">#REF!</definedName>
    <definedName name="TextRefCopy164">#REF!</definedName>
    <definedName name="TextRefCopy165" localSheetId="10">[50]HLR05!#REF!</definedName>
    <definedName name="TextRefCopy165">[50]HLR05!#REF!</definedName>
    <definedName name="TextRefCopy166" localSheetId="10">[50]HLR05!#REF!</definedName>
    <definedName name="TextRefCopy166">[50]HLR05!#REF!</definedName>
    <definedName name="TextRefCopy167" localSheetId="10">'[52]Credit lines - PBC'!#REF!</definedName>
    <definedName name="TextRefCopy167">'[52]Credit lines - PBC'!#REF!</definedName>
    <definedName name="TextRefCopy168" localSheetId="10">#REF!</definedName>
    <definedName name="TextRefCopy168">#REF!</definedName>
    <definedName name="TextRefCopy169" localSheetId="10">[50]HLR05!#REF!</definedName>
    <definedName name="TextRefCopy169">[50]HLR05!#REF!</definedName>
    <definedName name="TextRefCopy170" localSheetId="10">#REF!</definedName>
    <definedName name="TextRefCopy170">#REF!</definedName>
    <definedName name="TextRefCopy171" localSheetId="10">[50]HLR05!#REF!</definedName>
    <definedName name="TextRefCopy171">[50]HLR05!#REF!</definedName>
    <definedName name="TextRefCopy172" localSheetId="10">[50]HLR05!#REF!</definedName>
    <definedName name="TextRefCopy172">[50]HLR05!#REF!</definedName>
    <definedName name="TextRefCopy173" localSheetId="10">#REF!</definedName>
    <definedName name="TextRefCopy173">#REF!</definedName>
    <definedName name="TextRefCopy174" localSheetId="10">[50]HLR05!#REF!</definedName>
    <definedName name="TextRefCopy174">[50]HLR05!#REF!</definedName>
    <definedName name="TextRefCopy175" localSheetId="10">#REF!</definedName>
    <definedName name="TextRefCopy175">#REF!</definedName>
    <definedName name="TextRefCopy176" localSheetId="10">'[52]Accrued interest - PBC'!#REF!</definedName>
    <definedName name="TextRefCopy176">'[52]Accrued interest - PBC'!#REF!</definedName>
    <definedName name="TextRefCopy177" localSheetId="10">[50]HLR05!#REF!</definedName>
    <definedName name="TextRefCopy177">[50]HLR05!#REF!</definedName>
    <definedName name="TextRefCopy178" localSheetId="10">#REF!</definedName>
    <definedName name="TextRefCopy178">#REF!</definedName>
    <definedName name="TextRefCopy179" localSheetId="10">'[52]Accrued interest - PBC'!#REF!</definedName>
    <definedName name="TextRefCopy179">'[52]Accrued interest - PBC'!#REF!</definedName>
    <definedName name="TextRefCopy18" localSheetId="10">#REF!</definedName>
    <definedName name="TextRefCopy18">#REF!</definedName>
    <definedName name="TextRefCopy180" localSheetId="10">[50]HLR05!#REF!</definedName>
    <definedName name="TextRefCopy180">[50]HLR05!#REF!</definedName>
    <definedName name="TextRefCopy181" localSheetId="10">#REF!</definedName>
    <definedName name="TextRefCopy181">#REF!</definedName>
    <definedName name="TextRefCopy182" localSheetId="10">[50]HLR05!#REF!</definedName>
    <definedName name="TextRefCopy182">[50]HLR05!#REF!</definedName>
    <definedName name="TextRefCopy183" localSheetId="10">[50]HLR05!#REF!</definedName>
    <definedName name="TextRefCopy183">[50]HLR05!#REF!</definedName>
    <definedName name="TextRefCopy184" localSheetId="10">#REF!</definedName>
    <definedName name="TextRefCopy184">#REF!</definedName>
    <definedName name="TextRefCopy185" localSheetId="10">#REF!</definedName>
    <definedName name="TextRefCopy185">#REF!</definedName>
    <definedName name="TextRefCopy186" localSheetId="10">[53]summary!#REF!</definedName>
    <definedName name="TextRefCopy186">[53]summary!#REF!</definedName>
    <definedName name="TextRefCopy187" localSheetId="10">#REF!</definedName>
    <definedName name="TextRefCopy187">#REF!</definedName>
    <definedName name="TextRefCopy189" localSheetId="10">#REF!</definedName>
    <definedName name="TextRefCopy189">#REF!</definedName>
    <definedName name="TextRefCopy19" localSheetId="10">#REF!</definedName>
    <definedName name="TextRefCopy19">#REF!</definedName>
    <definedName name="TextRefCopy191" localSheetId="10">#REF!</definedName>
    <definedName name="TextRefCopy191">#REF!</definedName>
    <definedName name="TextRefCopy192" localSheetId="10">#REF!</definedName>
    <definedName name="TextRefCopy192">#REF!</definedName>
    <definedName name="TextRefCopy193" localSheetId="10">#REF!</definedName>
    <definedName name="TextRefCopy193">#REF!</definedName>
    <definedName name="TextRefCopy194" localSheetId="10">#REF!</definedName>
    <definedName name="TextRefCopy194">#REF!</definedName>
    <definedName name="TextRefCopy195" localSheetId="10">#REF!</definedName>
    <definedName name="TextRefCopy195">#REF!</definedName>
    <definedName name="TextRefCopy196" localSheetId="10">#REF!</definedName>
    <definedName name="TextRefCopy196">#REF!</definedName>
    <definedName name="TextRefCopy197" localSheetId="10">#REF!</definedName>
    <definedName name="TextRefCopy197">#REF!</definedName>
    <definedName name="TextRefCopy198" localSheetId="10">#REF!</definedName>
    <definedName name="TextRefCopy198">#REF!</definedName>
    <definedName name="TextRefCopy199" localSheetId="10">#REF!</definedName>
    <definedName name="TextRefCopy199">#REF!</definedName>
    <definedName name="TextRefCopy20" localSheetId="10">#REF!</definedName>
    <definedName name="TextRefCopy20">#REF!</definedName>
    <definedName name="TextRefCopy200" localSheetId="10">#REF!</definedName>
    <definedName name="TextRefCopy200">#REF!</definedName>
    <definedName name="TextRefCopy201" localSheetId="10">#REF!</definedName>
    <definedName name="TextRefCopy201">#REF!</definedName>
    <definedName name="TextRefCopy202" localSheetId="10">#REF!</definedName>
    <definedName name="TextRefCopy202">#REF!</definedName>
    <definedName name="TextRefCopy203" localSheetId="10">#REF!</definedName>
    <definedName name="TextRefCopy203">#REF!</definedName>
    <definedName name="TextRefCopy204" localSheetId="10">#REF!</definedName>
    <definedName name="TextRefCopy204">#REF!</definedName>
    <definedName name="TextRefCopy205" localSheetId="10">#REF!</definedName>
    <definedName name="TextRefCopy205">#REF!</definedName>
    <definedName name="TextRefCopy206" localSheetId="10">#REF!</definedName>
    <definedName name="TextRefCopy206">#REF!</definedName>
    <definedName name="TextRefCopy208" localSheetId="10">#REF!</definedName>
    <definedName name="TextRefCopy208">#REF!</definedName>
    <definedName name="TextRefCopy209" localSheetId="10">[53]summary!#REF!</definedName>
    <definedName name="TextRefCopy209">[53]summary!#REF!</definedName>
    <definedName name="TextRefCopy21" localSheetId="10">#REF!</definedName>
    <definedName name="TextRefCopy21">#REF!</definedName>
    <definedName name="TextRefCopy210" localSheetId="10">#REF!</definedName>
    <definedName name="TextRefCopy210">#REF!</definedName>
    <definedName name="TextRefCopy211" localSheetId="10">#REF!</definedName>
    <definedName name="TextRefCopy211">#REF!</definedName>
    <definedName name="TextRefCopy212" localSheetId="10">#REF!</definedName>
    <definedName name="TextRefCopy212">#REF!</definedName>
    <definedName name="TextRefCopy213" localSheetId="10">#REF!</definedName>
    <definedName name="TextRefCopy213">#REF!</definedName>
    <definedName name="TextRefCopy214" localSheetId="10">#REF!</definedName>
    <definedName name="TextRefCopy214">#REF!</definedName>
    <definedName name="TextRefCopy215" localSheetId="10">#REF!</definedName>
    <definedName name="TextRefCopy215">#REF!</definedName>
    <definedName name="TextRefCopy216" localSheetId="10">#REF!</definedName>
    <definedName name="TextRefCopy216">#REF!</definedName>
    <definedName name="TextRefCopy217" localSheetId="10">#REF!</definedName>
    <definedName name="TextRefCopy217">#REF!</definedName>
    <definedName name="TextRefCopy218" localSheetId="10">[53]summary!#REF!</definedName>
    <definedName name="TextRefCopy218">[53]summary!#REF!</definedName>
    <definedName name="TextRefCopy219" localSheetId="10">#REF!</definedName>
    <definedName name="TextRefCopy219">#REF!</definedName>
    <definedName name="TextRefCopy22" localSheetId="10">#REF!</definedName>
    <definedName name="TextRefCopy22">#REF!</definedName>
    <definedName name="TextRefCopy220" localSheetId="10">[53]summary!#REF!</definedName>
    <definedName name="TextRefCopy220">[53]summary!#REF!</definedName>
    <definedName name="TextRefCopy221" localSheetId="10">#REF!</definedName>
    <definedName name="TextRefCopy221">#REF!</definedName>
    <definedName name="TextRefCopy222" localSheetId="10">#REF!</definedName>
    <definedName name="TextRefCopy222">#REF!</definedName>
    <definedName name="TextRefCopy223" localSheetId="10">#REF!</definedName>
    <definedName name="TextRefCopy223">#REF!</definedName>
    <definedName name="TextRefCopy23" localSheetId="10">#REF!</definedName>
    <definedName name="TextRefCopy23">#REF!</definedName>
    <definedName name="TextRefCopy24" localSheetId="10">#REF!</definedName>
    <definedName name="TextRefCopy24">#REF!</definedName>
    <definedName name="TextRefCopy245" localSheetId="10">[54]Shares_AFS!#REF!</definedName>
    <definedName name="TextRefCopy245">[54]Shares_AFS!#REF!</definedName>
    <definedName name="TextRefCopy246" localSheetId="10">[54]Shares_AFS!#REF!</definedName>
    <definedName name="TextRefCopy246">[54]Shares_AFS!#REF!</definedName>
    <definedName name="TextRefCopy25" localSheetId="10">#REF!</definedName>
    <definedName name="TextRefCopy25">#REF!</definedName>
    <definedName name="TextRefCopy254" localSheetId="10">[54]Shares_AFS!#REF!</definedName>
    <definedName name="TextRefCopy254">[54]Shares_AFS!#REF!</definedName>
    <definedName name="TextRefCopy257" localSheetId="10">[54]Shares_AFS!#REF!</definedName>
    <definedName name="TextRefCopy257">[54]Shares_AFS!#REF!</definedName>
    <definedName name="TextRefCopy26" localSheetId="10">#REF!</definedName>
    <definedName name="TextRefCopy26">#REF!</definedName>
    <definedName name="TextRefCopy262" localSheetId="10">[54]Shares_AFS!#REF!</definedName>
    <definedName name="TextRefCopy262">[54]Shares_AFS!#REF!</definedName>
    <definedName name="TextRefCopy263" localSheetId="10">[54]Shares_AFS!#REF!</definedName>
    <definedName name="TextRefCopy263">[54]Shares_AFS!#REF!</definedName>
    <definedName name="TextRefCopy265" localSheetId="10">[54]Shares_AFS!#REF!</definedName>
    <definedName name="TextRefCopy265">[54]Shares_AFS!#REF!</definedName>
    <definedName name="TextRefCopy267" localSheetId="10">[54]Shares_AFS!#REF!</definedName>
    <definedName name="TextRefCopy267">[54]Shares_AFS!#REF!</definedName>
    <definedName name="TextRefCopy270" localSheetId="10">[54]Shares_AFS!#REF!</definedName>
    <definedName name="TextRefCopy270">[54]Shares_AFS!#REF!</definedName>
    <definedName name="TextRefCopy273" localSheetId="10">[54]Shares_AFS!#REF!</definedName>
    <definedName name="TextRefCopy273">[54]Shares_AFS!#REF!</definedName>
    <definedName name="TextRefCopy28" localSheetId="10">'[55]20202'!#REF!</definedName>
    <definedName name="TextRefCopy28">'[55]20202'!#REF!</definedName>
    <definedName name="TextRefCopy284" localSheetId="10">#REF!</definedName>
    <definedName name="TextRefCopy284">#REF!</definedName>
    <definedName name="TextRefCopy286" localSheetId="10">#REF!</definedName>
    <definedName name="TextRefCopy286">#REF!</definedName>
    <definedName name="TextRefCopy29" localSheetId="10">'[55]20202'!#REF!</definedName>
    <definedName name="TextRefCopy29">'[55]20202'!#REF!</definedName>
    <definedName name="textrefcopy3_" localSheetId="10">[56]t12_1!#REF!</definedName>
    <definedName name="textrefcopy3_">[56]t12_1!#REF!</definedName>
    <definedName name="TextRefCopy30" localSheetId="10">'[55]20202'!#REF!</definedName>
    <definedName name="TextRefCopy30">'[55]20202'!#REF!</definedName>
    <definedName name="TextRefCopy31" localSheetId="10">'[55]20202'!#REF!</definedName>
    <definedName name="TextRefCopy31">'[55]20202'!#REF!</definedName>
    <definedName name="TextRefCopy32" localSheetId="10">'[55]20202'!#REF!</definedName>
    <definedName name="TextRefCopy32">'[55]20202'!#REF!</definedName>
    <definedName name="TextRefCopy33" localSheetId="10">'[55]20202'!#REF!</definedName>
    <definedName name="TextRefCopy33">'[55]20202'!#REF!</definedName>
    <definedName name="TextRefCopy34" localSheetId="10">'[55]20202'!#REF!</definedName>
    <definedName name="TextRefCopy34">'[55]20202'!#REF!</definedName>
    <definedName name="TextRefCopy35" localSheetId="10">'[55]20202'!#REF!</definedName>
    <definedName name="TextRefCopy35">'[55]20202'!#REF!</definedName>
    <definedName name="TextRefCopy36" localSheetId="10">'[55]20202'!#REF!</definedName>
    <definedName name="TextRefCopy36">'[55]20202'!#REF!</definedName>
    <definedName name="TextRefCopy37" localSheetId="10">'[55]20202'!#REF!</definedName>
    <definedName name="TextRefCopy37">'[55]20202'!#REF!</definedName>
    <definedName name="TextRefCopy38" localSheetId="10">'[55]20202'!#REF!</definedName>
    <definedName name="TextRefCopy38">'[55]20202'!#REF!</definedName>
    <definedName name="TextRefCopy39" localSheetId="10">'[55]20202'!#REF!</definedName>
    <definedName name="TextRefCopy39">'[55]20202'!#REF!</definedName>
    <definedName name="TextRefCopy40" localSheetId="10">#REF!</definedName>
    <definedName name="TextRefCopy40">#REF!</definedName>
    <definedName name="TextRefCopy42" localSheetId="10">#REF!</definedName>
    <definedName name="TextRefCopy42">#REF!</definedName>
    <definedName name="TextRefCopy500" localSheetId="10">[57]Tickmarks!#REF!</definedName>
    <definedName name="TextRefCopy500">[57]Tickmarks!#REF!</definedName>
    <definedName name="TextRefCopy501" localSheetId="10">[57]Rollforward!#REF!</definedName>
    <definedName name="TextRefCopy501">[57]Rollforward!#REF!</definedName>
    <definedName name="TextRefCopy502">[57]Rollforward!$J$22</definedName>
    <definedName name="TextRefCopy503">[57]Rollforward!$F$22</definedName>
    <definedName name="TextRefCopy504" localSheetId="10">[57]Rollforward!#REF!</definedName>
    <definedName name="TextRefCopy504">[57]Rollforward!#REF!</definedName>
    <definedName name="TextRefCopy505" localSheetId="10">[57]Rollforward!#REF!</definedName>
    <definedName name="TextRefCopy505">[57]Rollforward!#REF!</definedName>
    <definedName name="TextRefCopy506" localSheetId="10">[57]Tickmarks!#REF!</definedName>
    <definedName name="TextRefCopy506">[57]Tickmarks!#REF!</definedName>
    <definedName name="TextRefCopy507" localSheetId="10">[57]Tickmarks!#REF!</definedName>
    <definedName name="TextRefCopy507">[57]Tickmarks!#REF!</definedName>
    <definedName name="TextRefCopy508" localSheetId="10">[57]Rollforward!#REF!</definedName>
    <definedName name="TextRefCopy508">[57]Rollforward!#REF!</definedName>
    <definedName name="TextRefCopy509" localSheetId="10">[57]Tickmarks!#REF!</definedName>
    <definedName name="TextRefCopy509">[57]Tickmarks!#REF!</definedName>
    <definedName name="TextRefCopy510" localSheetId="10">[57]Tickmarks!#REF!</definedName>
    <definedName name="TextRefCopy510">[57]Tickmarks!#REF!</definedName>
    <definedName name="TextRefCopy511" localSheetId="10">[57]Tickmarks!#REF!</definedName>
    <definedName name="TextRefCopy511">[57]Tickmarks!#REF!</definedName>
    <definedName name="TextRefCopy512" localSheetId="10">[57]Rollforward!#REF!</definedName>
    <definedName name="TextRefCopy512">[57]Rollforward!#REF!</definedName>
    <definedName name="TextRefCopy513">[57]Rollforward!$H$22</definedName>
    <definedName name="TextRefCopy514">[57]Rollforward!$F$22</definedName>
    <definedName name="TextRefCopy515" localSheetId="10">[57]Tickmarks!#REF!</definedName>
    <definedName name="TextRefCopy515">[57]Tickmarks!#REF!</definedName>
    <definedName name="TextRefCopy52" localSheetId="10">#REF!</definedName>
    <definedName name="TextRefCopy52">#REF!</definedName>
    <definedName name="TextRefCopy53" localSheetId="10">#REF!</definedName>
    <definedName name="TextRefCopy53">#REF!</definedName>
    <definedName name="TextRefCopy54" localSheetId="10">#REF!</definedName>
    <definedName name="TextRefCopy54">#REF!</definedName>
    <definedName name="TextRefCopy55" localSheetId="10">#REF!</definedName>
    <definedName name="TextRefCopy55">#REF!</definedName>
    <definedName name="textrefcopy55_" localSheetId="10">[56]t12_1!#REF!</definedName>
    <definedName name="textrefcopy55_">[56]t12_1!#REF!</definedName>
    <definedName name="TextRefCopy56" localSheetId="10">#REF!</definedName>
    <definedName name="TextRefCopy56">#REF!</definedName>
    <definedName name="TextRefCopy57" localSheetId="10">#REF!</definedName>
    <definedName name="TextRefCopy57">#REF!</definedName>
    <definedName name="TextRefCopy58" localSheetId="10">#REF!</definedName>
    <definedName name="TextRefCopy58">#REF!</definedName>
    <definedName name="TextRefCopy59" localSheetId="10">#REF!</definedName>
    <definedName name="TextRefCopy59">#REF!</definedName>
    <definedName name="TextRefCopy60" localSheetId="10">#REF!</definedName>
    <definedName name="TextRefCopy60">#REF!</definedName>
    <definedName name="TextRefCopy61" localSheetId="10">#REF!</definedName>
    <definedName name="TextRefCopy61">#REF!</definedName>
    <definedName name="TextRefCopy62" localSheetId="10">#REF!</definedName>
    <definedName name="TextRefCopy62">#REF!</definedName>
    <definedName name="TextRefCopy63" localSheetId="10">#REF!</definedName>
    <definedName name="TextRefCopy63">#REF!</definedName>
    <definedName name="TextRefCopy64" localSheetId="10">#REF!</definedName>
    <definedName name="TextRefCopy64">#REF!</definedName>
    <definedName name="TextRefCopy65" localSheetId="10">#REF!</definedName>
    <definedName name="TextRefCopy65">#REF!</definedName>
    <definedName name="TextRefCopy66" localSheetId="10">#REF!</definedName>
    <definedName name="TextRefCopy66">#REF!</definedName>
    <definedName name="TextRefCopy67" localSheetId="10">#REF!</definedName>
    <definedName name="TextRefCopy67">#REF!</definedName>
    <definedName name="TextRefCopy68" localSheetId="10">#REF!</definedName>
    <definedName name="TextRefCopy68">#REF!</definedName>
    <definedName name="TextRefCopy69" localSheetId="10">#REF!</definedName>
    <definedName name="TextRefCopy69">#REF!</definedName>
    <definedName name="TextRefCopy7">[47]PPE!$C$16</definedName>
    <definedName name="TextRefCopy70" localSheetId="10">[58]Disclosure!#REF!</definedName>
    <definedName name="TextRefCopy70">[58]Disclosure!#REF!</definedName>
    <definedName name="TextRefCopy71" localSheetId="10">#REF!</definedName>
    <definedName name="TextRefCopy71">#REF!</definedName>
    <definedName name="TextRefCopy72" localSheetId="10">#REF!</definedName>
    <definedName name="TextRefCopy72">#REF!</definedName>
    <definedName name="TextRefCopy73" localSheetId="10">#REF!</definedName>
    <definedName name="TextRefCopy73">#REF!</definedName>
    <definedName name="TextRefCopy74" localSheetId="10">#REF!</definedName>
    <definedName name="TextRefCopy74">#REF!</definedName>
    <definedName name="TextRefCopy75" localSheetId="10">#REF!</definedName>
    <definedName name="TextRefCopy75">#REF!</definedName>
    <definedName name="TextRefCopy76" localSheetId="10">#REF!</definedName>
    <definedName name="TextRefCopy76">#REF!</definedName>
    <definedName name="TextRefCopy77" localSheetId="10">'[48]Recon''n'!#REF!</definedName>
    <definedName name="TextRefCopy77">'[48]Recon''n'!#REF!</definedName>
    <definedName name="TextRefCopy78" localSheetId="10">'[48]Recon''n'!#REF!</definedName>
    <definedName name="TextRefCopy78">'[48]Recon''n'!#REF!</definedName>
    <definedName name="TextRefCopy79" localSheetId="10">'[48]Recon''n'!#REF!</definedName>
    <definedName name="TextRefCopy79">'[48]Recon''n'!#REF!</definedName>
    <definedName name="TextRefCopy8">[47]PPE!$E$16</definedName>
    <definedName name="TextRefCopy80" localSheetId="10">'[48]Recon''n'!#REF!</definedName>
    <definedName name="TextRefCopy80">'[48]Recon''n'!#REF!</definedName>
    <definedName name="TextRefCopy81" localSheetId="10">'[48]Recon''n'!#REF!</definedName>
    <definedName name="TextRefCopy81">'[48]Recon''n'!#REF!</definedName>
    <definedName name="TextRefCopy82" localSheetId="10">'[48]Recon''n'!#REF!</definedName>
    <definedName name="TextRefCopy82">'[48]Recon''n'!#REF!</definedName>
    <definedName name="TextRefCopy83" localSheetId="10">'[48]Recon''n'!#REF!</definedName>
    <definedName name="TextRefCopy83">'[48]Recon''n'!#REF!</definedName>
    <definedName name="TextRefCopy84" localSheetId="10">'[48]Recon''n'!#REF!</definedName>
    <definedName name="TextRefCopy84">'[48]Recon''n'!#REF!</definedName>
    <definedName name="TextRefCopy85" localSheetId="10">'[48]Recon''n'!#REF!</definedName>
    <definedName name="TextRefCopy85">'[48]Recon''n'!#REF!</definedName>
    <definedName name="TextRefCopy86" localSheetId="10">'[48]Recon''n'!#REF!</definedName>
    <definedName name="TextRefCopy86">'[48]Recon''n'!#REF!</definedName>
    <definedName name="TextRefCopy87" localSheetId="10">'[48]Recon''n'!#REF!</definedName>
    <definedName name="TextRefCopy87">'[48]Recon''n'!#REF!</definedName>
    <definedName name="TextRefCopy88" localSheetId="10">'[48]Recon''n'!#REF!</definedName>
    <definedName name="TextRefCopy88">'[48]Recon''n'!#REF!</definedName>
    <definedName name="TextRefCopy89" localSheetId="10">[49]Breakdown!#REF!</definedName>
    <definedName name="TextRefCopy89">[49]Breakdown!#REF!</definedName>
    <definedName name="TextRefCopy90" localSheetId="10">#REF!</definedName>
    <definedName name="TextRefCopy90">#REF!</definedName>
    <definedName name="TextRefCopy91" localSheetId="10">[49]Breakdown!#REF!</definedName>
    <definedName name="TextRefCopy91">[49]Breakdown!#REF!</definedName>
    <definedName name="TextRefCopy92" localSheetId="10">#REF!</definedName>
    <definedName name="TextRefCopy92">#REF!</definedName>
    <definedName name="TextRefCopy93" localSheetId="10">#REF!</definedName>
    <definedName name="TextRefCopy93">#REF!</definedName>
    <definedName name="TextRefCopy94" localSheetId="10">[49]Breakdown!#REF!</definedName>
    <definedName name="TextRefCopy94">[49]Breakdown!#REF!</definedName>
    <definedName name="TextRefCopy95" localSheetId="10">#REF!</definedName>
    <definedName name="TextRefCopy95">#REF!</definedName>
    <definedName name="TextRefCopy96" localSheetId="10">[49]Breakdown!#REF!</definedName>
    <definedName name="TextRefCopy96">[49]Breakdown!#REF!</definedName>
    <definedName name="TextRefCopy97" localSheetId="10">[49]Breakdown!#REF!</definedName>
    <definedName name="TextRefCopy97">[49]Breakdown!#REF!</definedName>
    <definedName name="TextRefCopy98" localSheetId="10">'[48]CCY Revaluation'!#REF!</definedName>
    <definedName name="TextRefCopy98">'[48]CCY Revaluation'!#REF!</definedName>
    <definedName name="TextRefCopy99" localSheetId="10">[49]Breakdown!#REF!</definedName>
    <definedName name="TextRefCopy99">[49]Breakdown!#REF!</definedName>
    <definedName name="TextRefCopyRangeCount" hidden="1">4</definedName>
    <definedName name="TextS" localSheetId="10">[46]MetaData!#REF!</definedName>
    <definedName name="TextS">[46]MetaData!#REF!</definedName>
    <definedName name="TextT" localSheetId="10">[46]MetaData!#REF!</definedName>
    <definedName name="TextT">[46]MetaData!#REF!</definedName>
    <definedName name="TextU" localSheetId="10">[46]MetaData!#REF!</definedName>
    <definedName name="TextU">[46]MetaData!#REF!</definedName>
    <definedName name="TextV" localSheetId="10">[46]MetaData!#REF!</definedName>
    <definedName name="TextV">[46]MetaData!#REF!</definedName>
    <definedName name="TextW" localSheetId="10">[46]MetaData!#REF!</definedName>
    <definedName name="TextW">[46]MetaData!#REF!</definedName>
    <definedName name="TextX" localSheetId="10">[46]MetaData!#REF!</definedName>
    <definedName name="TextX">[46]MetaData!#REF!</definedName>
    <definedName name="theClose">[0]!theClose</definedName>
    <definedName name="theHide">[0]!theHide</definedName>
    <definedName name="theHide1">#N/A</definedName>
    <definedName name="theShow">[0]!theShow</definedName>
    <definedName name="Threshold" localSheetId="10">'[7]Excess Calc'!#REF!</definedName>
    <definedName name="Threshold">'[7]Excess Calc'!#REF!</definedName>
    <definedName name="Tickmark" localSheetId="10">#REF!</definedName>
    <definedName name="Tickmark">#REF!</definedName>
    <definedName name="Tickmarks" localSheetId="10">#REF!</definedName>
    <definedName name="Tickmarks">#REF!</definedName>
    <definedName name="Tikmark" hidden="1">7</definedName>
    <definedName name="Time" localSheetId="5">#REF!</definedName>
    <definedName name="Time" localSheetId="10">'[59]059'!#REF!</definedName>
    <definedName name="Time">'[59]059'!#REF!</definedName>
    <definedName name="TitlesSubEntries">'[18]Проводки''02'!$A$3,'[18]Проводки''02'!$A$73,'[18]Проводки''02'!$A$93,'[18]Проводки''02'!$A$117,'[18]Проводки''02'!$A$138,'[18]Проводки''02'!$A$159,'[18]Проводки''02'!$A$179,'[18]Проводки''02'!$A$204,'[18]Проводки''02'!$A$231,'[18]Проводки''02'!$A$251,'[18]Проводки''02'!$A$271,'[18]Проводки''02'!$A$291,'[18]Проводки''02'!$A$310,'[18]Проводки''02'!$A$331,'[18]Проводки''02'!$A$351,'[18]Проводки''02'!$A$370</definedName>
    <definedName name="TLE_CQ_1" localSheetId="10">#REF!</definedName>
    <definedName name="TLE_CQ_1">#REF!</definedName>
    <definedName name="TLE_CQ_2" localSheetId="10">#REF!</definedName>
    <definedName name="TLE_CQ_2">#REF!</definedName>
    <definedName name="TLE_CQ_3" localSheetId="10">#REF!</definedName>
    <definedName name="TLE_CQ_3">#REF!</definedName>
    <definedName name="TLE_CQ_4" localSheetId="10">#REF!</definedName>
    <definedName name="TLE_CQ_4">#REF!</definedName>
    <definedName name="TLE_Description" localSheetId="10">#REF!</definedName>
    <definedName name="TLE_Description">#REF!</definedName>
    <definedName name="TLE_GL" localSheetId="10">#REF!</definedName>
    <definedName name="TLE_GL">#REF!</definedName>
    <definedName name="TOBAL" localSheetId="10">#REF!</definedName>
    <definedName name="TOBAL">#REF!</definedName>
    <definedName name="TOE_CQ_1" localSheetId="10">#REF!</definedName>
    <definedName name="TOE_CQ_1">#REF!</definedName>
    <definedName name="TOE_CQ_2" localSheetId="10">#REF!</definedName>
    <definedName name="TOE_CQ_2">#REF!</definedName>
    <definedName name="TOE_CQ_3" localSheetId="10">#REF!</definedName>
    <definedName name="TOE_CQ_3">#REF!</definedName>
    <definedName name="TOE_CQ_4" localSheetId="10">#REF!</definedName>
    <definedName name="TOE_CQ_4">#REF!</definedName>
    <definedName name="TOE_Description" localSheetId="10">#REF!</definedName>
    <definedName name="TOE_Description">#REF!</definedName>
    <definedName name="TOE_GL" localSheetId="10">#REF!</definedName>
    <definedName name="TOE_GL">#REF!</definedName>
    <definedName name="TOL_CQ_1" localSheetId="10">#REF!</definedName>
    <definedName name="TOL_CQ_1">#REF!</definedName>
    <definedName name="TOL_CQ_2" localSheetId="10">#REF!</definedName>
    <definedName name="TOL_CQ_2">#REF!</definedName>
    <definedName name="TOL_CQ_3" localSheetId="10">#REF!</definedName>
    <definedName name="TOL_CQ_3">#REF!</definedName>
    <definedName name="TOL_CQ_4" localSheetId="10">#REF!</definedName>
    <definedName name="TOL_CQ_4">#REF!</definedName>
    <definedName name="TOL_Description" localSheetId="10">#REF!</definedName>
    <definedName name="TOL_Description">#REF!</definedName>
    <definedName name="TOL_GL" localSheetId="10">#REF!</definedName>
    <definedName name="TOL_GL">#REF!</definedName>
    <definedName name="Tot_knw_Xfoot" localSheetId="10">#REF!</definedName>
    <definedName name="Tot_knw_Xfoot">#REF!</definedName>
    <definedName name="Tot_lik_Xfoot" localSheetId="10">#REF!</definedName>
    <definedName name="Tot_lik_Xfoot">#REF!</definedName>
    <definedName name="Total_Interest" localSheetId="10">#REF!</definedName>
    <definedName name="Total_Interest">#REF!</definedName>
    <definedName name="Total_Pay" localSheetId="10">#REF!</definedName>
    <definedName name="Total_Pay">#REF!</definedName>
    <definedName name="Total_Payment" localSheetId="10">Scheduled_Payment+Extra_Payment</definedName>
    <definedName name="Total_Payment" localSheetId="7">Scheduled_Payment+Extra_Payment</definedName>
    <definedName name="Total_Payment">Scheduled_Payment+Extra_Payment</definedName>
    <definedName name="Total_Population2">'[5]MUS Calculations- Figure 5410.1'!$D$20</definedName>
    <definedName name="Total_rec_amount" localSheetId="10">#REF!</definedName>
    <definedName name="Total_rec_amount">#REF!</definedName>
    <definedName name="TRANSP.HAR." localSheetId="10">'[28]4'!#REF!</definedName>
    <definedName name="TRANSP.HAR.">'[28]4'!#REF!</definedName>
    <definedName name="TRANSP.MOL." localSheetId="10">'[28]4'!#REF!</definedName>
    <definedName name="TRANSP.MOL.">'[28]4'!#REF!</definedName>
    <definedName name="TRES" localSheetId="10">#REF!</definedName>
    <definedName name="TRES">#REF!</definedName>
    <definedName name="tta">'[4]#ССЫЛКА'!$B$2:$D$478</definedName>
    <definedName name="ttt">'[4]#ССЫЛКА'!$B$1:$D$475</definedName>
    <definedName name="TUL" localSheetId="10">'[4]Курсы валют ЦБ'!#REF!</definedName>
    <definedName name="TUL">'[4]Курсы валют ЦБ'!#REF!</definedName>
    <definedName name="Type" localSheetId="10">#REF!</definedName>
    <definedName name="Type">#REF!</definedName>
    <definedName name="Type1" localSheetId="10">#REF!</definedName>
    <definedName name="Type1">#REF!</definedName>
    <definedName name="Type2" localSheetId="10">#REF!</definedName>
    <definedName name="Type2">#REF!</definedName>
    <definedName name="uier">'[30]CMA Calculations- R Factor'!$H$16</definedName>
    <definedName name="uito" localSheetId="10" hidden="1">[60]Test!#REF!</definedName>
    <definedName name="uito" hidden="1">[60]Test!#REF!</definedName>
    <definedName name="uitr" hidden="1">"AS2DocumentBrowse"</definedName>
    <definedName name="UKG" localSheetId="10">'[4]Курсы валют ЦБ'!#REF!</definedName>
    <definedName name="UKG">'[4]Курсы валют ЦБ'!#REF!</definedName>
    <definedName name="un">[61]f_651!$E$1</definedName>
    <definedName name="unal">[62]Adj2002!$2:$2,[62]Adj2002!$65:$65,[62]Adj2002!$120:$121,[62]Adj2002!$132:$133,[62]Adj2002!$178:$178,[62]Adj2002!$186:$186,[62]Adj2002!$203:$203,[62]Adj2002!$211:$211,[62]Adj2002!$242:$242,[62]Adj2002!$263:$263,[62]Adj2002!$294:$294,[62]Adj2002!$308:$308,[62]Adj2002!$312:$312,[62]Adj2002!$322:$323</definedName>
    <definedName name="UNITACC">'[63]Account Mapping'!$B$7:$B$1386</definedName>
    <definedName name="Units" localSheetId="10">#REF!</definedName>
    <definedName name="Units">#REF!</definedName>
    <definedName name="UNO" localSheetId="10">#REF!</definedName>
    <definedName name="UNO">#REF!</definedName>
    <definedName name="USD">'[64]May''06'!$G$4</definedName>
    <definedName name="USD_SPN" localSheetId="10">[4]СЭЛТ!#REF!</definedName>
    <definedName name="USD_SPN">[4]СЭЛТ!#REF!</definedName>
    <definedName name="USD_SPN_A" localSheetId="10">[4]СЭЛТ!#REF!</definedName>
    <definedName name="USD_SPN_A">[4]СЭЛТ!#REF!</definedName>
    <definedName name="USD_SPN_B" localSheetId="10">[4]СЭЛТ!#REF!</definedName>
    <definedName name="USD_SPN_B">[4]СЭЛТ!#REF!</definedName>
    <definedName name="USD_SPN_D" localSheetId="10">[4]СЭЛТ!#REF!</definedName>
    <definedName name="USD_SPN_D">[4]СЭЛТ!#REF!</definedName>
    <definedName name="USD_SPN_T" localSheetId="10">[4]СЭЛТ!#REF!</definedName>
    <definedName name="USD_SPN_T">[4]СЭЛТ!#REF!</definedName>
    <definedName name="USD_SPN_V" localSheetId="10">[4]СЭЛТ!#REF!</definedName>
    <definedName name="USD_SPN_V">[4]СЭЛТ!#REF!</definedName>
    <definedName name="USD_SPT" localSheetId="10">[4]СЭЛТ!#REF!</definedName>
    <definedName name="USD_SPT">[4]СЭЛТ!#REF!</definedName>
    <definedName name="USD_SPT_A" localSheetId="10">[4]СЭЛТ!#REF!</definedName>
    <definedName name="USD_SPT_A">[4]СЭЛТ!#REF!</definedName>
    <definedName name="USD_SPT_B" localSheetId="10">[4]СЭЛТ!#REF!</definedName>
    <definedName name="USD_SPT_B">[4]СЭЛТ!#REF!</definedName>
    <definedName name="USD_SPT_D" localSheetId="10">[4]СЭЛТ!#REF!</definedName>
    <definedName name="USD_SPT_D">[4]СЭЛТ!#REF!</definedName>
    <definedName name="USD_SPT_T" localSheetId="10">[4]СЭЛТ!#REF!</definedName>
    <definedName name="USD_SPT_T">[4]СЭЛТ!#REF!</definedName>
    <definedName name="USD_SPT_V" localSheetId="10">[4]СЭЛТ!#REF!</definedName>
    <definedName name="USD_SPT_V">[4]СЭЛТ!#REF!</definedName>
    <definedName name="USD_TOD_A" localSheetId="10">[4]СЭЛТ!#REF!</definedName>
    <definedName name="USD_TOD_A">[4]СЭЛТ!#REF!</definedName>
    <definedName name="USD_TOD_B" localSheetId="10">[4]СЭЛТ!#REF!</definedName>
    <definedName name="USD_TOD_B">[4]СЭЛТ!#REF!</definedName>
    <definedName name="USD_TOD_D" localSheetId="10">[4]СЭЛТ!#REF!</definedName>
    <definedName name="USD_TOD_D">[4]СЭЛТ!#REF!</definedName>
    <definedName name="USD_TOD_T" localSheetId="10">[4]СЭЛТ!#REF!</definedName>
    <definedName name="USD_TOD_T">[4]СЭЛТ!#REF!</definedName>
    <definedName name="USD_TOD_V" localSheetId="10">[4]СЭЛТ!#REF!</definedName>
    <definedName name="USD_TOD_V">[4]СЭЛТ!#REF!</definedName>
    <definedName name="USD_TOM" localSheetId="10">[4]СЭЛТ!#REF!</definedName>
    <definedName name="USD_TOM">[4]СЭЛТ!#REF!</definedName>
    <definedName name="USD_TOM_A" localSheetId="10">[4]СЭЛТ!#REF!</definedName>
    <definedName name="USD_TOM_A">[4]СЭЛТ!#REF!</definedName>
    <definedName name="USD_TOM_B" localSheetId="10">[4]СЭЛТ!#REF!</definedName>
    <definedName name="USD_TOM_B">[4]СЭЛТ!#REF!</definedName>
    <definedName name="USD_TOM_D" localSheetId="10">[4]СЭЛТ!#REF!</definedName>
    <definedName name="USD_TOM_D">[4]СЭЛТ!#REF!</definedName>
    <definedName name="USD_TOM_T" localSheetId="10">[4]СЭЛТ!#REF!</definedName>
    <definedName name="USD_TOM_T">[4]СЭЛТ!#REF!</definedName>
    <definedName name="USD_TOM_V" localSheetId="10">[4]СЭЛТ!#REF!</definedName>
    <definedName name="USD_TOM_V">[4]СЭЛТ!#REF!</definedName>
    <definedName name="UTIL" localSheetId="10">#REF!</definedName>
    <definedName name="UTIL">#REF!</definedName>
    <definedName name="UTILACC" localSheetId="10">#REF!</definedName>
    <definedName name="UTILACC">#REF!</definedName>
    <definedName name="values" localSheetId="10">#REF!,#REF!,#REF!</definedName>
    <definedName name="values">#REF!,#REF!,#REF!</definedName>
    <definedName name="Values_Entered" localSheetId="10">IF('Note 28 (iii)'!Loan_Amount*'Note 28 (iii)'!Interest_Rate*'Note 28 (iii)'!Loan_Years*'Note 28 (iii)'!Loan_Start&gt;0,1,0)</definedName>
    <definedName name="Values_Entered">IF(Loan_Amount*Interest_Rate*Loan_Years*Loan_Start&gt;0,1,0)</definedName>
    <definedName name="vid_all1">[0]!vid_all1</definedName>
    <definedName name="vid_all2">[0]!vid_all2</definedName>
    <definedName name="videl_list">[0]!videl_list</definedName>
    <definedName name="vsego" localSheetId="10">#REF!</definedName>
    <definedName name="vsego">#REF!</definedName>
    <definedName name="wrn.Aging._.and._.Trend._.Analysis." hidden="1">{#N/A,#N/A,FALSE,"Aging Summary";#N/A,#N/A,FALSE,"Ratio Analysis";#N/A,#N/A,FALSE,"Test 120 Day Accts";#N/A,#N/A,FALSE,"Tickmarks"}</definedName>
    <definedName name="wrn.BOOK1.XLS." hidden="1">{#N/A,#N/A,FALSE,"Sheet1"}</definedName>
    <definedName name="wrn.new">{#N/A,#N/A,FALSE,"Aging Summary";#N/A,#N/A,FALSE,"Ratio Analysis";#N/A,#N/A,FALSE,"Test 120 Day Accts";#N/A,#N/A,FALSE,"Tickmarks"}</definedName>
    <definedName name="www" hidden="1">{#N/A,#N/A,FALSE,"Aging Summary";#N/A,#N/A,FALSE,"Ratio Analysis";#N/A,#N/A,FALSE,"Test 120 Day Accts";#N/A,#N/A,FALSE,"Tickmarks"}</definedName>
    <definedName name="XLRPARAMS_Bank" hidden="1">[65]XLR_NoRangeSheet!$B$6</definedName>
    <definedName name="XLRPARAMS_Category" hidden="1">[66]XLR_NoRangeSheet!$D$6</definedName>
    <definedName name="XLRPARAMS_DateRest" hidden="1">[66]XLR_NoRangeSheet!$C$6</definedName>
    <definedName name="XLRPARAMS_DATT1" hidden="1">[67]XLR_NoRangeSheet!$B$6</definedName>
    <definedName name="XLRPARAMS_EURO" hidden="1">[67]XLR_NoRangeSheet!$E$6</definedName>
    <definedName name="XLRPARAMS_FinishDate" hidden="1">[68]XLR_NoRangeSheet!$G$6</definedName>
    <definedName name="XLRPARAMS_FirmName" hidden="1">[43]XLR_NoRangeSheet!$J$6</definedName>
    <definedName name="XLRPARAMS_Izn" hidden="1">[65]XLR_NoRangeSheet!$D$6</definedName>
    <definedName name="XLRPARAMS_Ost" hidden="1">[65]XLR_NoRangeSheet!$F$6</definedName>
    <definedName name="XLRPARAMS_OverCost" hidden="1">[65]XLR_NoRangeSheet!$E$6</definedName>
    <definedName name="XLRPARAMS_Param1" hidden="1">[66]XLR_NoRangeSheet!$F$6</definedName>
    <definedName name="XLRPARAMS_Param2" hidden="1">[66]XLR_NoRangeSheet!$G$6</definedName>
    <definedName name="XLRPARAMS_Period" hidden="1">[65]XLR_NoRangeSheet!$C$6</definedName>
    <definedName name="XLRPARAMS_PlanName" hidden="1">[66]XLR_NoRangeSheet!$E$6</definedName>
    <definedName name="XLRPARAMS_StartDate" hidden="1">[68]XLR_NoRangeSheet!$F$6</definedName>
    <definedName name="XLRPARAMS_StructsName" hidden="1">[43]XLR_NoRangeSheet!$K$6</definedName>
    <definedName name="XLRPARAMS_USA" hidden="1">[67]XLR_NoRangeSheet!$D$6</definedName>
    <definedName name="XLRPARAMS_Договор" hidden="1">[43]XLR_NoRangeSheet!$L$6</definedName>
    <definedName name="XREF_COLUMN_1" localSheetId="10" hidden="1">#REF!</definedName>
    <definedName name="XREF_COLUMN_1" hidden="1">#REF!</definedName>
    <definedName name="XREF_COLUMN_10" localSheetId="10" hidden="1">[58]Mvnt!#REF!</definedName>
    <definedName name="XREF_COLUMN_10" hidden="1">[58]Mvnt!#REF!</definedName>
    <definedName name="XREF_COLUMN_12" localSheetId="10" hidden="1">#REF!</definedName>
    <definedName name="XREF_COLUMN_12" hidden="1">#REF!</definedName>
    <definedName name="XREF_COLUMN_13" localSheetId="10" hidden="1">#REF!</definedName>
    <definedName name="XREF_COLUMN_13" hidden="1">#REF!</definedName>
    <definedName name="XREF_COLUMN_14" localSheetId="10" hidden="1">#REF!</definedName>
    <definedName name="XREF_COLUMN_14" hidden="1">#REF!</definedName>
    <definedName name="XREF_COLUMN_15" localSheetId="10" hidden="1">#REF!</definedName>
    <definedName name="XREF_COLUMN_15" hidden="1">#REF!</definedName>
    <definedName name="XREF_COLUMN_2" localSheetId="10" hidden="1">#REF!</definedName>
    <definedName name="XREF_COLUMN_2" hidden="1">#REF!</definedName>
    <definedName name="XREF_COLUMN_20" localSheetId="10" hidden="1">#REF!</definedName>
    <definedName name="XREF_COLUMN_20" hidden="1">#REF!</definedName>
    <definedName name="XREF_COLUMN_3" localSheetId="10" hidden="1">#REF!</definedName>
    <definedName name="XREF_COLUMN_3" hidden="1">#REF!</definedName>
    <definedName name="XREF_COLUMN_4" localSheetId="10" hidden="1">#REF!</definedName>
    <definedName name="XREF_COLUMN_4" hidden="1">#REF!</definedName>
    <definedName name="XREF_COLUMN_5" localSheetId="10" hidden="1">#REF!</definedName>
    <definedName name="XREF_COLUMN_5" hidden="1">#REF!</definedName>
    <definedName name="XREF_COLUMN_6" localSheetId="10" hidden="1">[58]Mvnt!#REF!</definedName>
    <definedName name="XREF_COLUMN_6" hidden="1">[58]Mvnt!#REF!</definedName>
    <definedName name="XREF_COLUMN_7" localSheetId="10" hidden="1">[58]Mvnt!#REF!</definedName>
    <definedName name="XREF_COLUMN_7" hidden="1">[58]Mvnt!#REF!</definedName>
    <definedName name="XREF_COLUMN_8" localSheetId="10" hidden="1">[58]Mvnt!#REF!</definedName>
    <definedName name="XREF_COLUMN_8" hidden="1">[58]Mvnt!#REF!</definedName>
    <definedName name="XREF_COLUMN_9" localSheetId="10" hidden="1">[58]Mvnt!#REF!</definedName>
    <definedName name="XREF_COLUMN_9" hidden="1">[58]Mvnt!#REF!</definedName>
    <definedName name="XRefActiveRow" localSheetId="10" hidden="1">#REF!</definedName>
    <definedName name="XRefActiveRow" hidden="1">#REF!</definedName>
    <definedName name="XRefColumnsCount" hidden="1">4</definedName>
    <definedName name="XRefCopy1" localSheetId="10" hidden="1">[69]Test!#REF!</definedName>
    <definedName name="XRefCopy1" hidden="1">[69]Test!#REF!</definedName>
    <definedName name="XRefCopy10" localSheetId="10" hidden="1">#REF!</definedName>
    <definedName name="XRefCopy10" hidden="1">#REF!</definedName>
    <definedName name="XRefCopy10Row" localSheetId="10" hidden="1">[29]XREF!#REF!</definedName>
    <definedName name="XRefCopy10Row" hidden="1">[29]XREF!#REF!</definedName>
    <definedName name="XRefCopy11" localSheetId="10" hidden="1">#REF!</definedName>
    <definedName name="XRefCopy11" hidden="1">#REF!</definedName>
    <definedName name="XRefCopy11Row" localSheetId="10" hidden="1">[29]XREF!#REF!</definedName>
    <definedName name="XRefCopy11Row" hidden="1">[29]XREF!#REF!</definedName>
    <definedName name="XRefCopy12Row" localSheetId="10" hidden="1">[29]XREF!#REF!</definedName>
    <definedName name="XRefCopy12Row" hidden="1">[29]XREF!#REF!</definedName>
    <definedName name="XRefCopy13Row" localSheetId="10" hidden="1">[29]XREF!#REF!</definedName>
    <definedName name="XRefCopy13Row" hidden="1">[29]XREF!#REF!</definedName>
    <definedName name="XRefCopy14" localSheetId="10" hidden="1">#REF!</definedName>
    <definedName name="XRefCopy14" hidden="1">#REF!</definedName>
    <definedName name="XRefCopy14Row" localSheetId="10" hidden="1">[29]XREF!#REF!</definedName>
    <definedName name="XRefCopy14Row" hidden="1">[29]XREF!#REF!</definedName>
    <definedName name="XRefCopy15Row" localSheetId="10" hidden="1">[29]XREF!#REF!</definedName>
    <definedName name="XRefCopy15Row" hidden="1">[29]XREF!#REF!</definedName>
    <definedName name="XRefCopy16" localSheetId="10" hidden="1">[58]Mvnt!#REF!</definedName>
    <definedName name="XRefCopy16" hidden="1">[58]Mvnt!#REF!</definedName>
    <definedName name="XRefCopy16Row" localSheetId="10" hidden="1">[29]XREF!#REF!</definedName>
    <definedName name="XRefCopy16Row" hidden="1">[29]XREF!#REF!</definedName>
    <definedName name="XRefCopy17Row" localSheetId="10" hidden="1">[29]XREF!#REF!</definedName>
    <definedName name="XRefCopy17Row" hidden="1">[29]XREF!#REF!</definedName>
    <definedName name="XRefCopy18Row" localSheetId="10" hidden="1">[29]XREF!#REF!</definedName>
    <definedName name="XRefCopy18Row" hidden="1">[29]XREF!#REF!</definedName>
    <definedName name="XRefCopy19" localSheetId="10" hidden="1">#REF!</definedName>
    <definedName name="XRefCopy19" hidden="1">#REF!</definedName>
    <definedName name="XRefCopy1Row" localSheetId="10" hidden="1">#REF!</definedName>
    <definedName name="XRefCopy1Row" hidden="1">#REF!</definedName>
    <definedName name="XRefCopy2" localSheetId="10" hidden="1">[69]Test!#REF!</definedName>
    <definedName name="XRefCopy2" hidden="1">[69]Test!#REF!</definedName>
    <definedName name="XRefCopy21Row" localSheetId="10" hidden="1">[29]XREF!#REF!</definedName>
    <definedName name="XRefCopy21Row" hidden="1">[29]XREF!#REF!</definedName>
    <definedName name="XRefCopy25Row" localSheetId="10" hidden="1">[29]XREF!#REF!</definedName>
    <definedName name="XRefCopy25Row" hidden="1">[29]XREF!#REF!</definedName>
    <definedName name="XRefCopy27" localSheetId="10" hidden="1">#REF!</definedName>
    <definedName name="XRefCopy27" hidden="1">#REF!</definedName>
    <definedName name="XRefCopy2Row" localSheetId="10" hidden="1">#REF!</definedName>
    <definedName name="XRefCopy2Row" hidden="1">#REF!</definedName>
    <definedName name="XRefCopy3" hidden="1">[70]Depreciation!$J$50</definedName>
    <definedName name="XRefCopy30Row" localSheetId="10" hidden="1">[29]XREF!#REF!</definedName>
    <definedName name="XRefCopy30Row" hidden="1">[29]XREF!#REF!</definedName>
    <definedName name="XRefCopy32Row" localSheetId="10" hidden="1">[29]XREF!#REF!</definedName>
    <definedName name="XRefCopy32Row" hidden="1">[29]XREF!#REF!</definedName>
    <definedName name="XRefCopy33Row" localSheetId="10" hidden="1">[29]XREF!#REF!</definedName>
    <definedName name="XRefCopy33Row" hidden="1">[29]XREF!#REF!</definedName>
    <definedName name="XRefCopy3Row" localSheetId="10" hidden="1">[29]XREF!#REF!</definedName>
    <definedName name="XRefCopy3Row" hidden="1">[29]XREF!#REF!</definedName>
    <definedName name="XRefCopy4" localSheetId="10" hidden="1">#REF!</definedName>
    <definedName name="XRefCopy4" hidden="1">#REF!</definedName>
    <definedName name="XRefCopy4Row" localSheetId="10" hidden="1">[29]XREF!#REF!</definedName>
    <definedName name="XRefCopy4Row" hidden="1">[29]XREF!#REF!</definedName>
    <definedName name="XRefCopy5Row" localSheetId="10" hidden="1">[29]XREF!#REF!</definedName>
    <definedName name="XRefCopy5Row" hidden="1">[29]XREF!#REF!</definedName>
    <definedName name="XRefCopy6Row" localSheetId="10" hidden="1">[29]XREF!#REF!</definedName>
    <definedName name="XRefCopy6Row" hidden="1">[29]XREF!#REF!</definedName>
    <definedName name="XRefCopy7" localSheetId="10" hidden="1">[58]Mvnt!#REF!</definedName>
    <definedName name="XRefCopy7" hidden="1">[58]Mvnt!#REF!</definedName>
    <definedName name="XRefCopy7Row" localSheetId="10" hidden="1">#REF!</definedName>
    <definedName name="XRefCopy7Row" hidden="1">#REF!</definedName>
    <definedName name="XRefCopy8" localSheetId="10" hidden="1">[58]Mvnt!#REF!</definedName>
    <definedName name="XRefCopy8" hidden="1">[58]Mvnt!#REF!</definedName>
    <definedName name="XRefCopy8Row" localSheetId="10" hidden="1">#REF!</definedName>
    <definedName name="XRefCopy8Row" hidden="1">#REF!</definedName>
    <definedName name="XRefCopy9" localSheetId="10" hidden="1">[58]Mvnt!#REF!</definedName>
    <definedName name="XRefCopy9" hidden="1">[58]Mvnt!#REF!</definedName>
    <definedName name="XRefCopy9Row" localSheetId="10" hidden="1">#REF!</definedName>
    <definedName name="XRefCopy9Row" hidden="1">#REF!</definedName>
    <definedName name="XRefCopyRangeCount" hidden="1">10</definedName>
    <definedName name="XRefPaste1" localSheetId="10" hidden="1">#REF!</definedName>
    <definedName name="XRefPaste1" hidden="1">#REF!</definedName>
    <definedName name="XRefPaste10" localSheetId="10" hidden="1">#REF!</definedName>
    <definedName name="XRefPaste10" hidden="1">#REF!</definedName>
    <definedName name="XRefPaste10Row" localSheetId="10" hidden="1">[29]XREF!#REF!</definedName>
    <definedName name="XRefPaste10Row" hidden="1">[29]XREF!#REF!</definedName>
    <definedName name="XRefPaste11" localSheetId="10" hidden="1">#REF!</definedName>
    <definedName name="XRefPaste11" hidden="1">#REF!</definedName>
    <definedName name="XRefPaste11Row" localSheetId="10" hidden="1">[29]XREF!#REF!</definedName>
    <definedName name="XRefPaste11Row" hidden="1">[29]XREF!#REF!</definedName>
    <definedName name="XRefPaste12Row" localSheetId="10" hidden="1">[29]XREF!#REF!</definedName>
    <definedName name="XRefPaste12Row" hidden="1">[29]XREF!#REF!</definedName>
    <definedName name="XRefPaste13Row" localSheetId="10" hidden="1">[29]XREF!#REF!</definedName>
    <definedName name="XRefPaste13Row" hidden="1">[29]XREF!#REF!</definedName>
    <definedName name="XRefPaste14Row" localSheetId="10" hidden="1">[29]XREF!#REF!</definedName>
    <definedName name="XRefPaste14Row" hidden="1">[29]XREF!#REF!</definedName>
    <definedName name="XRefPaste15Row" localSheetId="10" hidden="1">[29]XREF!#REF!</definedName>
    <definedName name="XRefPaste15Row" hidden="1">[29]XREF!#REF!</definedName>
    <definedName name="XRefPaste17" localSheetId="10" hidden="1">#REF!</definedName>
    <definedName name="XRefPaste17" hidden="1">#REF!</definedName>
    <definedName name="XRefPaste19" localSheetId="10" hidden="1">#REF!</definedName>
    <definedName name="XRefPaste19" hidden="1">#REF!</definedName>
    <definedName name="XRefPaste1Row" localSheetId="10">[71]XREF!#REF!</definedName>
    <definedName name="XRefPaste1Row">[71]XREF!#REF!</definedName>
    <definedName name="XRefPaste2" localSheetId="10" hidden="1">#REF!</definedName>
    <definedName name="XRefPaste2" hidden="1">#REF!</definedName>
    <definedName name="XRefPaste23" localSheetId="10" hidden="1">'[29]Test-Valuation'!#REF!</definedName>
    <definedName name="XRefPaste23" hidden="1">'[29]Test-Valuation'!#REF!</definedName>
    <definedName name="XRefPaste23Row" localSheetId="10" hidden="1">[29]XREF!#REF!</definedName>
    <definedName name="XRefPaste23Row" hidden="1">[29]XREF!#REF!</definedName>
    <definedName name="XRefPaste25Row" localSheetId="10" hidden="1">[29]XREF!#REF!</definedName>
    <definedName name="XRefPaste25Row" hidden="1">[29]XREF!#REF!</definedName>
    <definedName name="XRefPaste26Row" localSheetId="10" hidden="1">[29]XREF!#REF!</definedName>
    <definedName name="XRefPaste26Row" hidden="1">[29]XREF!#REF!</definedName>
    <definedName name="XRefPaste2Row" localSheetId="10" hidden="1">[29]XREF!#REF!</definedName>
    <definedName name="XRefPaste2Row" hidden="1">[29]XREF!#REF!</definedName>
    <definedName name="XRefPaste3" localSheetId="10" hidden="1">[58]Mvnt!#REF!</definedName>
    <definedName name="XRefPaste3" hidden="1">[58]Mvnt!#REF!</definedName>
    <definedName name="XRefPaste3Row" localSheetId="10" hidden="1">#REF!</definedName>
    <definedName name="XRefPaste3Row" hidden="1">#REF!</definedName>
    <definedName name="XRefPaste4" localSheetId="10" hidden="1">[58]Mvnt!#REF!</definedName>
    <definedName name="XRefPaste4" hidden="1">[58]Mvnt!#REF!</definedName>
    <definedName name="XRefPaste4Row" localSheetId="10" hidden="1">#REF!</definedName>
    <definedName name="XRefPaste4Row" hidden="1">#REF!</definedName>
    <definedName name="XRefPaste5" localSheetId="10" hidden="1">#REF!</definedName>
    <definedName name="XRefPaste5" hidden="1">#REF!</definedName>
    <definedName name="XRefPaste5Row" localSheetId="10" hidden="1">[29]XREF!#REF!</definedName>
    <definedName name="XRefPaste5Row" hidden="1">[29]XREF!#REF!</definedName>
    <definedName name="XRefPaste6" localSheetId="10" hidden="1">#REF!</definedName>
    <definedName name="XRefPaste6" hidden="1">#REF!</definedName>
    <definedName name="XRefPaste6Row" localSheetId="10" hidden="1">[29]XREF!#REF!</definedName>
    <definedName name="XRefPaste6Row" hidden="1">[29]XREF!#REF!</definedName>
    <definedName name="XRefPaste7" localSheetId="10" hidden="1">#REF!</definedName>
    <definedName name="XRefPaste7" hidden="1">#REF!</definedName>
    <definedName name="XRefPaste7Row" localSheetId="10" hidden="1">[29]XREF!#REF!</definedName>
    <definedName name="XRefPaste7Row" hidden="1">[29]XREF!#REF!</definedName>
    <definedName name="XRefPaste8" localSheetId="10" hidden="1">#REF!</definedName>
    <definedName name="XRefPaste8" hidden="1">#REF!</definedName>
    <definedName name="XRefPaste8Row" localSheetId="10" hidden="1">[29]XREF!#REF!</definedName>
    <definedName name="XRefPaste8Row" hidden="1">[29]XREF!#REF!</definedName>
    <definedName name="XRefPaste9" localSheetId="10" hidden="1">#REF!</definedName>
    <definedName name="XRefPaste9" hidden="1">#REF!</definedName>
    <definedName name="XRefPaste9Row" localSheetId="10" hidden="1">[29]XREF!#REF!</definedName>
    <definedName name="XRefPaste9Row" hidden="1">[29]XREF!#REF!</definedName>
    <definedName name="XRefPasteRangeCount" hidden="1">9</definedName>
    <definedName name="xx" localSheetId="10">#REF!</definedName>
    <definedName name="xx">#REF!</definedName>
    <definedName name="years">[72]Ассоциированные!$AE$15,[72]Ассоциированные!$AC$15,[72]Ассоциированные!$AB$15,[72]Ассоциированные!$Z$15,[72]Ассоциированные!$X$15,[72]Ассоциированные!$W$15,[72]Ассоциированные!$U$15,[72]Ассоциированные!$S$15,[72]Ассоциированные!$R$15,[72]Ассоциированные!$P$15,[72]Ассоциированные!$N$15,[72]Ассоциированные!$M$15,[72]Ассоциированные!$L$6,[72]Ассоциированные!$O$6,[72]Ассоциированные!$P$6,[72]Ассоциированные!$Q$6</definedName>
    <definedName name="YN" localSheetId="10">#REF!</definedName>
    <definedName name="YN">#REF!</definedName>
    <definedName name="Z_DCF92C3B_6938_11D5_A24D_00E098813E3B_.wvu.PrintArea" localSheetId="0" hidden="1">'opinion 4-5-Old'!$A$1:$J$63</definedName>
    <definedName name="Z_DCF92C3B_6938_11D5_A24D_00E098813E3B_.wvu.Rows" localSheetId="0" hidden="1">'opinion 4-5-Old'!$5:$10,'opinion 4-5-Old'!#REF!</definedName>
    <definedName name="ааа">'[73]111'!$A$10:$F$48</definedName>
    <definedName name="аапапыв" hidden="1">{#N/A,#N/A,FALSE,"Aging Summary";#N/A,#N/A,FALSE,"Ratio Analysis";#N/A,#N/A,FALSE,"Test 120 Day Accts";#N/A,#N/A,FALSE,"Tickmarks"}</definedName>
    <definedName name="Австрал">'[74]Переоценка сроч'!$Q$17</definedName>
    <definedName name="Англ_фунт">'[74]Переоценка сроч'!$Q$13</definedName>
    <definedName name="ао" localSheetId="10">'[4]#ССЫЛКА'!#REF!</definedName>
    <definedName name="ао">'[4]#ССЫЛКА'!#REF!</definedName>
    <definedName name="Артикул" localSheetId="10">'[4]#ССЫЛКА'!#REF!</definedName>
    <definedName name="Артикул">'[4]#ССЫЛКА'!#REF!</definedName>
    <definedName name="б" localSheetId="10">#REF!</definedName>
    <definedName name="б">#REF!</definedName>
    <definedName name="Банк" localSheetId="10">#REF!</definedName>
    <definedName name="Банк">#REF!</definedName>
    <definedName name="БанкEx" localSheetId="10">#REF!</definedName>
    <definedName name="БанкEx">#REF!</definedName>
    <definedName name="БанкКонтр" localSheetId="10">#REF!</definedName>
    <definedName name="БанкКонтр">#REF!</definedName>
    <definedName name="БанкКонтрEx" localSheetId="10">#REF!</definedName>
    <definedName name="БанкКонтрEx">#REF!</definedName>
    <definedName name="БелМГ">'[4]#ССЫЛКА'!$C$12:$BE$67</definedName>
    <definedName name="БИК" localSheetId="10">#REF!</definedName>
    <definedName name="БИК">#REF!</definedName>
    <definedName name="БИКEx" localSheetId="10">#REF!</definedName>
    <definedName name="БИКEx">#REF!</definedName>
    <definedName name="Валюта" localSheetId="10">#REF!</definedName>
    <definedName name="Валюта">#REF!</definedName>
    <definedName name="Ванино" localSheetId="10">#REF!</definedName>
    <definedName name="Ванино">#REF!</definedName>
    <definedName name="ВидОстаткаEx" localSheetId="10">#REF!</definedName>
    <definedName name="ВидОстаткаEx">#REF!</definedName>
    <definedName name="Возврат" localSheetId="10">[4]!Возврат</definedName>
    <definedName name="Возврат" localSheetId="7">[4]!Возврат</definedName>
    <definedName name="Возврат">[4]!Возврат</definedName>
    <definedName name="Возврат___0">NA()</definedName>
    <definedName name="Возврат1" localSheetId="10">[4]!Возврат</definedName>
    <definedName name="Возврат1" localSheetId="7">[4]!Возврат</definedName>
    <definedName name="Возврат1">[4]!Возврат</definedName>
    <definedName name="ВСЕГО" localSheetId="10">'[31]НДС - июнь'!#REF!</definedName>
    <definedName name="ВСЕГО">'[31]НДС - июнь'!#REF!</definedName>
    <definedName name="ВсегоДок" localSheetId="10">#REF!</definedName>
    <definedName name="ВсегоДок">#REF!</definedName>
    <definedName name="Газстройдет" localSheetId="10">[4]!Возврат</definedName>
    <definedName name="Газстройдет" localSheetId="7">[4]!Возврат</definedName>
    <definedName name="Газстройдет">[4]!Возврат</definedName>
    <definedName name="ГОД1">'[4]#ССЫЛКА'!$D$4</definedName>
    <definedName name="ГОД2">'[4]#ССЫЛКА'!$G$4</definedName>
    <definedName name="ГОД3">'[4]#ССЫЛКА'!$J$4</definedName>
    <definedName name="ГОД4">'[4]#ССЫЛКА'!$M$4</definedName>
    <definedName name="ГОД5">'[4]#ССЫЛКА'!$P$4</definedName>
    <definedName name="Годовой_индекс_2000" localSheetId="10">'[4]#ССЫЛКА'!#REF!</definedName>
    <definedName name="Годовой_индекс_2000">'[4]#ССЫЛКА'!#REF!</definedName>
    <definedName name="Годовой_индекс_2000_" localSheetId="10">'[4]#ССЫЛКА'!#REF!</definedName>
    <definedName name="Годовой_индекс_2000_">'[4]#ССЫЛКА'!#REF!</definedName>
    <definedName name="Годовой_индекс_2000__" localSheetId="10">'[4]5.2'!#REF!</definedName>
    <definedName name="Годовой_индекс_2000__">'[4]5.2'!#REF!</definedName>
    <definedName name="Д" localSheetId="10">#REF!</definedName>
    <definedName name="Д">#REF!</definedName>
    <definedName name="Дата" localSheetId="10">#REF!</definedName>
    <definedName name="Дата">#REF!</definedName>
    <definedName name="Дата_отч" localSheetId="10">#REF!</definedName>
    <definedName name="Дата_отч">#REF!</definedName>
    <definedName name="Дата_отч\" localSheetId="10">#REF!</definedName>
    <definedName name="Дата_отч\">#REF!</definedName>
    <definedName name="Дата_Строка" localSheetId="10">[4]Титул!#REF!</definedName>
    <definedName name="Дата_Строка">[4]Титул!#REF!</definedName>
    <definedName name="ДатаДок" localSheetId="10">#REF!</definedName>
    <definedName name="ДатаДок">#REF!</definedName>
    <definedName name="ДатаДокEx" localSheetId="10">#REF!</definedName>
    <definedName name="ДатаДокEx">#REF!</definedName>
    <definedName name="Дб_Кол" localSheetId="10">'[4]#ССЫЛКА'!#REF!</definedName>
    <definedName name="Дб_Кол">'[4]#ССЫЛКА'!#REF!</definedName>
    <definedName name="Дб_Сумма" localSheetId="10">'[4]#ССЫЛКА'!#REF!</definedName>
    <definedName name="Дб_Сумма">'[4]#ССЫЛКА'!#REF!</definedName>
    <definedName name="деб.">'[4]#ССЫЛКА'!$H$1</definedName>
    <definedName name="Дебет" localSheetId="10">#REF!</definedName>
    <definedName name="Дебет">#REF!</definedName>
    <definedName name="ДебетEx" localSheetId="10">#REF!</definedName>
    <definedName name="ДебетEx">#REF!</definedName>
    <definedName name="Доллар">'[75]Переоценка сроч'!$N$5</definedName>
    <definedName name="доля">'[4]Перечень компаний'!$C$9:$C$40,'[4]Перечень компаний'!$F$9:$F$40,'[4]Перечень компаний'!$I$9:$I$40,'[4]Перечень компаний'!$L$9:$L$40,'[4]Перечень компаний'!$O$9:$O$40</definedName>
    <definedName name="доля_">'[4]Перечень компаний'!$C$9:$C$40,'[4]Перечень компаний'!$F$9:$F$40,'[4]Перечень компаний'!$I$9:$I$40,'[4]Перечень компаний'!$L$9:$L$40,'[4]Перечень компаний'!$O$9:$O$40</definedName>
    <definedName name="Доход">'[4]#ССЫЛКА'!$O$13</definedName>
    <definedName name="Доход_1">'[4]#ССЫЛКА'!$O$13</definedName>
    <definedName name="Е" localSheetId="10">#REF!</definedName>
    <definedName name="Е">#REF!</definedName>
    <definedName name="Евро">'[74]Переоценка сроч'!$Q$12</definedName>
    <definedName name="Ед_изм_код" localSheetId="10">'[4]#ССЫЛКА'!#REF!</definedName>
    <definedName name="Ед_изм_код">'[4]#ССЫЛКА'!#REF!</definedName>
    <definedName name="Ед_изм_наименование" localSheetId="10">'[4]#ССЫЛКА'!#REF!</definedName>
    <definedName name="Ед_изм_наименование">'[4]#ССЫЛКА'!#REF!</definedName>
    <definedName name="Заглушка2" localSheetId="10">'[4]#ССЫЛКА'!#REF!</definedName>
    <definedName name="Заглушка2">'[4]#ССЫЛКА'!#REF!</definedName>
    <definedName name="Заглушка3" localSheetId="10">'[4]#ССЫЛКА'!#REF!</definedName>
    <definedName name="Заглушка3">'[4]#ССЫЛКА'!#REF!</definedName>
    <definedName name="Золото_ЛБ">'[75]Переоценка сроч'!$Q$6</definedName>
    <definedName name="Золото_ЦБ">'[74]Переоценка сроч'!$N$6</definedName>
    <definedName name="Йена">'[74]Переоценка сроч'!$Q$15</definedName>
    <definedName name="ИнвНомер">'[4]#ССЫЛКА'!$B$56</definedName>
    <definedName name="ИНН" localSheetId="10">#REF!</definedName>
    <definedName name="ИНН">#REF!</definedName>
    <definedName name="ИННEx" localSheetId="10">#REF!</definedName>
    <definedName name="ИННEx">#REF!</definedName>
    <definedName name="Исполнитель" localSheetId="10">#REF!</definedName>
    <definedName name="Исполнитель">#REF!</definedName>
    <definedName name="ИтогДок" localSheetId="10">#REF!</definedName>
    <definedName name="ИтогДок">#REF!</definedName>
    <definedName name="ИтогОбДбКв1">'[4]#ССЫЛКА'!$E$57</definedName>
    <definedName name="ИтогОбДбКв2">'[4]#ССЫЛКА'!$H$57</definedName>
    <definedName name="ИтогОбДбКв3">'[4]#ССЫЛКА'!$K$57</definedName>
    <definedName name="ИтогОбДбКв4">'[4]#ССЫЛКА'!$N$57</definedName>
    <definedName name="ИтогОбКрКв1">'[4]#ССЫЛКА'!$F$57</definedName>
    <definedName name="ИтогОбКрКв2">'[4]#ССЫЛКА'!$I$57</definedName>
    <definedName name="ИтогОбКрКв3">'[4]#ССЫЛКА'!$L$57</definedName>
    <definedName name="ИтогОбКрКв4">'[4]#ССЫЛКА'!$O$57</definedName>
    <definedName name="ИтогОстАп">'[4]#ССЫЛКА'!$G$57</definedName>
    <definedName name="ИтогОстИюл">'[4]#ССЫЛКА'!$J$57</definedName>
    <definedName name="ИтогОстОкт">'[4]#ССЫЛКА'!$M$57</definedName>
    <definedName name="ИтогОстЯн">'[4]#ССЫЛКА'!$D$57</definedName>
    <definedName name="ИтогОстЯнв">'[4]#ССЫЛКА'!$P$57</definedName>
    <definedName name="йц">[0]!сс</definedName>
    <definedName name="ЙЦУВФЫ" hidden="1">{#N/A,#N/A,FALSE,"Aging Summary";#N/A,#N/A,FALSE,"Ratio Analysis";#N/A,#N/A,FALSE,"Test 120 Day Accts";#N/A,#N/A,FALSE,"Tickmarks"}</definedName>
    <definedName name="К1" localSheetId="10">'[4]Приложение 3'!#REF!</definedName>
    <definedName name="К1">'[4]Приложение 3'!#REF!</definedName>
    <definedName name="Канад_дол">'[74]Переоценка сроч'!$Q$18</definedName>
    <definedName name="Клиент" localSheetId="10">#REF!</definedName>
    <definedName name="Клиент">#REF!</definedName>
    <definedName name="Конец_Периода" localSheetId="10">'[4]#ССЫЛКА'!#REF!</definedName>
    <definedName name="Конец_Периода">'[4]#ССЫЛКА'!#REF!</definedName>
    <definedName name="Конец_Периода_Кол" localSheetId="10">'[4]#ССЫЛКА'!#REF!</definedName>
    <definedName name="Конец_Периода_Кол">'[4]#ССЫЛКА'!#REF!</definedName>
    <definedName name="Конец_Периода_Сумма" localSheetId="10">'[4]#ССЫЛКА'!#REF!</definedName>
    <definedName name="Конец_Периода_Сумма">'[4]#ССЫЛКА'!#REF!</definedName>
    <definedName name="Контрагент" localSheetId="10">#REF!</definedName>
    <definedName name="Контрагент">#REF!</definedName>
    <definedName name="КонтрагентEx" localSheetId="10">#REF!</definedName>
    <definedName name="КонтрагентEx">#REF!</definedName>
    <definedName name="Кр_Кол" localSheetId="10">'[4]#ССЫЛКА'!#REF!</definedName>
    <definedName name="Кр_Кол">'[4]#ССЫЛКА'!#REF!</definedName>
    <definedName name="Кр_Сумма" localSheetId="10">'[4]#ССЫЛКА'!#REF!</definedName>
    <definedName name="Кр_Сумма">'[4]#ССЫЛКА'!#REF!</definedName>
    <definedName name="Кредит" localSheetId="10">#REF!</definedName>
    <definedName name="Кредит">#REF!</definedName>
    <definedName name="КредитEx" localSheetId="10">#REF!</definedName>
    <definedName name="КредитEx">#REF!</definedName>
    <definedName name="Курс_USD" localSheetId="10">'[76]REPO прямое'!#REF!</definedName>
    <definedName name="Курс_USD">'[76]REPO прямое'!#REF!</definedName>
    <definedName name="КурсEx" localSheetId="10">#REF!</definedName>
    <definedName name="КурсEx">#REF!</definedName>
    <definedName name="ЛС" localSheetId="10">#REF!</definedName>
    <definedName name="ЛС">#REF!</definedName>
    <definedName name="ЛСEx" localSheetId="10">#REF!</definedName>
    <definedName name="ЛСEx">#REF!</definedName>
    <definedName name="м">[0]!м</definedName>
    <definedName name="Модуль12.theHide">[0]!Модуль12.theHide</definedName>
    <definedName name="Модуль9.theHide">[0]!Модуль9.theHide</definedName>
    <definedName name="н1" localSheetId="10">[4]МБП!#REF!</definedName>
    <definedName name="н1">[4]МБП!#REF!</definedName>
    <definedName name="н2" localSheetId="10">[4]МБП!#REF!</definedName>
    <definedName name="н2">[4]МБП!#REF!</definedName>
    <definedName name="н3" localSheetId="10">[4]МБП!#REF!</definedName>
    <definedName name="н3">[4]МБП!#REF!</definedName>
    <definedName name="н4" localSheetId="10">[4]МБП!#REF!</definedName>
    <definedName name="н4">[4]МБП!#REF!</definedName>
    <definedName name="н5" localSheetId="10">[4]МБП!#REF!</definedName>
    <definedName name="н5">[4]МБП!#REF!</definedName>
    <definedName name="н6" localSheetId="10">[4]МБП!#REF!</definedName>
    <definedName name="н6">[4]МБП!#REF!</definedName>
    <definedName name="н7" localSheetId="10">[4]МБП!#REF!</definedName>
    <definedName name="н7">[4]МБП!#REF!</definedName>
    <definedName name="н8" localSheetId="10">[4]МБП!#REF!</definedName>
    <definedName name="н8">[4]МБП!#REF!</definedName>
    <definedName name="н9" localSheetId="10">[4]МБП!#REF!</definedName>
    <definedName name="н9">[4]МБП!#REF!</definedName>
    <definedName name="НазваниеИтога" localSheetId="10">#REF!</definedName>
    <definedName name="НазваниеИтога">#REF!</definedName>
    <definedName name="НазваниеИтогаEx" localSheetId="10">#REF!</definedName>
    <definedName name="НазваниеИтогаEx">#REF!</definedName>
    <definedName name="Названия_для_печати_ИМ">[4]OS01_6OZ!$3:$8,[4]OS01_6OZ!$A:$A</definedName>
    <definedName name="Наименование">'[4]#ССЫЛКА'!$C$56</definedName>
    <definedName name="Новозел">'[77]Переоценка сроч'!$L$16</definedName>
    <definedName name="Номер">'[4]#ССЫЛКА'!$A$56</definedName>
    <definedName name="НомерДок" localSheetId="10">#REF!</definedName>
    <definedName name="НомерДок">#REF!</definedName>
    <definedName name="НомерДокEx" localSheetId="10">#REF!</definedName>
    <definedName name="НомерДокEx">#REF!</definedName>
    <definedName name="нуыкытуц">[78]Ассоциированные!$AE$15,[78]Ассоциированные!$AC$15,[78]Ассоциированные!$AB$15,[78]Ассоциированные!$Z$15,[78]Ассоциированные!$X$15,[78]Ассоциированные!$W$15,[78]Ассоциированные!$U$15,[78]Ассоциированные!$S$15,[78]Ассоциированные!$R$15,[78]Ассоциированные!$P$15,[78]Ассоциированные!$N$15,[78]Ассоциированные!$M$15,[78]Ассоциированные!$L$6,[78]Ассоциированные!$O$6,[78]Ассоциированные!$P$6,[78]Ассоциированные!$Q$6</definedName>
    <definedName name="О" localSheetId="10">#REF!</definedName>
    <definedName name="О">#REF!</definedName>
    <definedName name="оао" localSheetId="10">'[4]#ССЫЛКА'!#REF!</definedName>
    <definedName name="оао">'[4]#ССЫЛКА'!#REF!</definedName>
    <definedName name="ОбДбКв1">'[4]#ССЫЛКА'!$E$56</definedName>
    <definedName name="ОбДбКв2">'[4]#ССЫЛКА'!$H$56</definedName>
    <definedName name="ОбДбКв3">'[4]#ССЫЛКА'!$K$56</definedName>
    <definedName name="ОбДбКв4">'[4]#ССЫЛКА'!$N$56</definedName>
    <definedName name="ОбКрКв1">'[4]#ССЫЛКА'!$F$56</definedName>
    <definedName name="ОбКрКв2">'[4]#ССЫЛКА'!$I$56</definedName>
    <definedName name="ОбКрКв3">'[4]#ССЫЛКА'!$L$56</definedName>
    <definedName name="ОбКрКв4">'[4]#ССЫЛКА'!$O$56</definedName>
    <definedName name="Область_печати_ИМ">'[4]#ССЫЛКА'!$A$1:$O$873</definedName>
    <definedName name="Обнуление_818">[0]!Обнуление_818</definedName>
    <definedName name="ОборотДебет" localSheetId="10">#REF!</definedName>
    <definedName name="ОборотДебет">#REF!</definedName>
    <definedName name="ОборотДебетEx" localSheetId="10">#REF!</definedName>
    <definedName name="ОборотДебетEx">#REF!</definedName>
    <definedName name="ОборотДЭквEx" localSheetId="10">#REF!</definedName>
    <definedName name="ОборотДЭквEx">#REF!</definedName>
    <definedName name="ОборотКредит" localSheetId="10">#REF!</definedName>
    <definedName name="ОборотКредит">#REF!</definedName>
    <definedName name="ОборотКредитEx" localSheetId="10">#REF!</definedName>
    <definedName name="ОборотКредитEx">#REF!</definedName>
    <definedName name="ОборотКЭквEx" localSheetId="10">#REF!</definedName>
    <definedName name="ОборотКЭквEx">#REF!</definedName>
    <definedName name="Общехоз">'[4]#ССЫЛКА'!$C$13</definedName>
    <definedName name="Общехозяйственные">'[4]#ССЫЛКА'!$C$13</definedName>
    <definedName name="ог" localSheetId="10">#REF!</definedName>
    <definedName name="ог">#REF!</definedName>
    <definedName name="Ост_Кол" localSheetId="10">'[4]#ССЫЛКА'!#REF!</definedName>
    <definedName name="Ост_Кол">'[4]#ССЫЛКА'!#REF!</definedName>
    <definedName name="Ост_Сумма" localSheetId="10">'[4]#ССЫЛКА'!#REF!</definedName>
    <definedName name="Ост_Сумма">'[4]#ССЫЛКА'!#REF!</definedName>
    <definedName name="ОстАп">'[4]#ССЫЛКА'!$G$56</definedName>
    <definedName name="остатки">'[4]#ССЫЛКА'!$F$1:$F$125</definedName>
    <definedName name="ОстИюл">'[4]#ССЫЛКА'!$J$56</definedName>
    <definedName name="ОстОкт">'[4]#ССЫЛКА'!$M$56</definedName>
    <definedName name="ОстЯн">'[4]#ССЫЛКА'!$D$56</definedName>
    <definedName name="ОстЯнв">'[4]#ССЫЛКА'!$P$56</definedName>
    <definedName name="Отч_дата" localSheetId="10">#REF!</definedName>
    <definedName name="Отч_дата">#REF!</definedName>
    <definedName name="Палладий_ЛБ">'[75]Переоценка сроч'!$Q$7</definedName>
    <definedName name="Палладий_ЦБ">'[74]Переоценка сроч'!$N$7</definedName>
    <definedName name="пек" localSheetId="10">#REF!</definedName>
    <definedName name="пек">#REF!</definedName>
    <definedName name="Период" localSheetId="10">#REF!</definedName>
    <definedName name="Период">#REF!</definedName>
    <definedName name="Период_Строка" localSheetId="10">'[4]#ССЫЛКА'!#REF!</definedName>
    <definedName name="Период_Строка">'[4]#ССЫЛКА'!#REF!</definedName>
    <definedName name="План_доходов____ВТЧ">'[4]#ССЫЛКА'!$A$1:$A$125</definedName>
    <definedName name="План_расходов____ВТЧ">'[4]#ССЫЛКА'!$A$1:$A$125</definedName>
    <definedName name="Платеж" localSheetId="10">#REF!</definedName>
    <definedName name="Платеж">#REF!</definedName>
    <definedName name="ПлатежEx" localSheetId="10">#REF!</definedName>
    <definedName name="ПлатежEx">#REF!</definedName>
    <definedName name="Плательщик" localSheetId="10">#REF!</definedName>
    <definedName name="Плательщик">#REF!</definedName>
    <definedName name="ПлательщикEx" localSheetId="10">#REF!</definedName>
    <definedName name="ПлательщикEx">#REF!</definedName>
    <definedName name="Платина_ЛБ">'[75]Переоценка сроч'!$Q$9</definedName>
    <definedName name="Платина_ЦБ">'[74]Переоценка сроч'!$N$9</definedName>
    <definedName name="Погашение">[79]Список!$T$2:$T$5</definedName>
    <definedName name="Подзаголовок">'[4]#ССЫЛКА'!$A$7</definedName>
    <definedName name="ПоследПровод" localSheetId="10">#REF!</definedName>
    <definedName name="ПоследПровод">#REF!</definedName>
    <definedName name="прибыль" localSheetId="10">'[4]#ССЫЛКА'!#REF!</definedName>
    <definedName name="прибыль">'[4]#ССЫЛКА'!#REF!</definedName>
    <definedName name="про" localSheetId="10">'[80]Проводки''02'!$B$37:$C$37,'[80]Проводки''02'!$B$50:$C$50,'[80]Проводки''02'!$B$53:$C$53,'[80]Проводки''02'!$B$69:$C$69,'[80]Проводки''02'!$B$78:$C$78,'[80]Проводки''02'!$B$81:$C$81,'[80]Проводки''02'!$B$84:$C$84,'[80]Проводки''02'!$C$89,'[80]Проводки''02'!$B$89,'[80]Проводки''02'!$B$99:$C$99,'[80]Проводки''02'!#REF!,'[80]Проводки''02'!#REF!,'[80]Проводки''02'!#REF!,'[80]Проводки''02'!#REF!,'[80]Проводки''02'!$B$123:$C$124,'[80]Проводки''02'!$C$124,'[80]Проводки''02'!$B$126:$C$126,'[80]Проводки''02'!$B$129:$C$129,'[80]Проводки''02'!$B$132:$C$132,'[80]Проводки''02'!$B$135:$C$135,'[80]Проводки''02'!$B$144:$C$144</definedName>
    <definedName name="про">'[80]Проводки''02'!$B$37:$C$37,'[80]Проводки''02'!$B$50:$C$50,'[80]Проводки''02'!$B$53:$C$53,'[80]Проводки''02'!$B$69:$C$69,'[80]Проводки''02'!$B$78:$C$78,'[80]Проводки''02'!$B$81:$C$81,'[80]Проводки''02'!$B$84:$C$84,'[80]Проводки''02'!$C$89,'[80]Проводки''02'!$B$89,'[80]Проводки''02'!$B$99:$C$99,'[80]Проводки''02'!#REF!,'[80]Проводки''02'!#REF!,'[80]Проводки''02'!#REF!,'[80]Проводки''02'!#REF!,'[80]Проводки''02'!$B$123:$C$124,'[80]Проводки''02'!$C$124,'[80]Проводки''02'!$B$126:$C$126,'[80]Проводки''02'!$B$129:$C$129,'[80]Проводки''02'!$B$132:$C$132,'[80]Проводки''02'!$B$135:$C$135,'[80]Проводки''02'!$B$144:$C$144</definedName>
    <definedName name="пробел" localSheetId="10">'[81]расходы от реализации '!#REF!</definedName>
    <definedName name="пробел">'[81]расходы от реализации '!#REF!</definedName>
    <definedName name="Проц_резерва" localSheetId="10">#REF!</definedName>
    <definedName name="Проц_резерва">#REF!</definedName>
    <definedName name="ПустаяСтрока" localSheetId="10">#REF!</definedName>
    <definedName name="ПустаяСтрока">#REF!</definedName>
    <definedName name="расход" localSheetId="10">'[4]#ССЫЛКА'!#REF!</definedName>
    <definedName name="расход">'[4]#ССЫЛКА'!#REF!</definedName>
    <definedName name="Рез_МБК" localSheetId="10">#REF!</definedName>
    <definedName name="Рез_МБК">#REF!</definedName>
    <definedName name="Рэнд">'[82]Переоценка сроч'!$Q$19</definedName>
    <definedName name="с1">'[4]#ССЫЛКА'!$A$2</definedName>
    <definedName name="с1200" localSheetId="10">#REF!</definedName>
    <definedName name="с1200">#REF!</definedName>
    <definedName name="с1400" localSheetId="10">#REF!</definedName>
    <definedName name="с1400">#REF!</definedName>
    <definedName name="СальдоДебет" localSheetId="10">#REF!</definedName>
    <definedName name="СальдоДебет">#REF!</definedName>
    <definedName name="СальдоДебетEx" localSheetId="10">#REF!</definedName>
    <definedName name="СальдоДебетEx">#REF!</definedName>
    <definedName name="СальдоКредит" localSheetId="10">#REF!</definedName>
    <definedName name="СальдоКредит">#REF!</definedName>
    <definedName name="СальдоКредитEx" localSheetId="10">#REF!</definedName>
    <definedName name="СальдоКредитEx">#REF!</definedName>
    <definedName name="Серебро_ЛБ">'[75]Переоценка сроч'!$Q$8</definedName>
    <definedName name="Серебро_ЦБ">'[74]Переоценка сроч'!$N$8</definedName>
    <definedName name="сс">[0]!сс</definedName>
    <definedName name="сс3">[0]!clik2</definedName>
    <definedName name="Статус" localSheetId="10">#REF!</definedName>
    <definedName name="Статус">#REF!</definedName>
    <definedName name="СтрокаОборотов" localSheetId="10">#REF!</definedName>
    <definedName name="СтрокаОборотов">#REF!</definedName>
    <definedName name="СтрокаОборотовEx" localSheetId="10">#REF!</definedName>
    <definedName name="СтрокаОборотовEx">#REF!</definedName>
    <definedName name="Счет" localSheetId="10">#REF!</definedName>
    <definedName name="Счет">#REF!</definedName>
    <definedName name="Счет_Код" localSheetId="10">[4]Титул!#REF!</definedName>
    <definedName name="Счет_Код">[4]Титул!#REF!</definedName>
    <definedName name="Счет_Код2" localSheetId="10">'[4]#ССЫЛКА'!#REF!</definedName>
    <definedName name="Счет_Код2">'[4]#ССЫЛКА'!#REF!</definedName>
    <definedName name="Счет2" localSheetId="10">'[4]#ССЫЛКА'!#REF!</definedName>
    <definedName name="Счет2">'[4]#ССЫЛКА'!#REF!</definedName>
    <definedName name="СчетИнфо" localSheetId="10">#REF!</definedName>
    <definedName name="СчетИнфо">#REF!</definedName>
    <definedName name="Таблица41">'[4]#ССЫЛКА'!$C$12:$BE$67</definedName>
    <definedName name="Таблица41_">'[4]#ССЫЛКА'!$C$12:$BE$67</definedName>
    <definedName name="Таблица41__">'[4]#ССЫЛКА'!$C$12:$BE$67</definedName>
    <definedName name="тип">'[4]#ССЫЛКА'!$B$9:$B$40,'[4]#ССЫЛКА'!$E$9:$E$40,'[4]#ССЫЛКА'!$H$9:$H$40,'[4]#ССЫЛКА'!$E$41:$E$41,'[4]#ССЫЛКА'!$E$41,'[4]#ССЫЛКА'!$N$9:$N$40</definedName>
    <definedName name="тип_">'[4]Перечень компаний'!$N$9:$N$40,'[4]Перечень компаний'!$K$9:$K$40,'[4]Перечень компаний'!$H$9:$H$40,'[4]Перечень компаний'!$E$9:$E$40,'[4]Перечень компаний'!$B$9:$B$40</definedName>
    <definedName name="Требования" localSheetId="10">#REF!</definedName>
    <definedName name="Требования">#REF!</definedName>
    <definedName name="у1330" localSheetId="10">#REF!</definedName>
    <definedName name="у1330">#REF!</definedName>
    <definedName name="ф">'[4]Перечень компаний'!$N$9:$N$32,'[4]Перечень компаний'!$K$9:$K$32,'[4]Перечень компаний'!$H$9:$H$32,'[4]Перечень компаний'!$E$9:$E$33,'[4]Перечень компаний'!$E$33,'[4]Перечень компаний'!$B$9:$B$32</definedName>
    <definedName name="Швейц_франк">'[74]Переоценка сроч'!$Q$14</definedName>
    <definedName name="ШифрОпер" localSheetId="10">#REF!</definedName>
    <definedName name="ШифрОпер">#REF!</definedName>
    <definedName name="ШифрОперEx" localSheetId="10">#REF!</definedName>
    <definedName name="ШифрОперEx">#REF!</definedName>
    <definedName name="штазн99" localSheetId="10">[4]Инвестиции!#REF!</definedName>
    <definedName name="штазн99">[4]Инвестиции!#REF!</definedName>
    <definedName name="ЭквСальдоEx" localSheetId="10">#REF!</definedName>
    <definedName name="ЭквСальдоEx">#REF!</definedName>
    <definedName name="ЭквСуммаEx" localSheetId="10">#REF!</definedName>
    <definedName name="ЭквСуммаEx">#REF!</definedName>
    <definedName name="яваомвлд">[0]!del_el_d9</definedName>
  </definedNames>
  <calcPr calcId="162913"/>
  <customWorkbookViews>
    <customWorkbookView name="settings" guid="{DCF92C3B-6938-11D5-A24D-00E098813E3B}" maximized="1" windowWidth="1020" windowHeight="624" tabRatio="914" activeSheetId="2" showStatusbar="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9" i="69" l="1"/>
  <c r="H198" i="69" l="1"/>
  <c r="H197" i="69"/>
  <c r="J87" i="69" l="1"/>
  <c r="H209" i="69" l="1"/>
  <c r="H196" i="69"/>
  <c r="H200" i="69" s="1"/>
  <c r="D185" i="69"/>
  <c r="D184" i="69"/>
  <c r="D183" i="69"/>
  <c r="H140" i="69" s="1"/>
  <c r="D179" i="69"/>
  <c r="H136" i="69" s="1"/>
  <c r="H139" i="69"/>
  <c r="H137" i="69"/>
  <c r="J103" i="69"/>
  <c r="H103" i="69"/>
  <c r="J66" i="69"/>
  <c r="J46" i="69"/>
  <c r="J27" i="69"/>
  <c r="H27" i="69"/>
  <c r="H15" i="69"/>
  <c r="H9" i="69"/>
  <c r="H12" i="69" s="1"/>
  <c r="H138" i="69" l="1"/>
  <c r="H142" i="69" s="1"/>
  <c r="H143" i="69"/>
  <c r="H211" i="69"/>
  <c r="H213" i="69" s="1"/>
  <c r="H145" i="69" l="1"/>
  <c r="H65" i="69" l="1"/>
  <c r="H64" i="69"/>
  <c r="H66" i="69" l="1"/>
  <c r="H102" i="60" l="1"/>
  <c r="I104" i="60"/>
  <c r="G494" i="60"/>
  <c r="H215" i="60"/>
  <c r="G102" i="60"/>
  <c r="H112" i="60"/>
  <c r="G487" i="60" l="1"/>
  <c r="I487" i="60" s="1"/>
  <c r="I509" i="60"/>
  <c r="I508" i="60"/>
  <c r="I507" i="60"/>
  <c r="I506" i="60"/>
  <c r="I505" i="60"/>
  <c r="I504" i="60"/>
  <c r="I502" i="60"/>
  <c r="I501" i="60"/>
  <c r="I500" i="60"/>
  <c r="I499" i="60"/>
  <c r="I498" i="60"/>
  <c r="I497" i="60"/>
  <c r="H496" i="60"/>
  <c r="I495" i="60"/>
  <c r="I494" i="60"/>
  <c r="I493" i="60"/>
  <c r="I492" i="60"/>
  <c r="I491" i="60"/>
  <c r="I490" i="60"/>
  <c r="I489" i="60"/>
  <c r="I488" i="60"/>
  <c r="I486" i="60"/>
  <c r="E485" i="60"/>
  <c r="G485" i="60" s="1"/>
  <c r="I485" i="60" s="1"/>
  <c r="I484" i="60"/>
  <c r="I483" i="60"/>
  <c r="I482" i="60"/>
  <c r="I481" i="60"/>
  <c r="I480" i="60"/>
  <c r="I479" i="60"/>
  <c r="I478" i="60"/>
  <c r="I477" i="60"/>
  <c r="I476" i="60"/>
  <c r="I475" i="60"/>
  <c r="I474" i="60"/>
  <c r="I473" i="60"/>
  <c r="I472" i="60"/>
  <c r="I471" i="60"/>
  <c r="I470" i="60"/>
  <c r="I469" i="60"/>
  <c r="I468" i="60"/>
  <c r="I467" i="60"/>
  <c r="I466" i="60"/>
  <c r="I465" i="60"/>
  <c r="I464" i="60"/>
  <c r="I463" i="60"/>
  <c r="I462" i="60"/>
  <c r="I461" i="60"/>
  <c r="I460" i="60"/>
  <c r="I459" i="60"/>
  <c r="I458" i="60"/>
  <c r="I457" i="60"/>
  <c r="I456" i="60"/>
  <c r="I455" i="60"/>
  <c r="I454" i="60"/>
  <c r="I453" i="60"/>
  <c r="I452" i="60"/>
  <c r="I451" i="60"/>
  <c r="I450" i="60"/>
  <c r="I449" i="60"/>
  <c r="I448" i="60"/>
  <c r="I447" i="60"/>
  <c r="I446" i="60"/>
  <c r="I445" i="60"/>
  <c r="I444" i="60"/>
  <c r="I443" i="60"/>
  <c r="I442" i="60"/>
  <c r="I441" i="60"/>
  <c r="I440" i="60"/>
  <c r="I439" i="60"/>
  <c r="I438" i="60"/>
  <c r="I437" i="60"/>
  <c r="I436" i="60"/>
  <c r="I435" i="60"/>
  <c r="I434" i="60"/>
  <c r="I433" i="60"/>
  <c r="I432" i="60"/>
  <c r="I431" i="60"/>
  <c r="I430" i="60"/>
  <c r="I429" i="60"/>
  <c r="I428" i="60"/>
  <c r="I427" i="60"/>
  <c r="I426" i="60"/>
  <c r="I425" i="60"/>
  <c r="I424" i="60"/>
  <c r="I423" i="60"/>
  <c r="I422" i="60"/>
  <c r="I421" i="60"/>
  <c r="I420" i="60"/>
  <c r="I419" i="60"/>
  <c r="I418" i="60"/>
  <c r="I417" i="60"/>
  <c r="I416" i="60"/>
  <c r="I415" i="60"/>
  <c r="I414" i="60"/>
  <c r="I413" i="60"/>
  <c r="I412" i="60"/>
  <c r="I411" i="60"/>
  <c r="G410" i="60"/>
  <c r="I410" i="60" s="1"/>
  <c r="I409" i="60"/>
  <c r="I408" i="60"/>
  <c r="I407" i="60"/>
  <c r="I406" i="60"/>
  <c r="I405" i="60"/>
  <c r="I404" i="60"/>
  <c r="I403" i="60"/>
  <c r="I402" i="60"/>
  <c r="I401" i="60"/>
  <c r="I400" i="60"/>
  <c r="I399" i="60"/>
  <c r="I398" i="60"/>
  <c r="I397" i="60"/>
  <c r="I396" i="60"/>
  <c r="I395" i="60"/>
  <c r="I394" i="60"/>
  <c r="I393" i="60"/>
  <c r="I392" i="60"/>
  <c r="I391" i="60"/>
  <c r="I390" i="60"/>
  <c r="I389" i="60"/>
  <c r="I388" i="60"/>
  <c r="I387" i="60"/>
  <c r="I386" i="60"/>
  <c r="I385" i="60"/>
  <c r="I384" i="60"/>
  <c r="I383" i="60"/>
  <c r="I382" i="60"/>
  <c r="I381" i="60"/>
  <c r="I380" i="60"/>
  <c r="I379" i="60"/>
  <c r="I378" i="60"/>
  <c r="I377" i="60"/>
  <c r="I376" i="60"/>
  <c r="I375" i="60"/>
  <c r="I374" i="60"/>
  <c r="I373" i="60"/>
  <c r="I372" i="60"/>
  <c r="I371" i="60"/>
  <c r="I370" i="60"/>
  <c r="I369" i="60"/>
  <c r="I368" i="60"/>
  <c r="I367" i="60"/>
  <c r="G366" i="60"/>
  <c r="E366" i="60"/>
  <c r="D366" i="60"/>
  <c r="C366" i="60"/>
  <c r="I365" i="60"/>
  <c r="F364" i="60"/>
  <c r="H364" i="60" s="1"/>
  <c r="I364" i="60" s="1"/>
  <c r="I363" i="60"/>
  <c r="I362" i="60"/>
  <c r="I361" i="60"/>
  <c r="I360" i="60"/>
  <c r="I359" i="60"/>
  <c r="I358" i="60"/>
  <c r="I357" i="60"/>
  <c r="I356" i="60"/>
  <c r="I355" i="60"/>
  <c r="I354" i="60"/>
  <c r="I353" i="60"/>
  <c r="I352" i="60"/>
  <c r="I351" i="60"/>
  <c r="I350" i="60"/>
  <c r="I349" i="60"/>
  <c r="I348" i="60"/>
  <c r="I347" i="60"/>
  <c r="I346" i="60"/>
  <c r="I345" i="60"/>
  <c r="I344" i="60"/>
  <c r="I343" i="60"/>
  <c r="F342" i="60"/>
  <c r="I341" i="60"/>
  <c r="I340" i="60"/>
  <c r="I339" i="60"/>
  <c r="I338" i="60"/>
  <c r="I337" i="60"/>
  <c r="I336" i="60"/>
  <c r="I335" i="60"/>
  <c r="I334" i="60"/>
  <c r="I333" i="60"/>
  <c r="I332" i="60"/>
  <c r="I331" i="60"/>
  <c r="I330" i="60"/>
  <c r="I329" i="60"/>
  <c r="I328" i="60"/>
  <c r="I327" i="60"/>
  <c r="I326" i="60"/>
  <c r="I325" i="60"/>
  <c r="I324" i="60"/>
  <c r="I323" i="60"/>
  <c r="I322" i="60"/>
  <c r="I321" i="60"/>
  <c r="I320" i="60"/>
  <c r="I319" i="60"/>
  <c r="I318" i="60"/>
  <c r="I317" i="60"/>
  <c r="I316" i="60"/>
  <c r="I315" i="60"/>
  <c r="I314" i="60"/>
  <c r="I313" i="60"/>
  <c r="I312" i="60"/>
  <c r="I311" i="60"/>
  <c r="I310" i="60"/>
  <c r="I309" i="60"/>
  <c r="I308" i="60"/>
  <c r="I307" i="60"/>
  <c r="I306" i="60"/>
  <c r="I305" i="60"/>
  <c r="I304" i="60"/>
  <c r="I303" i="60"/>
  <c r="I302" i="60"/>
  <c r="I301" i="60"/>
  <c r="I300" i="60"/>
  <c r="I299" i="60"/>
  <c r="I298" i="60"/>
  <c r="I297" i="60"/>
  <c r="I296" i="60"/>
  <c r="I295" i="60"/>
  <c r="I294" i="60"/>
  <c r="I293" i="60"/>
  <c r="I292" i="60"/>
  <c r="I291" i="60"/>
  <c r="I290" i="60"/>
  <c r="I289" i="60"/>
  <c r="I288" i="60"/>
  <c r="I287" i="60"/>
  <c r="I286" i="60"/>
  <c r="I285" i="60"/>
  <c r="I284" i="60"/>
  <c r="I283" i="60"/>
  <c r="I282" i="60"/>
  <c r="I281" i="60"/>
  <c r="I280" i="60"/>
  <c r="I279" i="60"/>
  <c r="I278" i="60"/>
  <c r="I277" i="60"/>
  <c r="I276" i="60"/>
  <c r="I275" i="60"/>
  <c r="I274" i="60"/>
  <c r="I273" i="60"/>
  <c r="C271" i="60"/>
  <c r="I270" i="60"/>
  <c r="I269" i="60"/>
  <c r="I268" i="60"/>
  <c r="I267" i="60"/>
  <c r="I266" i="60"/>
  <c r="I265" i="60"/>
  <c r="I264" i="60"/>
  <c r="I263" i="60"/>
  <c r="I262" i="60"/>
  <c r="I261" i="60"/>
  <c r="I260" i="60"/>
  <c r="I259" i="60"/>
  <c r="I258" i="60"/>
  <c r="I257" i="60"/>
  <c r="I256" i="60"/>
  <c r="I255" i="60"/>
  <c r="F254" i="60"/>
  <c r="E254" i="60"/>
  <c r="I253" i="60"/>
  <c r="I252" i="60"/>
  <c r="I251" i="60"/>
  <c r="I250" i="60"/>
  <c r="I249" i="60"/>
  <c r="I248" i="60"/>
  <c r="I247" i="60"/>
  <c r="I246" i="60"/>
  <c r="I245" i="60"/>
  <c r="I244" i="60"/>
  <c r="I243" i="60"/>
  <c r="I242" i="60"/>
  <c r="I241" i="60"/>
  <c r="I240" i="60"/>
  <c r="I239" i="60"/>
  <c r="I238" i="60"/>
  <c r="I237" i="60"/>
  <c r="I236" i="60"/>
  <c r="I235" i="60"/>
  <c r="I234" i="60"/>
  <c r="I233" i="60"/>
  <c r="I232" i="60"/>
  <c r="I231" i="60"/>
  <c r="I230" i="60"/>
  <c r="I229" i="60"/>
  <c r="I228" i="60"/>
  <c r="I227" i="60"/>
  <c r="I226" i="60"/>
  <c r="I225" i="60"/>
  <c r="I224" i="60"/>
  <c r="I223" i="60"/>
  <c r="I222" i="60"/>
  <c r="I221" i="60"/>
  <c r="I220" i="60"/>
  <c r="I219" i="60"/>
  <c r="I218" i="60"/>
  <c r="I217" i="60"/>
  <c r="I216" i="60"/>
  <c r="I215" i="60"/>
  <c r="I214" i="60"/>
  <c r="I213" i="60"/>
  <c r="I212" i="60"/>
  <c r="I211" i="60"/>
  <c r="F210" i="60"/>
  <c r="I210" i="60" s="1"/>
  <c r="I209" i="60"/>
  <c r="I208" i="60"/>
  <c r="I207" i="60"/>
  <c r="I206" i="60"/>
  <c r="I205" i="60"/>
  <c r="I204" i="60"/>
  <c r="I203" i="60"/>
  <c r="I202" i="60"/>
  <c r="I201" i="60"/>
  <c r="E201" i="60"/>
  <c r="I200" i="60"/>
  <c r="I199" i="60"/>
  <c r="I198" i="60"/>
  <c r="I197" i="60"/>
  <c r="I196" i="60"/>
  <c r="I195" i="60"/>
  <c r="I194" i="60"/>
  <c r="I193" i="60"/>
  <c r="I192" i="60"/>
  <c r="I191" i="60"/>
  <c r="I190" i="60"/>
  <c r="I189" i="60"/>
  <c r="I188" i="60"/>
  <c r="I187" i="60"/>
  <c r="I186" i="60"/>
  <c r="I185" i="60"/>
  <c r="I184" i="60"/>
  <c r="I183" i="60"/>
  <c r="I182" i="60"/>
  <c r="I181" i="60"/>
  <c r="I180" i="60"/>
  <c r="I179" i="60"/>
  <c r="I178" i="60"/>
  <c r="I177" i="60"/>
  <c r="I176" i="60"/>
  <c r="I175" i="60"/>
  <c r="I174" i="60"/>
  <c r="I173" i="60"/>
  <c r="I172" i="60"/>
  <c r="I171" i="60"/>
  <c r="I170" i="60"/>
  <c r="I169" i="60"/>
  <c r="I168" i="60"/>
  <c r="I167" i="60"/>
  <c r="I166" i="60"/>
  <c r="I165" i="60"/>
  <c r="I164" i="60"/>
  <c r="I163" i="60"/>
  <c r="I162" i="60"/>
  <c r="I161" i="60"/>
  <c r="I160" i="60"/>
  <c r="E159" i="60"/>
  <c r="H159" i="60" s="1"/>
  <c r="I159" i="60" s="1"/>
  <c r="I158" i="60"/>
  <c r="I157" i="60"/>
  <c r="I156" i="60"/>
  <c r="I155" i="60"/>
  <c r="I154" i="60"/>
  <c r="I153" i="60"/>
  <c r="I152" i="60"/>
  <c r="I151" i="60"/>
  <c r="I150" i="60"/>
  <c r="I149" i="60"/>
  <c r="I148" i="60"/>
  <c r="I147" i="60"/>
  <c r="I146" i="60"/>
  <c r="I145" i="60"/>
  <c r="I144" i="60"/>
  <c r="I143" i="60"/>
  <c r="I142" i="60"/>
  <c r="I141" i="60"/>
  <c r="I140" i="60"/>
  <c r="I139" i="60"/>
  <c r="I138" i="60"/>
  <c r="I137" i="60"/>
  <c r="I136" i="60"/>
  <c r="I135" i="60"/>
  <c r="I134" i="60"/>
  <c r="I133" i="60"/>
  <c r="I132" i="60"/>
  <c r="I131" i="60"/>
  <c r="I130" i="60"/>
  <c r="I129" i="60"/>
  <c r="I128" i="60"/>
  <c r="I127" i="60"/>
  <c r="E126" i="60"/>
  <c r="H126" i="60" s="1"/>
  <c r="I125" i="60"/>
  <c r="I124" i="60"/>
  <c r="I123" i="60"/>
  <c r="I122" i="60"/>
  <c r="I121" i="60"/>
  <c r="I120" i="60"/>
  <c r="I119" i="60"/>
  <c r="I118" i="60"/>
  <c r="I117" i="60"/>
  <c r="I116" i="60"/>
  <c r="G114" i="60"/>
  <c r="E114" i="60"/>
  <c r="D114" i="60"/>
  <c r="C114" i="60"/>
  <c r="I113" i="60"/>
  <c r="K113" i="60" s="1"/>
  <c r="I112" i="60"/>
  <c r="K112" i="60" s="1"/>
  <c r="I111" i="60"/>
  <c r="K111" i="60" s="1"/>
  <c r="I110" i="60"/>
  <c r="K110" i="60" s="1"/>
  <c r="I109" i="60"/>
  <c r="K109" i="60" s="1"/>
  <c r="I108" i="60"/>
  <c r="K108" i="60" s="1"/>
  <c r="I107" i="60"/>
  <c r="K107" i="60" s="1"/>
  <c r="I106" i="60"/>
  <c r="I105"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F9" i="60"/>
  <c r="F114" i="60" s="1"/>
  <c r="I8" i="60"/>
  <c r="I7" i="60"/>
  <c r="I6" i="60"/>
  <c r="I5" i="60"/>
  <c r="I4" i="60"/>
  <c r="I3" i="60"/>
  <c r="E510" i="60" l="1"/>
  <c r="H271" i="60"/>
  <c r="I126" i="60"/>
  <c r="I503" i="60"/>
  <c r="F366" i="60"/>
  <c r="F510" i="60" s="1"/>
  <c r="K114" i="60"/>
  <c r="G254" i="60"/>
  <c r="G271" i="60" s="1"/>
  <c r="H342" i="60"/>
  <c r="I342" i="60" s="1"/>
  <c r="I366" i="60" s="1"/>
  <c r="G496" i="60"/>
  <c r="I496" i="60"/>
  <c r="H114" i="60"/>
  <c r="I114" i="60"/>
  <c r="I254" i="60" l="1"/>
  <c r="I271" i="60" s="1"/>
  <c r="I510" i="60" s="1"/>
  <c r="H366" i="60"/>
  <c r="G510" i="60"/>
  <c r="J366" i="60"/>
  <c r="J368" i="60" s="1"/>
  <c r="H510" i="60"/>
  <c r="N27" i="56" l="1"/>
  <c r="F29" i="56"/>
  <c r="H29" i="56"/>
  <c r="N33" i="56"/>
  <c r="N34" i="56"/>
  <c r="J35" i="56"/>
  <c r="N35" i="56" s="1"/>
  <c r="N36" i="56"/>
  <c r="D38" i="56"/>
  <c r="D56" i="56" s="1"/>
  <c r="F38" i="56"/>
  <c r="F56" i="56" s="1"/>
  <c r="H38" i="56"/>
  <c r="H56" i="56" s="1"/>
  <c r="L56" i="56"/>
  <c r="L58" i="56" s="1"/>
  <c r="N62" i="56"/>
  <c r="N63" i="56"/>
  <c r="N64" i="56"/>
  <c r="N65" i="56"/>
  <c r="N66" i="56"/>
  <c r="D68" i="56"/>
  <c r="F68" i="56"/>
  <c r="H68" i="56"/>
  <c r="J68" i="56"/>
  <c r="N72" i="56"/>
  <c r="N73" i="56"/>
  <c r="N74" i="56"/>
  <c r="N75" i="56"/>
  <c r="D77" i="56"/>
  <c r="D80" i="56" s="1"/>
  <c r="D82" i="56" s="1"/>
  <c r="F77" i="56"/>
  <c r="F80" i="56" s="1"/>
  <c r="H77" i="56"/>
  <c r="H80" i="56" s="1"/>
  <c r="J77" i="56"/>
  <c r="J80" i="56" s="1"/>
  <c r="J82" i="56" s="1"/>
  <c r="L78" i="56"/>
  <c r="N78" i="56" s="1"/>
  <c r="L182" i="56"/>
  <c r="N180" i="56"/>
  <c r="N179" i="56"/>
  <c r="N178" i="56"/>
  <c r="N177" i="56"/>
  <c r="N172" i="56"/>
  <c r="L172" i="56"/>
  <c r="P110" i="56"/>
  <c r="P111" i="56" s="1"/>
  <c r="H82" i="56" l="1"/>
  <c r="H58" i="56"/>
  <c r="F58" i="56"/>
  <c r="J38" i="56"/>
  <c r="J56" i="56" s="1"/>
  <c r="N38" i="56"/>
  <c r="N56" i="56" s="1"/>
  <c r="N68" i="56"/>
  <c r="F82" i="56"/>
  <c r="N77" i="56"/>
  <c r="N80" i="56" s="1"/>
  <c r="N182" i="56"/>
  <c r="L80" i="56"/>
  <c r="L82" i="56" s="1"/>
  <c r="N82" i="56" l="1"/>
  <c r="F3" i="54" l="1"/>
  <c r="M284" i="54" l="1"/>
  <c r="M285" i="54"/>
  <c r="M288" i="54"/>
  <c r="M287" i="54"/>
  <c r="M286" i="54"/>
  <c r="M289" i="54" l="1"/>
  <c r="L62" i="54"/>
  <c r="L55" i="54"/>
  <c r="L32" i="54"/>
  <c r="M7" i="54"/>
  <c r="N275" i="54"/>
  <c r="O270" i="54"/>
  <c r="N269" i="54"/>
  <c r="L272" i="54" l="1"/>
  <c r="L265" i="54"/>
  <c r="L262" i="54"/>
  <c r="L257" i="54"/>
  <c r="N272" i="54" l="1"/>
  <c r="L541" i="54" l="1"/>
  <c r="L546" i="54"/>
  <c r="L551" i="54"/>
  <c r="L550" i="54"/>
  <c r="L549" i="54"/>
  <c r="L548" i="54"/>
  <c r="L574" i="54"/>
  <c r="M577" i="54"/>
  <c r="L571" i="54" l="1"/>
  <c r="L634" i="54"/>
  <c r="L666" i="54"/>
  <c r="L538" i="54"/>
  <c r="L529" i="54"/>
  <c r="L521" i="54"/>
  <c r="L513" i="54"/>
  <c r="L505" i="54"/>
  <c r="L501" i="54"/>
  <c r="L493" i="54"/>
  <c r="L547" i="54" l="1"/>
  <c r="L579" i="54" s="1"/>
  <c r="M639" i="54"/>
  <c r="M642" i="54" s="1"/>
  <c r="M547" i="54"/>
  <c r="L186" i="54"/>
  <c r="L177" i="54"/>
  <c r="L116" i="54" l="1"/>
  <c r="J404" i="54" l="1"/>
  <c r="J278" i="54"/>
  <c r="J275" i="54"/>
  <c r="M236" i="54"/>
  <c r="L236" i="54"/>
  <c r="M235" i="54"/>
  <c r="L235" i="54"/>
  <c r="M234" i="54"/>
  <c r="L234" i="54"/>
  <c r="M233" i="54"/>
  <c r="L233" i="54"/>
  <c r="M232" i="54"/>
  <c r="L232" i="54"/>
  <c r="M231" i="54"/>
  <c r="L231" i="54"/>
  <c r="M230" i="54"/>
  <c r="L230" i="54"/>
  <c r="L229" i="54"/>
  <c r="L228" i="54"/>
  <c r="L227" i="54"/>
  <c r="H26" i="52" l="1"/>
  <c r="H30" i="52"/>
  <c r="H29" i="52"/>
  <c r="H28" i="52"/>
  <c r="E60" i="52"/>
  <c r="J30" i="52" s="1"/>
  <c r="D60" i="52"/>
  <c r="I30" i="52" s="1"/>
  <c r="E43" i="52"/>
  <c r="J29" i="52" s="1"/>
  <c r="D43" i="52"/>
  <c r="I29" i="52" s="1"/>
  <c r="E30" i="52"/>
  <c r="J28" i="52" s="1"/>
  <c r="D30" i="52"/>
  <c r="I28" i="52" s="1"/>
  <c r="E23" i="52"/>
  <c r="J27" i="52" s="1"/>
  <c r="D23" i="52"/>
  <c r="I27" i="52" s="1"/>
  <c r="E15" i="52"/>
  <c r="J26" i="52" s="1"/>
  <c r="D15" i="52"/>
  <c r="I26" i="52" s="1"/>
  <c r="I31" i="52" l="1"/>
  <c r="J31" i="52"/>
  <c r="K532" i="50"/>
  <c r="L528" i="50"/>
  <c r="S426" i="50" l="1"/>
  <c r="S402" i="50"/>
  <c r="S392" i="50"/>
  <c r="S379" i="50"/>
  <c r="S377" i="50"/>
  <c r="S372" i="50"/>
  <c r="S373" i="50"/>
  <c r="S374" i="50"/>
  <c r="S375" i="50"/>
  <c r="S371" i="50"/>
  <c r="S340" i="50"/>
  <c r="S323" i="50"/>
  <c r="K242" i="50"/>
  <c r="K442" i="50"/>
  <c r="M442" i="50" s="1"/>
  <c r="Q381" i="50"/>
  <c r="Q256" i="50"/>
  <c r="Q254" i="50"/>
  <c r="K229" i="50"/>
  <c r="K216" i="50"/>
  <c r="L224" i="50"/>
  <c r="L226" i="50"/>
  <c r="L222" i="50"/>
  <c r="L220" i="50"/>
  <c r="L218" i="50"/>
  <c r="L212" i="50"/>
  <c r="L209" i="50"/>
  <c r="L207" i="50"/>
  <c r="L205" i="50"/>
  <c r="L203" i="50"/>
  <c r="K54" i="50"/>
  <c r="K44" i="50"/>
  <c r="K37" i="50"/>
  <c r="K30" i="50"/>
  <c r="K28" i="50"/>
  <c r="L59" i="50"/>
  <c r="M199" i="50"/>
  <c r="M168" i="50"/>
  <c r="M163" i="50"/>
  <c r="M65" i="50"/>
  <c r="P367" i="50"/>
  <c r="P359" i="50"/>
  <c r="P331" i="50"/>
  <c r="P155" i="50"/>
  <c r="P147" i="50"/>
  <c r="P139" i="50"/>
  <c r="P131" i="50"/>
  <c r="P123" i="50"/>
  <c r="P115" i="50"/>
  <c r="P103" i="50"/>
  <c r="P95" i="50"/>
  <c r="P87" i="50"/>
  <c r="P79" i="50"/>
  <c r="K21" i="50"/>
  <c r="K25" i="50"/>
  <c r="K3" i="50"/>
  <c r="K5" i="50"/>
  <c r="M758" i="50"/>
  <c r="M754" i="50"/>
  <c r="M752" i="50"/>
  <c r="M748" i="50"/>
  <c r="M742" i="50"/>
  <c r="M737" i="50"/>
  <c r="M734" i="50"/>
  <c r="M729" i="50"/>
  <c r="M721" i="50"/>
  <c r="M718" i="50"/>
  <c r="M713" i="50"/>
  <c r="M707" i="50"/>
  <c r="M704" i="50"/>
  <c r="M699" i="50"/>
  <c r="M696" i="50"/>
  <c r="M694" i="50"/>
  <c r="M692" i="50"/>
  <c r="M689" i="50"/>
  <c r="M687" i="50"/>
  <c r="M685" i="50"/>
  <c r="M683" i="50"/>
  <c r="M681" i="50"/>
  <c r="M679" i="50"/>
  <c r="M677" i="50"/>
  <c r="M674" i="50"/>
  <c r="M672" i="50"/>
  <c r="M669" i="50"/>
  <c r="M667" i="50"/>
  <c r="M665" i="50"/>
  <c r="M663" i="50"/>
  <c r="M660" i="50"/>
  <c r="M657" i="50"/>
  <c r="M654" i="50"/>
  <c r="M639" i="50"/>
  <c r="M634" i="50"/>
  <c r="M624" i="50"/>
  <c r="L766" i="50"/>
  <c r="K632" i="50"/>
  <c r="K650" i="50"/>
  <c r="K644" i="50"/>
  <c r="L561" i="50"/>
  <c r="L552" i="50"/>
  <c r="L555" i="50"/>
  <c r="M459" i="50"/>
  <c r="K545" i="50"/>
  <c r="K525" i="50"/>
  <c r="K523" i="50"/>
  <c r="L618" i="50"/>
  <c r="L569" i="50"/>
  <c r="L575" i="50"/>
  <c r="L605" i="50"/>
  <c r="M497" i="50"/>
  <c r="M493" i="50"/>
  <c r="M494" i="50"/>
  <c r="M495" i="50"/>
  <c r="M492" i="50"/>
  <c r="M491" i="50"/>
  <c r="M477" i="50"/>
  <c r="M478" i="50"/>
  <c r="M479" i="50"/>
  <c r="M480" i="50"/>
  <c r="M481" i="50"/>
  <c r="M476" i="50"/>
  <c r="M474" i="50"/>
  <c r="M469" i="50"/>
  <c r="M470" i="50"/>
  <c r="M471" i="50"/>
  <c r="M472" i="50"/>
  <c r="M468" i="50"/>
  <c r="M466" i="50"/>
  <c r="M461" i="50"/>
  <c r="M462" i="50"/>
  <c r="M463" i="50"/>
  <c r="M464" i="50"/>
  <c r="M460" i="50"/>
  <c r="M455" i="50"/>
  <c r="K491" i="50"/>
  <c r="L488" i="50"/>
  <c r="L496" i="50"/>
  <c r="L473" i="50"/>
  <c r="L465" i="50"/>
  <c r="L448" i="50"/>
  <c r="K230" i="50" l="1"/>
  <c r="L562" i="50"/>
  <c r="Q382" i="50"/>
  <c r="K548" i="50"/>
  <c r="K651" i="50"/>
  <c r="S427" i="50"/>
  <c r="S429" i="50" s="1"/>
  <c r="K55" i="50"/>
  <c r="L497" i="50"/>
  <c r="L619" i="50"/>
  <c r="M759" i="50"/>
  <c r="P368" i="50"/>
  <c r="L576" i="50"/>
  <c r="L25" i="50"/>
  <c r="M200" i="50"/>
  <c r="L227" i="50"/>
  <c r="M498" i="50"/>
  <c r="H1453" i="43"/>
  <c r="K760" i="50" l="1"/>
  <c r="K761" i="50"/>
  <c r="K762" i="50"/>
  <c r="K763" i="50"/>
  <c r="K764" i="50"/>
  <c r="K765" i="50"/>
  <c r="K766" i="50"/>
  <c r="K767" i="50"/>
  <c r="K759" i="50"/>
  <c r="K561" i="50"/>
  <c r="K555" i="50"/>
  <c r="K205" i="50" l="1"/>
  <c r="K283" i="50" l="1"/>
  <c r="K489" i="50"/>
  <c r="K773" i="50"/>
  <c r="K775" i="50"/>
  <c r="B27" i="13" l="1"/>
  <c r="B11" i="13"/>
  <c r="B48" i="13"/>
  <c r="B47" i="13"/>
  <c r="B46" i="13"/>
  <c r="B45" i="13"/>
  <c r="B44" i="13"/>
  <c r="B43" i="13"/>
  <c r="B42" i="13"/>
  <c r="B41" i="13"/>
  <c r="B40" i="13"/>
  <c r="B39" i="13"/>
  <c r="B38" i="13"/>
  <c r="B37" i="13"/>
  <c r="B36" i="13"/>
  <c r="B35" i="13"/>
  <c r="B34" i="13"/>
  <c r="B33" i="13"/>
  <c r="B32" i="13"/>
  <c r="B31" i="13"/>
  <c r="B30" i="13"/>
  <c r="B29" i="13"/>
  <c r="B26" i="13"/>
  <c r="B25" i="13"/>
  <c r="B24" i="13"/>
  <c r="B23" i="13"/>
  <c r="B15" i="13" l="1"/>
  <c r="B16" i="13"/>
  <c r="B18" i="13"/>
  <c r="B10" i="13"/>
  <c r="B13" i="13" s="1"/>
  <c r="B17" i="13"/>
  <c r="B20" i="13" l="1"/>
  <c r="B50" i="13"/>
  <c r="B52" i="13" l="1"/>
  <c r="K708" i="43" l="1"/>
  <c r="I708" i="43"/>
  <c r="H708" i="43"/>
  <c r="L707" i="43"/>
  <c r="L708" i="43" s="1"/>
  <c r="I1453" i="43"/>
  <c r="K1452" i="43"/>
  <c r="L1452" i="43" l="1"/>
  <c r="L1453" i="43" s="1"/>
  <c r="K1453" i="43"/>
  <c r="K2837" i="43"/>
  <c r="J2837" i="43"/>
  <c r="I2837" i="43"/>
  <c r="H2837" i="43"/>
  <c r="L2836" i="43"/>
  <c r="L2837" i="43" s="1"/>
  <c r="J231" i="43"/>
  <c r="I231" i="43"/>
  <c r="H231" i="43"/>
  <c r="K230" i="43"/>
  <c r="K231" i="43" s="1"/>
  <c r="K1130" i="43"/>
  <c r="J1130" i="43"/>
  <c r="I1130" i="43"/>
  <c r="H1130" i="43"/>
  <c r="L1129" i="43"/>
  <c r="L1130" i="43" s="1"/>
  <c r="L230" i="43" l="1"/>
  <c r="L231" i="43" s="1"/>
  <c r="N2523" i="43"/>
  <c r="N2525" i="43" s="1"/>
  <c r="K2840" i="43" l="1"/>
  <c r="H12" i="47" l="1"/>
  <c r="G12" i="47"/>
  <c r="H7" i="47"/>
  <c r="G7" i="47"/>
  <c r="K2489" i="43" l="1"/>
  <c r="J2489" i="43"/>
  <c r="H2489" i="43"/>
  <c r="L2488" i="43"/>
  <c r="K999" i="43"/>
  <c r="J999" i="43"/>
  <c r="H999" i="43"/>
  <c r="I996" i="43"/>
  <c r="I999" i="43" s="1"/>
  <c r="K994" i="43"/>
  <c r="J994" i="43"/>
  <c r="H994" i="43"/>
  <c r="I993" i="43"/>
  <c r="I994" i="43" s="1"/>
  <c r="I20" i="43"/>
  <c r="L20" i="43" s="1"/>
  <c r="I22" i="43"/>
  <c r="L22" i="43" s="1"/>
  <c r="J1977" i="43"/>
  <c r="I1977" i="43"/>
  <c r="H1977" i="43"/>
  <c r="K1972" i="43"/>
  <c r="K1977" i="43" s="1"/>
  <c r="L21" i="43"/>
  <c r="K36" i="43"/>
  <c r="J36" i="43"/>
  <c r="H36" i="43"/>
  <c r="K2550" i="43"/>
  <c r="J2550" i="43"/>
  <c r="H2550" i="43"/>
  <c r="I2549" i="43"/>
  <c r="I2550" i="43" s="1"/>
  <c r="I2483" i="43"/>
  <c r="L2483" i="43" s="1"/>
  <c r="I1454" i="43"/>
  <c r="P993" i="43"/>
  <c r="L2489" i="43" l="1"/>
  <c r="I36" i="43"/>
  <c r="L1972" i="43"/>
  <c r="L1977" i="43" s="1"/>
  <c r="L996" i="43"/>
  <c r="L2549" i="43"/>
  <c r="L2550" i="43" s="1"/>
  <c r="L993" i="43"/>
  <c r="L994" i="43" s="1"/>
  <c r="I2489" i="43"/>
  <c r="L36" i="43"/>
  <c r="P996" i="43" l="1"/>
  <c r="P997" i="43" s="1"/>
  <c r="L999" i="43"/>
  <c r="K1456" i="43" l="1"/>
  <c r="J1456" i="43"/>
  <c r="I1456" i="43"/>
  <c r="H1456" i="43"/>
  <c r="L1454" i="43"/>
  <c r="L1456" i="43" s="1"/>
  <c r="K2841" i="43"/>
  <c r="J2841" i="43"/>
  <c r="I2841" i="43"/>
  <c r="H2841" i="43"/>
  <c r="L2840" i="43"/>
  <c r="L2841" i="43" s="1"/>
  <c r="K810" i="43" l="1"/>
  <c r="I810" i="43"/>
  <c r="J158" i="43"/>
  <c r="I158" i="43"/>
  <c r="H158" i="43"/>
  <c r="K136" i="43"/>
  <c r="L136" i="43" s="1"/>
  <c r="K96" i="43"/>
  <c r="K84" i="43"/>
  <c r="J84" i="43"/>
  <c r="H84" i="43"/>
  <c r="I83" i="43"/>
  <c r="L83" i="43" s="1"/>
  <c r="L84" i="43" s="1"/>
  <c r="K158" i="43" l="1"/>
  <c r="L810" i="43"/>
  <c r="L96" i="43"/>
  <c r="L158" i="43" s="1"/>
  <c r="I84" i="43"/>
  <c r="L2606" i="43"/>
  <c r="H2606" i="43"/>
  <c r="L2075" i="43"/>
  <c r="H2075" i="43"/>
  <c r="H755" i="43" l="1"/>
  <c r="L727" i="43"/>
  <c r="L755" i="43" s="1"/>
  <c r="L2375" i="43" l="1"/>
  <c r="L2401" i="43" s="1"/>
  <c r="L966" i="43"/>
  <c r="L992" i="43" s="1"/>
  <c r="H2401" i="43"/>
  <c r="H992" i="43"/>
  <c r="G9" i="45" l="1"/>
  <c r="F9" i="45"/>
  <c r="G710" i="39" l="1"/>
  <c r="E666" i="39" l="1"/>
  <c r="E496" i="39"/>
  <c r="H531" i="39" l="1"/>
  <c r="G526" i="39"/>
  <c r="G525" i="39" s="1"/>
  <c r="E526" i="39"/>
  <c r="E525" i="39" s="1"/>
  <c r="C526" i="39"/>
  <c r="C525" i="39" s="1"/>
  <c r="H529" i="39"/>
  <c r="C426" i="39"/>
  <c r="H443" i="39"/>
  <c r="H562" i="39"/>
  <c r="G442" i="39"/>
  <c r="H442" i="39" s="1"/>
  <c r="G561" i="39"/>
  <c r="E434" i="39"/>
  <c r="E426" i="39" s="1"/>
  <c r="E425" i="39" s="1"/>
  <c r="G472" i="39"/>
  <c r="E472" i="39"/>
  <c r="C472" i="39"/>
  <c r="H486" i="39"/>
  <c r="H485" i="39"/>
  <c r="J485" i="39" s="1"/>
  <c r="E645" i="39"/>
  <c r="E644" i="39" s="1"/>
  <c r="H748" i="39"/>
  <c r="H747" i="39"/>
  <c r="H746" i="39"/>
  <c r="H745" i="39"/>
  <c r="H744" i="39"/>
  <c r="H743" i="39"/>
  <c r="H742" i="39"/>
  <c r="H741" i="39"/>
  <c r="H740" i="39"/>
  <c r="H739" i="39"/>
  <c r="H738" i="39"/>
  <c r="H737" i="39"/>
  <c r="H736" i="39"/>
  <c r="H735" i="39"/>
  <c r="H734" i="39"/>
  <c r="H733" i="39"/>
  <c r="H732" i="39"/>
  <c r="H731" i="39"/>
  <c r="H730" i="39"/>
  <c r="H729" i="39"/>
  <c r="H728" i="39"/>
  <c r="G727" i="39"/>
  <c r="E727" i="39"/>
  <c r="C727" i="39"/>
  <c r="H726" i="39"/>
  <c r="G725" i="39"/>
  <c r="E725" i="39"/>
  <c r="C725" i="39"/>
  <c r="H723" i="39"/>
  <c r="G722" i="39"/>
  <c r="E722" i="39"/>
  <c r="C722" i="39"/>
  <c r="H721" i="39"/>
  <c r="H720" i="39"/>
  <c r="G719" i="39"/>
  <c r="E719" i="39"/>
  <c r="C719" i="39"/>
  <c r="H717" i="39"/>
  <c r="H716" i="39"/>
  <c r="H715" i="39"/>
  <c r="H714" i="39"/>
  <c r="G713" i="39"/>
  <c r="E713" i="39"/>
  <c r="C713" i="39"/>
  <c r="H712" i="39"/>
  <c r="H711" i="39"/>
  <c r="H710" i="39"/>
  <c r="H709" i="39"/>
  <c r="M709" i="39" s="1"/>
  <c r="H708" i="39"/>
  <c r="H707" i="39"/>
  <c r="H706" i="39"/>
  <c r="H705" i="39"/>
  <c r="H704" i="39"/>
  <c r="H703" i="39"/>
  <c r="H702" i="39"/>
  <c r="J702" i="39" s="1"/>
  <c r="H701" i="39"/>
  <c r="H700" i="39"/>
  <c r="H699" i="39"/>
  <c r="H698" i="39"/>
  <c r="H697" i="39"/>
  <c r="H696" i="39"/>
  <c r="H695" i="39"/>
  <c r="H694" i="39"/>
  <c r="H693" i="39"/>
  <c r="H692" i="39"/>
  <c r="H691" i="39"/>
  <c r="H690" i="39"/>
  <c r="H689" i="39"/>
  <c r="H688" i="39"/>
  <c r="H687" i="39"/>
  <c r="G686" i="39"/>
  <c r="E686" i="39"/>
  <c r="C686" i="39"/>
  <c r="H685" i="39"/>
  <c r="H684" i="39"/>
  <c r="H683" i="39"/>
  <c r="G682" i="39"/>
  <c r="E682" i="39"/>
  <c r="C682" i="39"/>
  <c r="H681" i="39"/>
  <c r="H680" i="39"/>
  <c r="H679" i="39"/>
  <c r="H678" i="39"/>
  <c r="G677" i="39"/>
  <c r="E677" i="39"/>
  <c r="C677" i="39"/>
  <c r="H676" i="39"/>
  <c r="G675" i="39"/>
  <c r="E675" i="39"/>
  <c r="C675" i="39"/>
  <c r="H674" i="39"/>
  <c r="H673" i="39"/>
  <c r="H672" i="39"/>
  <c r="H671" i="39"/>
  <c r="H670" i="39"/>
  <c r="H669" i="39"/>
  <c r="K669" i="39" s="1"/>
  <c r="G668" i="39"/>
  <c r="E668" i="39"/>
  <c r="C668" i="39"/>
  <c r="H667" i="39"/>
  <c r="H666" i="39"/>
  <c r="H665" i="39"/>
  <c r="H664" i="39"/>
  <c r="H663" i="39"/>
  <c r="H662" i="39"/>
  <c r="G661" i="39"/>
  <c r="E661" i="39"/>
  <c r="C661" i="39"/>
  <c r="H660" i="39"/>
  <c r="H659" i="39"/>
  <c r="H658" i="39"/>
  <c r="G657" i="39"/>
  <c r="E657" i="39"/>
  <c r="C657" i="39"/>
  <c r="H656" i="39"/>
  <c r="H655" i="39"/>
  <c r="H654" i="39"/>
  <c r="G653" i="39"/>
  <c r="E653" i="39"/>
  <c r="C653" i="39"/>
  <c r="H651" i="39"/>
  <c r="H650" i="39"/>
  <c r="H649" i="39"/>
  <c r="H648" i="39"/>
  <c r="H647" i="39"/>
  <c r="G646" i="39"/>
  <c r="E646" i="39"/>
  <c r="C646" i="39"/>
  <c r="H645" i="39"/>
  <c r="G644" i="39"/>
  <c r="C644" i="39"/>
  <c r="H643" i="39"/>
  <c r="H642" i="39"/>
  <c r="H641" i="39"/>
  <c r="H640" i="39"/>
  <c r="J640" i="39" s="1"/>
  <c r="H639" i="39"/>
  <c r="H638" i="39"/>
  <c r="H637" i="39"/>
  <c r="H636" i="39"/>
  <c r="H635" i="39"/>
  <c r="H634" i="39"/>
  <c r="H633" i="39"/>
  <c r="H632" i="39"/>
  <c r="H631" i="39"/>
  <c r="H630" i="39"/>
  <c r="H629" i="39"/>
  <c r="H628" i="39"/>
  <c r="H627" i="39"/>
  <c r="H626" i="39"/>
  <c r="G625" i="39"/>
  <c r="E625" i="39"/>
  <c r="C625" i="39"/>
  <c r="H624" i="39"/>
  <c r="H623" i="39"/>
  <c r="G622" i="39"/>
  <c r="E622" i="39"/>
  <c r="C622" i="39"/>
  <c r="H621" i="39"/>
  <c r="H620" i="39"/>
  <c r="G619" i="39"/>
  <c r="E619" i="39"/>
  <c r="C619" i="39"/>
  <c r="H618" i="39"/>
  <c r="G617" i="39"/>
  <c r="E617" i="39"/>
  <c r="C617" i="39"/>
  <c r="H616" i="39"/>
  <c r="H615" i="39"/>
  <c r="H614" i="39"/>
  <c r="K614" i="39" s="1"/>
  <c r="H613" i="39"/>
  <c r="K613" i="39" s="1"/>
  <c r="G612" i="39"/>
  <c r="E612" i="39"/>
  <c r="C612" i="39"/>
  <c r="H611" i="39"/>
  <c r="H610" i="39"/>
  <c r="H609" i="39"/>
  <c r="H608" i="39"/>
  <c r="H607" i="39"/>
  <c r="H606" i="39"/>
  <c r="G605" i="39"/>
  <c r="E605" i="39"/>
  <c r="C605" i="39"/>
  <c r="H604" i="39"/>
  <c r="H603" i="39"/>
  <c r="H602" i="39"/>
  <c r="H601" i="39"/>
  <c r="G600" i="39"/>
  <c r="E600" i="39"/>
  <c r="C600" i="39"/>
  <c r="H599" i="39"/>
  <c r="H598" i="39"/>
  <c r="H597" i="39"/>
  <c r="G596" i="39"/>
  <c r="E596" i="39"/>
  <c r="C596" i="39"/>
  <c r="H594" i="39"/>
  <c r="H593" i="39"/>
  <c r="H592" i="39"/>
  <c r="H591" i="39"/>
  <c r="G590" i="39"/>
  <c r="E590" i="39"/>
  <c r="C590" i="39"/>
  <c r="H589" i="39"/>
  <c r="G588" i="39"/>
  <c r="E588" i="39"/>
  <c r="C588" i="39"/>
  <c r="H587" i="39"/>
  <c r="H586" i="39"/>
  <c r="H585" i="39"/>
  <c r="H584" i="39"/>
  <c r="H583" i="39"/>
  <c r="H582" i="39"/>
  <c r="H581" i="39"/>
  <c r="H580" i="39"/>
  <c r="H579" i="39"/>
  <c r="H578" i="39"/>
  <c r="H577" i="39"/>
  <c r="H576" i="39"/>
  <c r="H575" i="39"/>
  <c r="H574" i="39"/>
  <c r="H573" i="39"/>
  <c r="H572" i="39"/>
  <c r="H571" i="39"/>
  <c r="H570" i="39"/>
  <c r="H569" i="39"/>
  <c r="G568" i="39"/>
  <c r="E568" i="39"/>
  <c r="C568" i="39"/>
  <c r="H565" i="39"/>
  <c r="H564" i="39"/>
  <c r="G563" i="39"/>
  <c r="E563" i="39"/>
  <c r="C563" i="39"/>
  <c r="E561" i="39"/>
  <c r="C561" i="39"/>
  <c r="H560" i="39"/>
  <c r="G559" i="39"/>
  <c r="E559" i="39"/>
  <c r="C559" i="39"/>
  <c r="H557" i="39"/>
  <c r="G556" i="39"/>
  <c r="G555" i="39" s="1"/>
  <c r="E556" i="39"/>
  <c r="C556" i="39"/>
  <c r="C555" i="39" s="1"/>
  <c r="H554" i="39"/>
  <c r="H553" i="39"/>
  <c r="G552" i="39"/>
  <c r="E552" i="39"/>
  <c r="C552" i="39"/>
  <c r="H551" i="39"/>
  <c r="H550" i="39"/>
  <c r="H549" i="39"/>
  <c r="H548" i="39"/>
  <c r="H547" i="39"/>
  <c r="H546" i="39"/>
  <c r="H545" i="39"/>
  <c r="H544" i="39"/>
  <c r="G543" i="39"/>
  <c r="E543" i="39"/>
  <c r="C543" i="39"/>
  <c r="H542" i="39"/>
  <c r="H541" i="39"/>
  <c r="H540" i="39"/>
  <c r="G539" i="39"/>
  <c r="E539" i="39"/>
  <c r="C539" i="39"/>
  <c r="H537" i="39"/>
  <c r="G536" i="39"/>
  <c r="G535" i="39" s="1"/>
  <c r="E536" i="39"/>
  <c r="C536" i="39"/>
  <c r="C535" i="39" s="1"/>
  <c r="H534" i="39"/>
  <c r="G533" i="39"/>
  <c r="G532" i="39" s="1"/>
  <c r="E533" i="39"/>
  <c r="E532" i="39" s="1"/>
  <c r="C533" i="39"/>
  <c r="C532" i="39" s="1"/>
  <c r="H530" i="39"/>
  <c r="H528" i="39"/>
  <c r="H527" i="39"/>
  <c r="H524" i="39"/>
  <c r="G523" i="39"/>
  <c r="E523" i="39"/>
  <c r="C523" i="39"/>
  <c r="H522" i="39"/>
  <c r="H521" i="39"/>
  <c r="H520" i="39"/>
  <c r="H519" i="39"/>
  <c r="G518" i="39"/>
  <c r="E518" i="39"/>
  <c r="C518" i="39"/>
  <c r="H515" i="39"/>
  <c r="H514" i="39"/>
  <c r="H513" i="39"/>
  <c r="H512" i="39"/>
  <c r="H511" i="39"/>
  <c r="H510" i="39"/>
  <c r="H509" i="39"/>
  <c r="H508" i="39"/>
  <c r="H507" i="39"/>
  <c r="G506" i="39"/>
  <c r="G505" i="39" s="1"/>
  <c r="E506" i="39"/>
  <c r="E505" i="39" s="1"/>
  <c r="C506" i="39"/>
  <c r="C505" i="39" s="1"/>
  <c r="H504" i="39"/>
  <c r="H503" i="39"/>
  <c r="G502" i="39"/>
  <c r="E502" i="39"/>
  <c r="E501" i="39" s="1"/>
  <c r="C502" i="39"/>
  <c r="C501" i="39" s="1"/>
  <c r="H500" i="39"/>
  <c r="G499" i="39"/>
  <c r="E499" i="39"/>
  <c r="E498" i="39" s="1"/>
  <c r="C499" i="39"/>
  <c r="C498" i="39" s="1"/>
  <c r="H496" i="39"/>
  <c r="G495" i="39"/>
  <c r="G494" i="39" s="1"/>
  <c r="E495" i="39"/>
  <c r="E494" i="39" s="1"/>
  <c r="C495" i="39"/>
  <c r="C494" i="39" s="1"/>
  <c r="H493" i="39"/>
  <c r="G492" i="39"/>
  <c r="G491" i="39" s="1"/>
  <c r="E492" i="39"/>
  <c r="E491" i="39" s="1"/>
  <c r="C492" i="39"/>
  <c r="C491" i="39" s="1"/>
  <c r="H490" i="39"/>
  <c r="H489" i="39"/>
  <c r="G488" i="39"/>
  <c r="G487" i="39" s="1"/>
  <c r="E488" i="39"/>
  <c r="E487" i="39" s="1"/>
  <c r="C488" i="39"/>
  <c r="H484" i="39"/>
  <c r="H483" i="39"/>
  <c r="H482" i="39"/>
  <c r="H481" i="39"/>
  <c r="H480" i="39"/>
  <c r="H479" i="39"/>
  <c r="H478" i="39"/>
  <c r="H477" i="39"/>
  <c r="H476" i="39"/>
  <c r="H475" i="39"/>
  <c r="H474" i="39"/>
  <c r="H473" i="39"/>
  <c r="H471" i="39"/>
  <c r="G470" i="39"/>
  <c r="E470" i="39"/>
  <c r="C470" i="39"/>
  <c r="H469" i="39"/>
  <c r="H468" i="39"/>
  <c r="H467" i="39"/>
  <c r="H466" i="39"/>
  <c r="H465" i="39"/>
  <c r="H464" i="39"/>
  <c r="H463" i="39"/>
  <c r="H462" i="39"/>
  <c r="H461" i="39"/>
  <c r="H460" i="39"/>
  <c r="H459" i="39"/>
  <c r="G458" i="39"/>
  <c r="E458" i="39"/>
  <c r="C458" i="39"/>
  <c r="H458" i="39" s="1"/>
  <c r="H456" i="39"/>
  <c r="H455" i="39"/>
  <c r="H454" i="39"/>
  <c r="G453" i="39"/>
  <c r="E453" i="39"/>
  <c r="E452" i="39" s="1"/>
  <c r="C453" i="39"/>
  <c r="C452" i="39" s="1"/>
  <c r="H451" i="39"/>
  <c r="H450" i="39"/>
  <c r="H449" i="39"/>
  <c r="H448" i="39"/>
  <c r="H447" i="39"/>
  <c r="H446" i="39"/>
  <c r="G445" i="39"/>
  <c r="G444" i="39" s="1"/>
  <c r="E445" i="39"/>
  <c r="E444" i="39" s="1"/>
  <c r="C445" i="39"/>
  <c r="C444" i="39" s="1"/>
  <c r="H441" i="39"/>
  <c r="H440" i="39"/>
  <c r="H439" i="39"/>
  <c r="H438" i="39"/>
  <c r="H437" i="39"/>
  <c r="H436" i="39"/>
  <c r="H435" i="39"/>
  <c r="H433" i="39"/>
  <c r="H432" i="39"/>
  <c r="H431" i="39"/>
  <c r="H430" i="39"/>
  <c r="H429" i="39"/>
  <c r="H428" i="39"/>
  <c r="H427" i="39"/>
  <c r="H424" i="39"/>
  <c r="H423" i="39"/>
  <c r="H422" i="39"/>
  <c r="H421" i="39"/>
  <c r="H420" i="39"/>
  <c r="H419" i="39"/>
  <c r="H418" i="39"/>
  <c r="H417" i="39"/>
  <c r="H416" i="39"/>
  <c r="H415" i="39"/>
  <c r="G414" i="39"/>
  <c r="E414" i="39"/>
  <c r="E413" i="39" s="1"/>
  <c r="C414" i="39"/>
  <c r="C413" i="39" s="1"/>
  <c r="H412" i="39"/>
  <c r="H411" i="39"/>
  <c r="H410" i="39"/>
  <c r="H409" i="39"/>
  <c r="G408" i="39"/>
  <c r="E408" i="39"/>
  <c r="C408" i="39"/>
  <c r="H407" i="39"/>
  <c r="H406" i="39"/>
  <c r="H405" i="39"/>
  <c r="H404" i="39"/>
  <c r="H403" i="39"/>
  <c r="H402" i="39"/>
  <c r="G401" i="39"/>
  <c r="E401" i="39"/>
  <c r="C401" i="39"/>
  <c r="H400" i="39"/>
  <c r="H399" i="39"/>
  <c r="H398" i="39"/>
  <c r="H397" i="39"/>
  <c r="H396" i="39"/>
  <c r="H395" i="39"/>
  <c r="H394" i="39"/>
  <c r="H393" i="39"/>
  <c r="H392" i="39"/>
  <c r="H391" i="39"/>
  <c r="H390" i="39"/>
  <c r="H389" i="39"/>
  <c r="H388" i="39"/>
  <c r="H387" i="39"/>
  <c r="H386" i="39"/>
  <c r="H385" i="39"/>
  <c r="H384" i="39"/>
  <c r="H383" i="39"/>
  <c r="H382" i="39"/>
  <c r="H381" i="39"/>
  <c r="H380" i="39"/>
  <c r="G379" i="39"/>
  <c r="E379" i="39"/>
  <c r="C379" i="39"/>
  <c r="H378" i="39"/>
  <c r="H377" i="39"/>
  <c r="H376" i="39"/>
  <c r="H375" i="39"/>
  <c r="H374" i="39"/>
  <c r="H373" i="39"/>
  <c r="H372" i="39"/>
  <c r="H371" i="39"/>
  <c r="H370" i="39"/>
  <c r="H369" i="39"/>
  <c r="H368" i="39"/>
  <c r="H367" i="39"/>
  <c r="H366" i="39"/>
  <c r="H365" i="39"/>
  <c r="H364" i="39"/>
  <c r="H363" i="39"/>
  <c r="H362" i="39"/>
  <c r="H361" i="39"/>
  <c r="H360" i="39"/>
  <c r="H359" i="39"/>
  <c r="H358" i="39"/>
  <c r="H357" i="39"/>
  <c r="H356" i="39"/>
  <c r="H355" i="39"/>
  <c r="H354" i="39"/>
  <c r="H353" i="39"/>
  <c r="H352" i="39"/>
  <c r="H351" i="39"/>
  <c r="H350" i="39"/>
  <c r="H349" i="39"/>
  <c r="H348" i="39"/>
  <c r="H347" i="39"/>
  <c r="H346" i="39"/>
  <c r="H345" i="39"/>
  <c r="H344" i="39"/>
  <c r="H343" i="39"/>
  <c r="H342" i="39"/>
  <c r="H341" i="39"/>
  <c r="H340" i="39"/>
  <c r="H339" i="39"/>
  <c r="H338" i="39"/>
  <c r="H337" i="39"/>
  <c r="H336" i="39"/>
  <c r="H335" i="39"/>
  <c r="H334" i="39"/>
  <c r="H333" i="39"/>
  <c r="H332" i="39"/>
  <c r="H331" i="39"/>
  <c r="H330" i="39"/>
  <c r="H329" i="39"/>
  <c r="H328" i="39"/>
  <c r="H327" i="39"/>
  <c r="H326" i="39"/>
  <c r="H325" i="39"/>
  <c r="H324" i="39"/>
  <c r="H323" i="39"/>
  <c r="H322" i="39"/>
  <c r="H321" i="39"/>
  <c r="H320" i="39"/>
  <c r="H319" i="39"/>
  <c r="H318" i="39"/>
  <c r="H317" i="39"/>
  <c r="H316" i="39"/>
  <c r="H315" i="39"/>
  <c r="H314" i="39"/>
  <c r="H313" i="39"/>
  <c r="H312" i="39"/>
  <c r="H311" i="39"/>
  <c r="H310" i="39"/>
  <c r="H309" i="39"/>
  <c r="H308" i="39"/>
  <c r="H307" i="39"/>
  <c r="H306" i="39"/>
  <c r="H305" i="39"/>
  <c r="H304" i="39"/>
  <c r="H303" i="39"/>
  <c r="H302" i="39"/>
  <c r="H301" i="39"/>
  <c r="H300" i="39"/>
  <c r="H299" i="39"/>
  <c r="H298" i="39"/>
  <c r="H297" i="39"/>
  <c r="H296" i="39"/>
  <c r="H295" i="39"/>
  <c r="H294" i="39"/>
  <c r="H293" i="39"/>
  <c r="H292" i="39"/>
  <c r="H291" i="39"/>
  <c r="H290" i="39"/>
  <c r="H289" i="39"/>
  <c r="G288" i="39"/>
  <c r="E288" i="39"/>
  <c r="C288" i="39"/>
  <c r="H287" i="39"/>
  <c r="H286" i="39"/>
  <c r="H285" i="39"/>
  <c r="H284" i="39"/>
  <c r="G283" i="39"/>
  <c r="E283" i="39"/>
  <c r="C283" i="39"/>
  <c r="H282" i="39"/>
  <c r="H281" i="39"/>
  <c r="H280" i="39"/>
  <c r="H279" i="39"/>
  <c r="H278" i="39"/>
  <c r="H277" i="39"/>
  <c r="H276" i="39"/>
  <c r="H275" i="39"/>
  <c r="H274" i="39"/>
  <c r="H273" i="39"/>
  <c r="G272" i="39"/>
  <c r="E272" i="39"/>
  <c r="C272" i="39"/>
  <c r="H270" i="39"/>
  <c r="G269" i="39"/>
  <c r="E269" i="39"/>
  <c r="C269" i="39"/>
  <c r="H268" i="39"/>
  <c r="H267" i="39"/>
  <c r="H266" i="39"/>
  <c r="G265" i="39"/>
  <c r="E265" i="39"/>
  <c r="C265" i="39"/>
  <c r="H264" i="39"/>
  <c r="H263" i="39"/>
  <c r="H262" i="39"/>
  <c r="H261" i="39"/>
  <c r="H260" i="39"/>
  <c r="H259" i="39"/>
  <c r="H258" i="39"/>
  <c r="H257" i="39"/>
  <c r="H256" i="39"/>
  <c r="H255" i="39"/>
  <c r="H254" i="39"/>
  <c r="G253" i="39"/>
  <c r="E253" i="39"/>
  <c r="C253" i="39"/>
  <c r="H252" i="39"/>
  <c r="H251" i="39"/>
  <c r="H250" i="39"/>
  <c r="G249" i="39"/>
  <c r="E249" i="39"/>
  <c r="C249" i="39"/>
  <c r="H247" i="39"/>
  <c r="H246" i="39"/>
  <c r="H245" i="39"/>
  <c r="H244" i="39"/>
  <c r="H243" i="39"/>
  <c r="H242" i="39"/>
  <c r="H241" i="39"/>
  <c r="H240" i="39"/>
  <c r="H239" i="39"/>
  <c r="H238" i="39"/>
  <c r="G237" i="39"/>
  <c r="G236" i="39" s="1"/>
  <c r="E237" i="39"/>
  <c r="C237" i="39"/>
  <c r="C236" i="39" s="1"/>
  <c r="H235" i="39"/>
  <c r="H234" i="39"/>
  <c r="H233" i="39"/>
  <c r="H232" i="39"/>
  <c r="H231" i="39"/>
  <c r="H230" i="39"/>
  <c r="H229" i="39"/>
  <c r="H228" i="39"/>
  <c r="H227" i="39"/>
  <c r="H226" i="39"/>
  <c r="H225" i="39"/>
  <c r="G224" i="39"/>
  <c r="E224" i="39"/>
  <c r="C224" i="39"/>
  <c r="H223" i="39"/>
  <c r="H222" i="39"/>
  <c r="H221" i="39"/>
  <c r="H220" i="39"/>
  <c r="H219" i="39"/>
  <c r="H218" i="39"/>
  <c r="H217" i="39"/>
  <c r="H216" i="39"/>
  <c r="H215" i="39"/>
  <c r="H214" i="39"/>
  <c r="H213" i="39"/>
  <c r="G212" i="39"/>
  <c r="E212" i="39"/>
  <c r="C212" i="39"/>
  <c r="H210" i="39"/>
  <c r="H209" i="39"/>
  <c r="H208" i="39"/>
  <c r="H207" i="39"/>
  <c r="H206" i="39"/>
  <c r="H205" i="39"/>
  <c r="H204" i="39"/>
  <c r="H203" i="39"/>
  <c r="H202" i="39"/>
  <c r="H201" i="39"/>
  <c r="H200" i="39"/>
  <c r="G199" i="39"/>
  <c r="E199" i="39"/>
  <c r="C199" i="39"/>
  <c r="H198" i="39"/>
  <c r="H197" i="39"/>
  <c r="H196" i="39"/>
  <c r="H195" i="39"/>
  <c r="H194" i="39"/>
  <c r="H193" i="39"/>
  <c r="H192" i="39"/>
  <c r="H191" i="39"/>
  <c r="H190" i="39"/>
  <c r="H189" i="39"/>
  <c r="H188" i="39"/>
  <c r="G187" i="39"/>
  <c r="E187" i="39"/>
  <c r="C187" i="39"/>
  <c r="H186" i="39"/>
  <c r="H185" i="39"/>
  <c r="H184" i="39"/>
  <c r="H183" i="39"/>
  <c r="H182" i="39"/>
  <c r="H181" i="39"/>
  <c r="H180" i="39"/>
  <c r="H179" i="39"/>
  <c r="H178" i="39"/>
  <c r="H177" i="39"/>
  <c r="H176" i="39"/>
  <c r="G175" i="39"/>
  <c r="E175" i="39"/>
  <c r="C175" i="39"/>
  <c r="H174" i="39"/>
  <c r="H173" i="39"/>
  <c r="H172" i="39"/>
  <c r="H171" i="39"/>
  <c r="H170" i="39"/>
  <c r="H169" i="39"/>
  <c r="G168" i="39"/>
  <c r="E168" i="39"/>
  <c r="C168" i="39"/>
  <c r="H166" i="39"/>
  <c r="G165" i="39"/>
  <c r="E165" i="39"/>
  <c r="C165" i="39"/>
  <c r="H164" i="39"/>
  <c r="G163" i="39"/>
  <c r="E163" i="39"/>
  <c r="C163" i="39"/>
  <c r="H160" i="39"/>
  <c r="H159" i="39"/>
  <c r="G158" i="39"/>
  <c r="G157" i="39" s="1"/>
  <c r="E158" i="39"/>
  <c r="E157" i="39" s="1"/>
  <c r="C158" i="39"/>
  <c r="C157" i="39" s="1"/>
  <c r="H156" i="39"/>
  <c r="H155" i="39"/>
  <c r="H154" i="39"/>
  <c r="H153" i="39"/>
  <c r="H152" i="39"/>
  <c r="H151" i="39"/>
  <c r="G150" i="39"/>
  <c r="G149" i="39" s="1"/>
  <c r="E150" i="39"/>
  <c r="E149" i="39" s="1"/>
  <c r="C150" i="39"/>
  <c r="C149" i="39" s="1"/>
  <c r="H148" i="39"/>
  <c r="H147" i="39"/>
  <c r="H146" i="39"/>
  <c r="H145" i="39"/>
  <c r="H144" i="39"/>
  <c r="H143" i="39"/>
  <c r="H142" i="39"/>
  <c r="G141" i="39"/>
  <c r="E141" i="39"/>
  <c r="C141" i="39"/>
  <c r="H140" i="39"/>
  <c r="G139" i="39"/>
  <c r="E139" i="39"/>
  <c r="C139" i="39"/>
  <c r="H137" i="39"/>
  <c r="H136" i="39"/>
  <c r="H135" i="39"/>
  <c r="H134" i="39"/>
  <c r="H133" i="39"/>
  <c r="H132" i="39"/>
  <c r="G131" i="39"/>
  <c r="E131" i="39"/>
  <c r="C131" i="39"/>
  <c r="H130" i="39"/>
  <c r="G129" i="39"/>
  <c r="E129" i="39"/>
  <c r="C129" i="39"/>
  <c r="H128" i="39"/>
  <c r="H127" i="39"/>
  <c r="G126" i="39"/>
  <c r="E126" i="39"/>
  <c r="C126" i="39"/>
  <c r="H125" i="39"/>
  <c r="H124" i="39"/>
  <c r="H123" i="39"/>
  <c r="H122" i="39"/>
  <c r="H121" i="39"/>
  <c r="H120" i="39"/>
  <c r="H119" i="39"/>
  <c r="H118" i="39"/>
  <c r="H117" i="39"/>
  <c r="G116" i="39"/>
  <c r="E116" i="39"/>
  <c r="C116" i="39"/>
  <c r="H114" i="39"/>
  <c r="G113" i="39"/>
  <c r="G112" i="39" s="1"/>
  <c r="E113" i="39"/>
  <c r="E112" i="39" s="1"/>
  <c r="C113" i="39"/>
  <c r="H111" i="39"/>
  <c r="H110" i="39"/>
  <c r="H109" i="39"/>
  <c r="H108" i="39"/>
  <c r="H107" i="39"/>
  <c r="G106" i="39"/>
  <c r="G105" i="39" s="1"/>
  <c r="E106" i="39"/>
  <c r="C106" i="39"/>
  <c r="C105" i="39" s="1"/>
  <c r="H104" i="39"/>
  <c r="G103" i="39"/>
  <c r="E103" i="39"/>
  <c r="C103" i="39"/>
  <c r="H102" i="39"/>
  <c r="H101" i="39"/>
  <c r="H100" i="39"/>
  <c r="G99" i="39"/>
  <c r="E99" i="39"/>
  <c r="C99" i="39"/>
  <c r="H98" i="39"/>
  <c r="H97" i="39"/>
  <c r="H96" i="39"/>
  <c r="H95" i="39"/>
  <c r="H94" i="39"/>
  <c r="G93" i="39"/>
  <c r="E93" i="39"/>
  <c r="C93" i="39"/>
  <c r="J92" i="39"/>
  <c r="H91" i="39"/>
  <c r="H90" i="39"/>
  <c r="H89" i="39"/>
  <c r="G88" i="39"/>
  <c r="E88" i="39"/>
  <c r="E87" i="39" s="1"/>
  <c r="C88" i="39"/>
  <c r="C87" i="39" s="1"/>
  <c r="H86" i="39"/>
  <c r="G85" i="39"/>
  <c r="E85" i="39"/>
  <c r="C85" i="39"/>
  <c r="H84" i="39"/>
  <c r="H83" i="39"/>
  <c r="H82" i="39"/>
  <c r="H81" i="39"/>
  <c r="H80" i="39"/>
  <c r="H79" i="39"/>
  <c r="J79" i="39" s="1"/>
  <c r="G78" i="39"/>
  <c r="E78" i="39"/>
  <c r="C78" i="39"/>
  <c r="H76" i="39"/>
  <c r="H75" i="39"/>
  <c r="G74" i="39"/>
  <c r="G73" i="39" s="1"/>
  <c r="E74" i="39"/>
  <c r="E73" i="39" s="1"/>
  <c r="C74" i="39"/>
  <c r="H72" i="39"/>
  <c r="C71" i="39"/>
  <c r="H71" i="39" s="1"/>
  <c r="G70" i="39"/>
  <c r="E70" i="39"/>
  <c r="H69" i="39"/>
  <c r="H68" i="39"/>
  <c r="H67" i="39"/>
  <c r="G66" i="39"/>
  <c r="G65" i="39" s="1"/>
  <c r="E66" i="39"/>
  <c r="E65" i="39" s="1"/>
  <c r="C66" i="39"/>
  <c r="C65" i="39" s="1"/>
  <c r="H64" i="39"/>
  <c r="H63" i="39"/>
  <c r="H62" i="39"/>
  <c r="H61" i="39"/>
  <c r="G60" i="39"/>
  <c r="E60" i="39"/>
  <c r="C60" i="39"/>
  <c r="H59" i="39"/>
  <c r="H58" i="39"/>
  <c r="G57" i="39"/>
  <c r="E57" i="39"/>
  <c r="C57" i="39"/>
  <c r="H56" i="39"/>
  <c r="H55" i="39"/>
  <c r="G54" i="39"/>
  <c r="E54" i="39"/>
  <c r="C54" i="39"/>
  <c r="H53" i="39"/>
  <c r="H52" i="39"/>
  <c r="H51" i="39"/>
  <c r="H50" i="39"/>
  <c r="H49" i="39"/>
  <c r="H48" i="39"/>
  <c r="H47" i="39"/>
  <c r="H46" i="39"/>
  <c r="H45" i="39"/>
  <c r="H44" i="39"/>
  <c r="H43" i="39"/>
  <c r="H42" i="39"/>
  <c r="H41" i="39"/>
  <c r="H40" i="39"/>
  <c r="H39" i="39"/>
  <c r="H38" i="39"/>
  <c r="H37" i="39"/>
  <c r="H36" i="39"/>
  <c r="G35" i="39"/>
  <c r="E35" i="39"/>
  <c r="C35" i="39"/>
  <c r="H34" i="39"/>
  <c r="H33" i="39"/>
  <c r="H32" i="39"/>
  <c r="H31" i="39"/>
  <c r="H30" i="39"/>
  <c r="H29" i="39"/>
  <c r="H28" i="39"/>
  <c r="H27" i="39"/>
  <c r="H26" i="39"/>
  <c r="H25" i="39"/>
  <c r="H24" i="39"/>
  <c r="G23" i="39"/>
  <c r="E23" i="39"/>
  <c r="C23" i="39"/>
  <c r="H22" i="39"/>
  <c r="H21" i="39"/>
  <c r="H20" i="39"/>
  <c r="H19" i="39"/>
  <c r="H18" i="39"/>
  <c r="H17" i="39"/>
  <c r="H16" i="39"/>
  <c r="H15" i="39"/>
  <c r="H14" i="39"/>
  <c r="H13" i="39"/>
  <c r="H12" i="39"/>
  <c r="H11" i="39"/>
  <c r="H10" i="39"/>
  <c r="G9" i="39"/>
  <c r="E9" i="39"/>
  <c r="C9" i="39"/>
  <c r="H434" i="39" l="1"/>
  <c r="G162" i="39"/>
  <c r="C724" i="39"/>
  <c r="E162" i="39"/>
  <c r="G724" i="39"/>
  <c r="G138" i="39"/>
  <c r="C92" i="39"/>
  <c r="C718" i="39"/>
  <c r="H718" i="39" s="1"/>
  <c r="E724" i="39"/>
  <c r="G77" i="39"/>
  <c r="H85" i="39"/>
  <c r="H249" i="39"/>
  <c r="E517" i="39"/>
  <c r="G211" i="39"/>
  <c r="G595" i="39"/>
  <c r="H675" i="39"/>
  <c r="G517" i="39"/>
  <c r="H113" i="39"/>
  <c r="H212" i="39"/>
  <c r="H283" i="39"/>
  <c r="H536" i="39"/>
  <c r="C567" i="39"/>
  <c r="H722" i="39"/>
  <c r="G426" i="39"/>
  <c r="G425" i="39" s="1"/>
  <c r="H103" i="39"/>
  <c r="H605" i="39"/>
  <c r="H158" i="39"/>
  <c r="H165" i="39"/>
  <c r="H288" i="39"/>
  <c r="H414" i="39"/>
  <c r="H488" i="39"/>
  <c r="G538" i="39"/>
  <c r="H157" i="39"/>
  <c r="E77" i="39"/>
  <c r="E115" i="39"/>
  <c r="H57" i="39"/>
  <c r="H74" i="39"/>
  <c r="H116" i="39"/>
  <c r="H224" i="39"/>
  <c r="E567" i="39"/>
  <c r="H54" i="39"/>
  <c r="H126" i="39"/>
  <c r="H131" i="39"/>
  <c r="H453" i="39"/>
  <c r="H556" i="39"/>
  <c r="H719" i="39"/>
  <c r="E8" i="39"/>
  <c r="E211" i="39"/>
  <c r="C248" i="39"/>
  <c r="H379" i="39"/>
  <c r="E457" i="39"/>
  <c r="H568" i="39"/>
  <c r="H588" i="39"/>
  <c r="H682" i="39"/>
  <c r="H713" i="39"/>
  <c r="H727" i="39"/>
  <c r="C73" i="39"/>
  <c r="H73" i="39" s="1"/>
  <c r="H106" i="39"/>
  <c r="H187" i="39"/>
  <c r="C517" i="39"/>
  <c r="H600" i="39"/>
  <c r="H612" i="39"/>
  <c r="H66" i="39"/>
  <c r="H139" i="39"/>
  <c r="H543" i="39"/>
  <c r="H657" i="39"/>
  <c r="H668" i="39"/>
  <c r="E497" i="39"/>
  <c r="E555" i="39"/>
  <c r="H555" i="39" s="1"/>
  <c r="K10" i="39"/>
  <c r="H60" i="39"/>
  <c r="H99" i="39"/>
  <c r="C112" i="39"/>
  <c r="H112" i="39" s="1"/>
  <c r="E138" i="39"/>
  <c r="H150" i="39"/>
  <c r="C167" i="39"/>
  <c r="H237" i="39"/>
  <c r="H272" i="39"/>
  <c r="G413" i="39"/>
  <c r="H413" i="39" s="1"/>
  <c r="G452" i="39"/>
  <c r="H452" i="39" s="1"/>
  <c r="H492" i="39"/>
  <c r="H502" i="39"/>
  <c r="E535" i="39"/>
  <c r="H535" i="39" s="1"/>
  <c r="H539" i="39"/>
  <c r="G567" i="39"/>
  <c r="H617" i="39"/>
  <c r="H677" i="39"/>
  <c r="G652" i="39"/>
  <c r="H9" i="39"/>
  <c r="G92" i="39"/>
  <c r="H149" i="39"/>
  <c r="H163" i="39"/>
  <c r="H168" i="39"/>
  <c r="H269" i="39"/>
  <c r="H408" i="39"/>
  <c r="H491" i="39"/>
  <c r="H559" i="39"/>
  <c r="C558" i="39"/>
  <c r="H625" i="39"/>
  <c r="H653" i="39"/>
  <c r="C497" i="39"/>
  <c r="C754" i="39" s="1"/>
  <c r="C70" i="39"/>
  <c r="H70" i="39" s="1"/>
  <c r="E105" i="39"/>
  <c r="H105" i="39" s="1"/>
  <c r="H129" i="39"/>
  <c r="H141" i="39"/>
  <c r="C162" i="39"/>
  <c r="H162" i="39" s="1"/>
  <c r="G167" i="39"/>
  <c r="H199" i="39"/>
  <c r="H265" i="39"/>
  <c r="H401" i="39"/>
  <c r="H499" i="39"/>
  <c r="H506" i="39"/>
  <c r="H523" i="39"/>
  <c r="C538" i="39"/>
  <c r="H552" i="39"/>
  <c r="H590" i="39"/>
  <c r="H596" i="39"/>
  <c r="H622" i="39"/>
  <c r="H646" i="39"/>
  <c r="H661" i="39"/>
  <c r="H724" i="39"/>
  <c r="H686" i="39"/>
  <c r="C595" i="39"/>
  <c r="H518" i="39"/>
  <c r="C77" i="39"/>
  <c r="H78" i="39"/>
  <c r="H35" i="39"/>
  <c r="H444" i="39"/>
  <c r="H65" i="39"/>
  <c r="H494" i="39"/>
  <c r="H495" i="39"/>
  <c r="G8" i="39"/>
  <c r="H88" i="39"/>
  <c r="C487" i="39"/>
  <c r="H487" i="39" s="1"/>
  <c r="C652" i="39"/>
  <c r="H533" i="39"/>
  <c r="H532" i="39"/>
  <c r="H526" i="39"/>
  <c r="H525" i="39"/>
  <c r="C457" i="39"/>
  <c r="G558" i="39"/>
  <c r="H561" i="39"/>
  <c r="H472" i="39"/>
  <c r="G457" i="39"/>
  <c r="G498" i="39"/>
  <c r="H498" i="39" s="1"/>
  <c r="G87" i="39"/>
  <c r="H87" i="39" s="1"/>
  <c r="H644" i="39"/>
  <c r="C8" i="39"/>
  <c r="C425" i="39"/>
  <c r="H23" i="39"/>
  <c r="H93" i="39"/>
  <c r="C115" i="39"/>
  <c r="C211" i="39"/>
  <c r="G271" i="39"/>
  <c r="G115" i="39"/>
  <c r="C138" i="39"/>
  <c r="E167" i="39"/>
  <c r="H175" i="39"/>
  <c r="G248" i="39"/>
  <c r="H253" i="39"/>
  <c r="C271" i="39"/>
  <c r="H445" i="39"/>
  <c r="H470" i="39"/>
  <c r="H505" i="39"/>
  <c r="E558" i="39"/>
  <c r="H563" i="39"/>
  <c r="E595" i="39"/>
  <c r="H619" i="39"/>
  <c r="H725" i="39"/>
  <c r="E236" i="39"/>
  <c r="H236" i="39" s="1"/>
  <c r="E271" i="39"/>
  <c r="G501" i="39"/>
  <c r="E538" i="39"/>
  <c r="E652" i="39"/>
  <c r="E92" i="39"/>
  <c r="E248" i="39"/>
  <c r="H211" i="39" l="1"/>
  <c r="H425" i="39"/>
  <c r="H426" i="39"/>
  <c r="G516" i="39"/>
  <c r="H248" i="39"/>
  <c r="C566" i="39"/>
  <c r="H517" i="39"/>
  <c r="H567" i="39"/>
  <c r="H77" i="39"/>
  <c r="H538" i="39"/>
  <c r="H138" i="39"/>
  <c r="K138" i="39" s="1"/>
  <c r="H92" i="39"/>
  <c r="G566" i="39"/>
  <c r="E516" i="39"/>
  <c r="H457" i="39"/>
  <c r="C516" i="39"/>
  <c r="J518" i="39"/>
  <c r="G7" i="39"/>
  <c r="H652" i="39"/>
  <c r="H558" i="39"/>
  <c r="G161" i="39"/>
  <c r="H501" i="39"/>
  <c r="G497" i="39"/>
  <c r="H497" i="39" s="1"/>
  <c r="H754" i="39" s="1"/>
  <c r="E566" i="39"/>
  <c r="H271" i="39"/>
  <c r="E161" i="39"/>
  <c r="C161" i="39"/>
  <c r="H167" i="39"/>
  <c r="E7" i="39"/>
  <c r="H115" i="39"/>
  <c r="H8" i="39"/>
  <c r="J16" i="39" s="1"/>
  <c r="C7" i="39"/>
  <c r="H595" i="39"/>
  <c r="C755" i="39" l="1"/>
  <c r="H516" i="39"/>
  <c r="H566" i="39"/>
  <c r="J7" i="39"/>
  <c r="J562" i="39"/>
  <c r="J558" i="39"/>
  <c r="C751" i="39"/>
  <c r="H7" i="39"/>
  <c r="J6" i="39" s="1"/>
  <c r="H161" i="39"/>
  <c r="J163" i="39" s="1"/>
  <c r="C753" i="39"/>
  <c r="C756" i="39" l="1"/>
  <c r="H755" i="39"/>
  <c r="J516" i="39"/>
  <c r="J498" i="39" s="1"/>
  <c r="H751" i="39"/>
  <c r="H753" i="39"/>
  <c r="H756" i="39" s="1"/>
  <c r="C757" i="39"/>
  <c r="H757" i="39" l="1"/>
  <c r="K191" i="24" l="1"/>
  <c r="K65" i="24" l="1"/>
  <c r="J183" i="24"/>
  <c r="K159" i="24" l="1"/>
  <c r="J163" i="24"/>
  <c r="A99" i="23" l="1"/>
  <c r="H84" i="23" l="1"/>
  <c r="F47" i="23" l="1"/>
  <c r="H47" i="23" l="1"/>
  <c r="H111" i="23" l="1"/>
  <c r="P111" i="23" s="1"/>
  <c r="J20" i="23"/>
  <c r="H20" i="23" l="1"/>
  <c r="L127" i="24" l="1"/>
  <c r="L128" i="24"/>
  <c r="L129" i="24"/>
  <c r="L130" i="24"/>
  <c r="L391" i="24"/>
  <c r="L370" i="24"/>
  <c r="L371" i="24"/>
  <c r="L372" i="24"/>
  <c r="L373" i="24"/>
  <c r="L374" i="24"/>
  <c r="L375" i="24"/>
  <c r="L376" i="24"/>
  <c r="L377" i="24"/>
  <c r="L378" i="24"/>
  <c r="L379" i="24"/>
  <c r="L380" i="24"/>
  <c r="L381" i="24"/>
  <c r="L382" i="24"/>
  <c r="L383" i="24"/>
  <c r="L384" i="24"/>
  <c r="L385" i="24"/>
  <c r="L386" i="24"/>
  <c r="L387" i="24"/>
  <c r="L388" i="24"/>
  <c r="L389" i="24"/>
  <c r="L390" i="24"/>
  <c r="L356" i="24"/>
  <c r="L357" i="24"/>
  <c r="L358" i="24"/>
  <c r="L359" i="24"/>
  <c r="L360" i="24"/>
  <c r="L361" i="24"/>
  <c r="L362" i="24"/>
  <c r="L363" i="24"/>
  <c r="L364" i="24"/>
  <c r="L365" i="24"/>
  <c r="L366" i="24"/>
  <c r="L367" i="24"/>
  <c r="L368" i="24"/>
  <c r="L369" i="24"/>
  <c r="L340" i="24"/>
  <c r="L341" i="24"/>
  <c r="L342" i="24"/>
  <c r="L343" i="24"/>
  <c r="L344" i="24"/>
  <c r="L345" i="24"/>
  <c r="L346" i="24"/>
  <c r="L347" i="24"/>
  <c r="L348" i="24"/>
  <c r="L349" i="24"/>
  <c r="L350" i="24"/>
  <c r="L351" i="24"/>
  <c r="L352" i="24"/>
  <c r="L353" i="24"/>
  <c r="L354" i="24"/>
  <c r="L355"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L335" i="24"/>
  <c r="L336" i="24"/>
  <c r="L337" i="24"/>
  <c r="L338" i="24"/>
  <c r="L339" i="24"/>
  <c r="L308" i="24"/>
  <c r="L309" i="24"/>
  <c r="L310" i="24"/>
  <c r="L296" i="24"/>
  <c r="L297" i="24"/>
  <c r="L298" i="24"/>
  <c r="L299" i="24"/>
  <c r="L300" i="24"/>
  <c r="L301" i="24"/>
  <c r="L302" i="24"/>
  <c r="L303" i="24"/>
  <c r="L304" i="24"/>
  <c r="L305" i="24"/>
  <c r="L306" i="24"/>
  <c r="L307" i="24"/>
  <c r="L118" i="24"/>
  <c r="L119" i="24"/>
  <c r="L120" i="24"/>
  <c r="L121" i="24"/>
  <c r="L122" i="24"/>
  <c r="L123" i="24"/>
  <c r="L124" i="24"/>
  <c r="L125" i="24"/>
  <c r="L131" i="24"/>
  <c r="L133" i="24"/>
  <c r="L134" i="24"/>
  <c r="L135" i="24"/>
  <c r="L136" i="24"/>
  <c r="L137" i="24"/>
  <c r="L138" i="24"/>
  <c r="L139" i="24"/>
  <c r="L140" i="24"/>
  <c r="L141" i="24"/>
  <c r="L142" i="24"/>
  <c r="L143" i="24"/>
  <c r="AM143" i="24" s="1"/>
  <c r="L144" i="24"/>
  <c r="AM144" i="24" s="1"/>
  <c r="L145" i="24"/>
  <c r="AM145" i="24" s="1"/>
  <c r="L146" i="24"/>
  <c r="AM146" i="24" s="1"/>
  <c r="L147" i="24"/>
  <c r="AM147" i="24" s="1"/>
  <c r="L148" i="24"/>
  <c r="AM148" i="24" s="1"/>
  <c r="L149" i="24"/>
  <c r="AM149" i="24" s="1"/>
  <c r="L150" i="24"/>
  <c r="AM150" i="24" s="1"/>
  <c r="L151" i="24"/>
  <c r="AM151" i="24" s="1"/>
  <c r="L152" i="24"/>
  <c r="AM152" i="24" s="1"/>
  <c r="L153" i="24"/>
  <c r="L154" i="24"/>
  <c r="AM154" i="24" s="1"/>
  <c r="L155" i="24"/>
  <c r="AM155" i="24" s="1"/>
  <c r="L156" i="24"/>
  <c r="AM156" i="24" s="1"/>
  <c r="L157" i="24"/>
  <c r="AM157" i="24" s="1"/>
  <c r="L158" i="24"/>
  <c r="L159" i="24"/>
  <c r="AM159" i="24" s="1"/>
  <c r="L160" i="24"/>
  <c r="AM160" i="24" s="1"/>
  <c r="L161" i="24"/>
  <c r="L162" i="24"/>
  <c r="AM162" i="24" s="1"/>
  <c r="L163" i="24"/>
  <c r="L165" i="24"/>
  <c r="AM165" i="24" s="1"/>
  <c r="L166" i="24"/>
  <c r="AM166" i="24" s="1"/>
  <c r="L167" i="24"/>
  <c r="AM167" i="24" s="1"/>
  <c r="L168" i="24"/>
  <c r="L169" i="24"/>
  <c r="L170" i="24"/>
  <c r="L171" i="24"/>
  <c r="L172" i="24"/>
  <c r="L173" i="24"/>
  <c r="L174" i="24"/>
  <c r="L175" i="24"/>
  <c r="L176" i="24"/>
  <c r="AM176" i="24" s="1"/>
  <c r="L177" i="24"/>
  <c r="AM177" i="24" s="1"/>
  <c r="L178" i="24"/>
  <c r="L179" i="24"/>
  <c r="L180" i="24"/>
  <c r="L182" i="24"/>
  <c r="L183" i="24"/>
  <c r="L184" i="24"/>
  <c r="L185" i="24"/>
  <c r="L186" i="24"/>
  <c r="L187" i="24"/>
  <c r="L188" i="24"/>
  <c r="L189" i="24"/>
  <c r="L190" i="24"/>
  <c r="L191" i="24"/>
  <c r="L192" i="24"/>
  <c r="L193" i="24"/>
  <c r="L194" i="24"/>
  <c r="L195" i="24"/>
  <c r="L196" i="24"/>
  <c r="L197" i="24"/>
  <c r="L198" i="24"/>
  <c r="L199"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111" i="24"/>
  <c r="L112" i="24"/>
  <c r="L113" i="24"/>
  <c r="L114" i="24"/>
  <c r="L115" i="24"/>
  <c r="L116" i="24"/>
  <c r="L117" i="24"/>
  <c r="L392" i="24"/>
  <c r="L393" i="24"/>
  <c r="L394" i="24"/>
  <c r="L57" i="24"/>
  <c r="L58" i="24"/>
  <c r="L59" i="24"/>
  <c r="L60" i="24"/>
  <c r="L61" i="24"/>
  <c r="L62" i="24"/>
  <c r="L63" i="24"/>
  <c r="L64" i="24"/>
  <c r="L65" i="24"/>
  <c r="L66" i="24"/>
  <c r="L67" i="24"/>
  <c r="L68" i="24"/>
  <c r="L69" i="24"/>
  <c r="L70" i="24"/>
  <c r="L71" i="24"/>
  <c r="L72" i="24"/>
  <c r="L73" i="24"/>
  <c r="L74" i="24"/>
  <c r="L75" i="24"/>
  <c r="L76" i="24"/>
  <c r="L77" i="24"/>
  <c r="L79" i="24"/>
  <c r="L80" i="24"/>
  <c r="L82" i="24"/>
  <c r="L83" i="24"/>
  <c r="L84" i="24"/>
  <c r="L85" i="24"/>
  <c r="L86" i="24"/>
  <c r="AI86" i="24" s="1"/>
  <c r="L87" i="24"/>
  <c r="L88" i="24"/>
  <c r="L89" i="24"/>
  <c r="L90" i="24"/>
  <c r="L91" i="24"/>
  <c r="L92" i="24"/>
  <c r="L93" i="24"/>
  <c r="L94" i="24"/>
  <c r="L95" i="24"/>
  <c r="L96" i="24"/>
  <c r="L97" i="24"/>
  <c r="L98" i="24"/>
  <c r="L99" i="24"/>
  <c r="L100" i="24"/>
  <c r="L101" i="24"/>
  <c r="L102" i="24"/>
  <c r="L103" i="24"/>
  <c r="L104" i="24"/>
  <c r="L105" i="24"/>
  <c r="L106" i="24"/>
  <c r="L107" i="24"/>
  <c r="L109" i="24"/>
  <c r="L110" i="24"/>
  <c r="AL115" i="24" l="1"/>
  <c r="AI199" i="24"/>
  <c r="AL199" i="24"/>
  <c r="AM178" i="24"/>
  <c r="L164" i="24"/>
  <c r="I396" i="24"/>
  <c r="AI102" i="24"/>
  <c r="AI84" i="24"/>
  <c r="A4" i="13"/>
  <c r="A1" i="13"/>
  <c r="P112" i="23"/>
  <c r="P113" i="23"/>
  <c r="P114" i="23"/>
  <c r="P115" i="23"/>
  <c r="P110" i="23"/>
  <c r="F118" i="23"/>
  <c r="G118" i="23"/>
  <c r="H118" i="23"/>
  <c r="I118" i="23"/>
  <c r="J118" i="23"/>
  <c r="K118" i="23"/>
  <c r="L118" i="23"/>
  <c r="M118" i="23"/>
  <c r="N118" i="23"/>
  <c r="O118" i="23"/>
  <c r="E118" i="23"/>
  <c r="P91" i="23"/>
  <c r="P92" i="23"/>
  <c r="P90" i="23"/>
  <c r="O94" i="23"/>
  <c r="P85" i="23"/>
  <c r="P79" i="23"/>
  <c r="P80" i="23"/>
  <c r="P81" i="23"/>
  <c r="P82" i="23"/>
  <c r="P83" i="23"/>
  <c r="P84" i="23"/>
  <c r="P78" i="23"/>
  <c r="F87" i="23"/>
  <c r="F94" i="23" s="1"/>
  <c r="G87" i="23"/>
  <c r="G94" i="23" s="1"/>
  <c r="H87" i="23"/>
  <c r="H94" i="23" s="1"/>
  <c r="I87" i="23"/>
  <c r="I94" i="23" s="1"/>
  <c r="J87" i="23"/>
  <c r="J94" i="23" s="1"/>
  <c r="K87" i="23"/>
  <c r="K94" i="23" s="1"/>
  <c r="L87" i="23"/>
  <c r="L94" i="23" s="1"/>
  <c r="M87" i="23"/>
  <c r="M94" i="23" s="1"/>
  <c r="N87" i="23"/>
  <c r="N94" i="23" s="1"/>
  <c r="E87" i="23"/>
  <c r="E94" i="23" s="1"/>
  <c r="A4" i="23"/>
  <c r="A35" i="23" s="1"/>
  <c r="A67" i="23" s="1"/>
  <c r="A1" i="23"/>
  <c r="A32" i="23" s="1"/>
  <c r="A64" i="23" s="1"/>
  <c r="A96" i="23" s="1"/>
  <c r="A4" i="20"/>
  <c r="A1" i="20"/>
  <c r="B31" i="26"/>
  <c r="N40" i="34"/>
  <c r="O27" i="34"/>
  <c r="O28" i="34"/>
  <c r="O29" i="34"/>
  <c r="O30" i="34"/>
  <c r="O31" i="34"/>
  <c r="O32" i="34"/>
  <c r="O33" i="34"/>
  <c r="O34" i="34"/>
  <c r="O35" i="34"/>
  <c r="O36" i="34"/>
  <c r="O37" i="34"/>
  <c r="O38" i="34"/>
  <c r="O26" i="34"/>
  <c r="E40" i="34"/>
  <c r="F40" i="34"/>
  <c r="G40" i="34"/>
  <c r="H40" i="34"/>
  <c r="I40" i="34"/>
  <c r="J40" i="34"/>
  <c r="K40" i="34"/>
  <c r="L40" i="34"/>
  <c r="M40" i="34"/>
  <c r="D40" i="34"/>
  <c r="C40" i="34"/>
  <c r="B40" i="34"/>
  <c r="E3" i="24"/>
  <c r="E2" i="24"/>
  <c r="AM199" i="24" l="1"/>
  <c r="O40" i="34"/>
  <c r="P118" i="23"/>
  <c r="P87" i="23"/>
  <c r="P94" i="23" s="1"/>
  <c r="E51" i="35"/>
  <c r="E42" i="35"/>
  <c r="E39" i="35"/>
  <c r="K108" i="24" s="1"/>
  <c r="L108" i="24" s="1"/>
  <c r="E33" i="35"/>
  <c r="K81" i="24" s="1"/>
  <c r="L81" i="24" s="1"/>
  <c r="E20" i="35"/>
  <c r="E17" i="35"/>
  <c r="E21" i="35"/>
  <c r="E12" i="35"/>
  <c r="G22" i="20" l="1"/>
  <c r="E36" i="35"/>
  <c r="K78" i="24"/>
  <c r="L78" i="24" s="1"/>
  <c r="E13" i="35"/>
  <c r="E14" i="35" s="1"/>
  <c r="E43" i="34" l="1"/>
  <c r="E44" i="34"/>
  <c r="E46" i="34" l="1"/>
  <c r="C12" i="26" l="1"/>
  <c r="D81" i="26"/>
  <c r="D64" i="26"/>
  <c r="C17" i="26"/>
  <c r="C16" i="26"/>
  <c r="C15" i="26"/>
  <c r="C14" i="26"/>
  <c r="E14" i="26" s="1"/>
  <c r="F14" i="26" s="1"/>
  <c r="L14" i="26"/>
  <c r="L18" i="26"/>
  <c r="E79" i="26"/>
  <c r="D77" i="26"/>
  <c r="C28" i="26" l="1"/>
  <c r="P393" i="24"/>
  <c r="M103" i="24"/>
  <c r="M101" i="24"/>
  <c r="M80" i="24"/>
  <c r="L10" i="24"/>
  <c r="AI10" i="24" s="1"/>
  <c r="L9" i="24" l="1"/>
  <c r="AI9" i="24" s="1"/>
  <c r="L15" i="26" l="1"/>
  <c r="E15" i="26"/>
  <c r="L16" i="26"/>
  <c r="E16" i="26"/>
  <c r="F16" i="26" s="1"/>
  <c r="L17" i="26"/>
  <c r="E17" i="26"/>
  <c r="F17" i="26" s="1"/>
  <c r="E18" i="26"/>
  <c r="F18" i="26" s="1"/>
  <c r="L19" i="26"/>
  <c r="L20" i="26"/>
  <c r="L21" i="26"/>
  <c r="D76" i="26"/>
  <c r="D75" i="26"/>
  <c r="D74" i="26"/>
  <c r="D73" i="26"/>
  <c r="D72" i="26"/>
  <c r="D71" i="26"/>
  <c r="D70" i="26"/>
  <c r="D69" i="26"/>
  <c r="D68" i="26"/>
  <c r="D67" i="26"/>
  <c r="D66" i="26"/>
  <c r="D65" i="26"/>
  <c r="F12" i="26"/>
  <c r="K28" i="26"/>
  <c r="E26" i="26"/>
  <c r="F26" i="26" s="1"/>
  <c r="E25" i="26"/>
  <c r="F25" i="26" s="1"/>
  <c r="E24" i="26"/>
  <c r="F24" i="26" s="1"/>
  <c r="E23" i="26"/>
  <c r="F23" i="26" s="1"/>
  <c r="E22" i="26"/>
  <c r="F22" i="26" s="1"/>
  <c r="E21" i="26"/>
  <c r="F21" i="26" s="1"/>
  <c r="E19" i="26"/>
  <c r="F19" i="26" s="1"/>
  <c r="E13" i="26"/>
  <c r="F13" i="26" s="1"/>
  <c r="L8" i="24"/>
  <c r="M8" i="24"/>
  <c r="P8" i="24"/>
  <c r="X8" i="24" s="1"/>
  <c r="Z8" i="24" s="1"/>
  <c r="L11" i="24"/>
  <c r="M11" i="24"/>
  <c r="P11" i="24"/>
  <c r="X11" i="24" s="1"/>
  <c r="Z11" i="24" s="1"/>
  <c r="L12" i="24"/>
  <c r="M12" i="24"/>
  <c r="P12" i="24"/>
  <c r="X12" i="24" s="1"/>
  <c r="Z12" i="24" s="1"/>
  <c r="L13" i="24"/>
  <c r="M13" i="24"/>
  <c r="P13" i="24"/>
  <c r="X13" i="24" s="1"/>
  <c r="Z13" i="24" s="1"/>
  <c r="L14" i="24"/>
  <c r="M14" i="24"/>
  <c r="P14" i="24"/>
  <c r="X14" i="24" s="1"/>
  <c r="Z14" i="24" s="1"/>
  <c r="L15" i="24"/>
  <c r="M15" i="24"/>
  <c r="P15" i="24"/>
  <c r="X15" i="24" s="1"/>
  <c r="Z15" i="24" s="1"/>
  <c r="L16" i="24"/>
  <c r="M16" i="24"/>
  <c r="P16" i="24"/>
  <c r="X16" i="24" s="1"/>
  <c r="Z16" i="24" s="1"/>
  <c r="L17" i="24"/>
  <c r="M17" i="24"/>
  <c r="P17" i="24"/>
  <c r="X17" i="24" s="1"/>
  <c r="Z17" i="24" s="1"/>
  <c r="L18" i="24"/>
  <c r="AI18" i="24" s="1"/>
  <c r="M18" i="24"/>
  <c r="P18" i="24"/>
  <c r="X18" i="24" s="1"/>
  <c r="Z18" i="24" s="1"/>
  <c r="L19" i="24"/>
  <c r="AI19" i="24" s="1"/>
  <c r="M19" i="24"/>
  <c r="P19" i="24"/>
  <c r="X19" i="24" s="1"/>
  <c r="Z19" i="24" s="1"/>
  <c r="L20" i="24"/>
  <c r="M20" i="24"/>
  <c r="P20" i="24"/>
  <c r="X20" i="24" s="1"/>
  <c r="Z20" i="24" s="1"/>
  <c r="L21" i="24"/>
  <c r="M21" i="24"/>
  <c r="P21" i="24"/>
  <c r="X21" i="24" s="1"/>
  <c r="Z21" i="24" s="1"/>
  <c r="L22" i="24"/>
  <c r="AI22" i="24" s="1"/>
  <c r="M22" i="24"/>
  <c r="P22" i="24"/>
  <c r="X22" i="24" s="1"/>
  <c r="Z22" i="24" s="1"/>
  <c r="L23" i="24"/>
  <c r="AI23" i="24" s="1"/>
  <c r="M23" i="24"/>
  <c r="P23" i="24"/>
  <c r="X23" i="24" s="1"/>
  <c r="Z23" i="24" s="1"/>
  <c r="L24" i="24"/>
  <c r="M24" i="24"/>
  <c r="P24" i="24"/>
  <c r="X24" i="24" s="1"/>
  <c r="Z24" i="24" s="1"/>
  <c r="L25" i="24"/>
  <c r="AI25" i="24" s="1"/>
  <c r="M25" i="24"/>
  <c r="P25" i="24"/>
  <c r="X25" i="24" s="1"/>
  <c r="Z25" i="24" s="1"/>
  <c r="L26" i="24"/>
  <c r="AI26" i="24" s="1"/>
  <c r="M26" i="24"/>
  <c r="P26" i="24"/>
  <c r="X26" i="24" s="1"/>
  <c r="Z26" i="24" s="1"/>
  <c r="L27" i="24"/>
  <c r="AI27" i="24" s="1"/>
  <c r="M27" i="24"/>
  <c r="P27" i="24"/>
  <c r="X27" i="24" s="1"/>
  <c r="Z27" i="24" s="1"/>
  <c r="L28" i="24"/>
  <c r="M28" i="24"/>
  <c r="P28" i="24"/>
  <c r="X28" i="24" s="1"/>
  <c r="Z28" i="24" s="1"/>
  <c r="L29" i="24"/>
  <c r="M29" i="24"/>
  <c r="P29" i="24"/>
  <c r="X29" i="24" s="1"/>
  <c r="Z29" i="24" s="1"/>
  <c r="L30" i="24"/>
  <c r="M30" i="24"/>
  <c r="P30" i="24"/>
  <c r="X30" i="24" s="1"/>
  <c r="Z30" i="24" s="1"/>
  <c r="L31" i="24"/>
  <c r="M31" i="24"/>
  <c r="P31" i="24"/>
  <c r="X31" i="24" s="1"/>
  <c r="Z31" i="24" s="1"/>
  <c r="L32" i="24"/>
  <c r="AI32" i="24" s="1"/>
  <c r="M32" i="24"/>
  <c r="P32" i="24"/>
  <c r="X32" i="24" s="1"/>
  <c r="Z32" i="24" s="1"/>
  <c r="L33" i="24"/>
  <c r="M33" i="24"/>
  <c r="P33" i="24"/>
  <c r="X33" i="24" s="1"/>
  <c r="Z33" i="24" s="1"/>
  <c r="L34" i="24"/>
  <c r="AI34" i="24" s="1"/>
  <c r="M34" i="24"/>
  <c r="P34" i="24"/>
  <c r="X34" i="24" s="1"/>
  <c r="Z34" i="24" s="1"/>
  <c r="L35" i="24"/>
  <c r="AI35" i="24" s="1"/>
  <c r="M35" i="24"/>
  <c r="P35" i="24"/>
  <c r="X35" i="24" s="1"/>
  <c r="Z35" i="24" s="1"/>
  <c r="L36" i="24"/>
  <c r="P36" i="24"/>
  <c r="M36" i="24" s="1"/>
  <c r="L37" i="24"/>
  <c r="M37" i="24"/>
  <c r="P37" i="24"/>
  <c r="X37" i="24" s="1"/>
  <c r="Z37" i="24" s="1"/>
  <c r="L38" i="24"/>
  <c r="M38" i="24"/>
  <c r="P38" i="24"/>
  <c r="X38" i="24" s="1"/>
  <c r="Z38" i="24" s="1"/>
  <c r="L39" i="24"/>
  <c r="M39" i="24"/>
  <c r="P39" i="24"/>
  <c r="X39" i="24" s="1"/>
  <c r="Z39" i="24" s="1"/>
  <c r="L40" i="24"/>
  <c r="AI40" i="24" s="1"/>
  <c r="M40" i="24"/>
  <c r="P40" i="24"/>
  <c r="X40" i="24" s="1"/>
  <c r="Z40" i="24" s="1"/>
  <c r="L41" i="24"/>
  <c r="AI41" i="24" s="1"/>
  <c r="M41" i="24"/>
  <c r="P41" i="24"/>
  <c r="X41" i="24" s="1"/>
  <c r="Z41" i="24" s="1"/>
  <c r="L42" i="24"/>
  <c r="AI42" i="24" s="1"/>
  <c r="M42" i="24"/>
  <c r="P42" i="24"/>
  <c r="X42" i="24" s="1"/>
  <c r="Z42" i="24" s="1"/>
  <c r="L43" i="24"/>
  <c r="M43" i="24"/>
  <c r="P43" i="24"/>
  <c r="X43" i="24" s="1"/>
  <c r="Z43" i="24" s="1"/>
  <c r="L44" i="24"/>
  <c r="AI44" i="24" s="1"/>
  <c r="M44" i="24"/>
  <c r="P44" i="24"/>
  <c r="X44" i="24" s="1"/>
  <c r="Z44" i="24" s="1"/>
  <c r="L45" i="24"/>
  <c r="M45" i="24"/>
  <c r="P45" i="24"/>
  <c r="X45" i="24" s="1"/>
  <c r="Z45" i="24" s="1"/>
  <c r="L46" i="24"/>
  <c r="M46" i="24"/>
  <c r="P46" i="24"/>
  <c r="X46" i="24" s="1"/>
  <c r="Z46" i="24" s="1"/>
  <c r="L47" i="24"/>
  <c r="M47" i="24"/>
  <c r="P47" i="24"/>
  <c r="X47" i="24" s="1"/>
  <c r="Z47" i="24" s="1"/>
  <c r="L48" i="24"/>
  <c r="M48" i="24"/>
  <c r="P48" i="24"/>
  <c r="X48" i="24" s="1"/>
  <c r="Z48" i="24" s="1"/>
  <c r="L49" i="24"/>
  <c r="AI49" i="24" s="1"/>
  <c r="M49" i="24"/>
  <c r="P49" i="24"/>
  <c r="X49" i="24" s="1"/>
  <c r="Z49" i="24" s="1"/>
  <c r="L50" i="24"/>
  <c r="M50" i="24"/>
  <c r="P50" i="24"/>
  <c r="X50" i="24" s="1"/>
  <c r="Z50" i="24" s="1"/>
  <c r="L51" i="24"/>
  <c r="M51" i="24"/>
  <c r="P51" i="24"/>
  <c r="X51" i="24" s="1"/>
  <c r="Z51" i="24" s="1"/>
  <c r="L52" i="24"/>
  <c r="M52" i="24"/>
  <c r="P52" i="24"/>
  <c r="X52" i="24" s="1"/>
  <c r="Z52" i="24" s="1"/>
  <c r="L53" i="24"/>
  <c r="M53" i="24"/>
  <c r="P53" i="24"/>
  <c r="X53" i="24" s="1"/>
  <c r="Z53" i="24" s="1"/>
  <c r="L54" i="24"/>
  <c r="M54" i="24"/>
  <c r="P54" i="24"/>
  <c r="X54" i="24" s="1"/>
  <c r="Z54" i="24" s="1"/>
  <c r="L55" i="24"/>
  <c r="M55" i="24"/>
  <c r="P55" i="24"/>
  <c r="X55" i="24" s="1"/>
  <c r="Z55" i="24" s="1"/>
  <c r="L56" i="24"/>
  <c r="J46" i="23" s="1"/>
  <c r="P46" i="23" s="1"/>
  <c r="M56" i="24"/>
  <c r="P56" i="24"/>
  <c r="X56" i="24" s="1"/>
  <c r="Z56" i="24" s="1"/>
  <c r="P57" i="24"/>
  <c r="X57" i="24" s="1"/>
  <c r="AB57" i="24"/>
  <c r="P58" i="24"/>
  <c r="X58" i="24" s="1"/>
  <c r="AB58" i="24"/>
  <c r="P59" i="24"/>
  <c r="X59" i="24" s="1"/>
  <c r="AB59" i="24"/>
  <c r="M60" i="24"/>
  <c r="P60" i="24"/>
  <c r="X60" i="24" s="1"/>
  <c r="Z60" i="24" s="1"/>
  <c r="M61" i="24"/>
  <c r="P61" i="24"/>
  <c r="X61" i="24" s="1"/>
  <c r="Z61" i="24" s="1"/>
  <c r="M62" i="24"/>
  <c r="P62" i="24"/>
  <c r="X62" i="24" s="1"/>
  <c r="Z62" i="24" s="1"/>
  <c r="M63" i="24"/>
  <c r="P63" i="24"/>
  <c r="X63" i="24" s="1"/>
  <c r="Z63" i="24" s="1"/>
  <c r="M64" i="24"/>
  <c r="P64" i="24"/>
  <c r="X64" i="24" s="1"/>
  <c r="Z64" i="24" s="1"/>
  <c r="M65" i="24"/>
  <c r="P65" i="24"/>
  <c r="X65" i="24" s="1"/>
  <c r="Z65" i="24" s="1"/>
  <c r="M66" i="24"/>
  <c r="P66" i="24"/>
  <c r="X66" i="24" s="1"/>
  <c r="Z66" i="24" s="1"/>
  <c r="M67" i="24"/>
  <c r="P67" i="24"/>
  <c r="X67" i="24" s="1"/>
  <c r="Z67" i="24" s="1"/>
  <c r="P68" i="24"/>
  <c r="S68" i="24"/>
  <c r="M68" i="24" s="1"/>
  <c r="P69" i="24"/>
  <c r="S69" i="24"/>
  <c r="T69" i="24"/>
  <c r="U69" i="24"/>
  <c r="T395" i="24" s="1"/>
  <c r="M70" i="24"/>
  <c r="P70" i="24"/>
  <c r="X70" i="24" s="1"/>
  <c r="Z70" i="24" s="1"/>
  <c r="M71" i="24"/>
  <c r="P71" i="24"/>
  <c r="X71" i="24" s="1"/>
  <c r="Z71" i="24" s="1"/>
  <c r="M72" i="24"/>
  <c r="P72" i="24"/>
  <c r="X72" i="24" s="1"/>
  <c r="Z72" i="24" s="1"/>
  <c r="M73" i="24"/>
  <c r="P73" i="24"/>
  <c r="X73" i="24" s="1"/>
  <c r="Z73" i="24" s="1"/>
  <c r="M74" i="24"/>
  <c r="P74" i="24"/>
  <c r="X74" i="24" s="1"/>
  <c r="Z74" i="24" s="1"/>
  <c r="M75" i="24"/>
  <c r="P75" i="24"/>
  <c r="X75" i="24" s="1"/>
  <c r="Z75" i="24" s="1"/>
  <c r="M76" i="24"/>
  <c r="P76" i="24"/>
  <c r="X76" i="24" s="1"/>
  <c r="Z76" i="24" s="1"/>
  <c r="M77" i="24"/>
  <c r="P77" i="24"/>
  <c r="X77" i="24" s="1"/>
  <c r="Z77" i="24" s="1"/>
  <c r="M78" i="24"/>
  <c r="P78" i="24"/>
  <c r="X78" i="24" s="1"/>
  <c r="Z78" i="24" s="1"/>
  <c r="E31" i="26"/>
  <c r="M79" i="24"/>
  <c r="M81" i="24"/>
  <c r="P81" i="24"/>
  <c r="X81" i="24" s="1"/>
  <c r="Z81" i="24" s="1"/>
  <c r="M85" i="24"/>
  <c r="P85" i="24"/>
  <c r="X85" i="24" s="1"/>
  <c r="Z85" i="24" s="1"/>
  <c r="M86" i="24"/>
  <c r="P86" i="24"/>
  <c r="X86" i="24" s="1"/>
  <c r="Z86" i="24" s="1"/>
  <c r="M87" i="24"/>
  <c r="P87" i="24"/>
  <c r="X87" i="24" s="1"/>
  <c r="Z87" i="24" s="1"/>
  <c r="M88" i="24"/>
  <c r="P88" i="24"/>
  <c r="X88" i="24" s="1"/>
  <c r="Z88" i="24" s="1"/>
  <c r="M89" i="24"/>
  <c r="P89" i="24"/>
  <c r="X89" i="24" s="1"/>
  <c r="Z89" i="24" s="1"/>
  <c r="M90" i="24"/>
  <c r="P90" i="24"/>
  <c r="X90" i="24" s="1"/>
  <c r="Z90" i="24" s="1"/>
  <c r="P91" i="24"/>
  <c r="U91" i="24"/>
  <c r="M91" i="24" s="1"/>
  <c r="M92" i="24"/>
  <c r="P92" i="24"/>
  <c r="X92" i="24" s="1"/>
  <c r="Z92" i="24" s="1"/>
  <c r="M93" i="24"/>
  <c r="P93" i="24"/>
  <c r="X93" i="24" s="1"/>
  <c r="Z93" i="24" s="1"/>
  <c r="M94" i="24"/>
  <c r="P94" i="24"/>
  <c r="X94" i="24" s="1"/>
  <c r="Z94" i="24" s="1"/>
  <c r="M95" i="24"/>
  <c r="P95" i="24"/>
  <c r="X95" i="24" s="1"/>
  <c r="Z95" i="24" s="1"/>
  <c r="M96" i="24"/>
  <c r="P96" i="24"/>
  <c r="X96" i="24" s="1"/>
  <c r="Z96" i="24" s="1"/>
  <c r="M97" i="24"/>
  <c r="P97" i="24"/>
  <c r="X97" i="24" s="1"/>
  <c r="Z97" i="24" s="1"/>
  <c r="M98" i="24"/>
  <c r="P98" i="24"/>
  <c r="X98" i="24" s="1"/>
  <c r="Z98" i="24" s="1"/>
  <c r="M99" i="24"/>
  <c r="P99" i="24"/>
  <c r="X99" i="24" s="1"/>
  <c r="Z99" i="24" s="1"/>
  <c r="M100" i="24"/>
  <c r="C102" i="24"/>
  <c r="M102" i="24"/>
  <c r="P102" i="24"/>
  <c r="X102" i="24" s="1"/>
  <c r="Z102" i="24" s="1"/>
  <c r="M104" i="24"/>
  <c r="X104" i="24"/>
  <c r="Z104" i="24" s="1"/>
  <c r="M105" i="24"/>
  <c r="P105" i="24"/>
  <c r="X105" i="24" s="1"/>
  <c r="Z105" i="24" s="1"/>
  <c r="P106" i="24"/>
  <c r="R106" i="24"/>
  <c r="M106" i="24" s="1"/>
  <c r="P108" i="24"/>
  <c r="T108" i="24"/>
  <c r="M108" i="24" s="1"/>
  <c r="M109" i="24"/>
  <c r="P109" i="24"/>
  <c r="X109" i="24" s="1"/>
  <c r="Z109" i="24" s="1"/>
  <c r="M110" i="24"/>
  <c r="P110" i="24"/>
  <c r="X110" i="24" s="1"/>
  <c r="Z110" i="24" s="1"/>
  <c r="P392" i="24"/>
  <c r="V392" i="24"/>
  <c r="M392" i="24" s="1"/>
  <c r="P394" i="24"/>
  <c r="Q394" i="24"/>
  <c r="V394" i="24"/>
  <c r="V395" i="24"/>
  <c r="P396" i="24"/>
  <c r="P49" i="23"/>
  <c r="AI30" i="24" l="1"/>
  <c r="AI47" i="24"/>
  <c r="AI43" i="24"/>
  <c r="AI8" i="24"/>
  <c r="L396" i="24"/>
  <c r="T396" i="24" s="1"/>
  <c r="AI50" i="24"/>
  <c r="AB16" i="24"/>
  <c r="AB55" i="24"/>
  <c r="AB44" i="24"/>
  <c r="AB77" i="24"/>
  <c r="AB51" i="24"/>
  <c r="AB42" i="24"/>
  <c r="AB49" i="24"/>
  <c r="AB39" i="24"/>
  <c r="AI46" i="24"/>
  <c r="AI36" i="24"/>
  <c r="D78" i="26"/>
  <c r="D80" i="26" s="1"/>
  <c r="E76" i="26"/>
  <c r="AI28" i="24"/>
  <c r="AI20" i="24"/>
  <c r="AB104" i="24"/>
  <c r="AI38" i="24"/>
  <c r="AB15" i="24"/>
  <c r="AB21" i="24"/>
  <c r="M69" i="24"/>
  <c r="V398" i="24"/>
  <c r="M394" i="24"/>
  <c r="AB54" i="24"/>
  <c r="Q398" i="24"/>
  <c r="X395" i="24"/>
  <c r="Z395" i="24" s="1"/>
  <c r="X91" i="24"/>
  <c r="Z91" i="24" s="1"/>
  <c r="AB91" i="24" s="1"/>
  <c r="S398" i="24"/>
  <c r="X108" i="24"/>
  <c r="Z108" i="24" s="1"/>
  <c r="X68" i="24"/>
  <c r="Z68" i="24" s="1"/>
  <c r="AB68" i="24" s="1"/>
  <c r="AB19" i="24"/>
  <c r="AI15" i="24"/>
  <c r="AI31" i="24"/>
  <c r="AI14" i="24"/>
  <c r="AI110" i="24"/>
  <c r="AI63" i="24"/>
  <c r="AI108" i="24"/>
  <c r="AI69" i="24"/>
  <c r="AB40" i="24"/>
  <c r="AB25" i="24"/>
  <c r="AB43" i="24"/>
  <c r="F15" i="26"/>
  <c r="F28" i="26" s="1"/>
  <c r="E28" i="26"/>
  <c r="E33" i="26" s="1"/>
  <c r="T398" i="24"/>
  <c r="X36" i="24"/>
  <c r="Z36" i="24" s="1"/>
  <c r="AB36" i="24" s="1"/>
  <c r="X394" i="24"/>
  <c r="Z394" i="24" s="1"/>
  <c r="X69" i="24"/>
  <c r="Z69" i="24" s="1"/>
  <c r="AB38" i="24"/>
  <c r="AB35" i="24"/>
  <c r="AB33" i="24"/>
  <c r="X392" i="24"/>
  <c r="Z392" i="24" s="1"/>
  <c r="X106" i="24"/>
  <c r="Z106" i="24" s="1"/>
  <c r="AB106" i="24" s="1"/>
  <c r="AB53" i="24"/>
  <c r="AB52" i="24"/>
  <c r="AB34" i="24"/>
  <c r="AB30" i="24"/>
  <c r="AB28" i="24"/>
  <c r="AB26" i="24"/>
  <c r="AB20" i="24"/>
  <c r="AI59" i="24"/>
  <c r="AB94" i="24"/>
  <c r="AB90" i="24"/>
  <c r="AB76" i="24"/>
  <c r="AB74" i="24"/>
  <c r="AB71" i="24"/>
  <c r="AB65" i="24"/>
  <c r="AB60" i="24"/>
  <c r="AB56" i="24"/>
  <c r="AB18" i="24"/>
  <c r="AB61" i="24"/>
  <c r="AB89" i="24"/>
  <c r="AB88" i="24"/>
  <c r="AB87" i="24"/>
  <c r="AB85" i="24"/>
  <c r="AB75" i="24"/>
  <c r="AB72" i="24"/>
  <c r="AB110" i="24"/>
  <c r="AB109" i="24"/>
  <c r="AB102" i="24"/>
  <c r="AB99" i="24"/>
  <c r="AB97" i="24"/>
  <c r="AB93" i="24"/>
  <c r="AB86" i="24"/>
  <c r="AB81" i="24"/>
  <c r="AB78" i="24"/>
  <c r="AB73" i="24"/>
  <c r="AB70" i="24"/>
  <c r="AB66" i="24"/>
  <c r="AB64" i="24"/>
  <c r="AB63" i="24"/>
  <c r="AB50" i="24"/>
  <c r="AB48" i="24"/>
  <c r="AB45" i="24"/>
  <c r="AB41" i="24"/>
  <c r="AB37" i="24"/>
  <c r="AB29" i="24"/>
  <c r="AB24" i="24"/>
  <c r="AB14" i="24"/>
  <c r="P398" i="24"/>
  <c r="AB105" i="24"/>
  <c r="AB98" i="24"/>
  <c r="AB96" i="24"/>
  <c r="AB92" i="24"/>
  <c r="AB67" i="24"/>
  <c r="AB62" i="24"/>
  <c r="AB46" i="24"/>
  <c r="AB32" i="24"/>
  <c r="AB23" i="24"/>
  <c r="R398" i="24"/>
  <c r="AB95" i="24"/>
  <c r="AB47" i="24"/>
  <c r="AB31" i="24"/>
  <c r="AB17" i="24"/>
  <c r="AB27" i="24"/>
  <c r="AB22" i="24"/>
  <c r="P21" i="23"/>
  <c r="N27" i="23" l="1"/>
  <c r="P27" i="23" s="1"/>
  <c r="V396" i="24"/>
  <c r="X396" i="24" s="1"/>
  <c r="Z396" i="24" s="1"/>
  <c r="M398" i="24"/>
  <c r="AB69" i="24"/>
  <c r="J25" i="23"/>
  <c r="J31" i="23" s="1"/>
  <c r="I21" i="20"/>
  <c r="K21" i="20" s="1"/>
  <c r="P17" i="23"/>
  <c r="AI396" i="24"/>
  <c r="N28" i="23"/>
  <c r="P28" i="23" s="1"/>
  <c r="I8" i="20"/>
  <c r="E25" i="23"/>
  <c r="E31" i="23" s="1"/>
  <c r="I17" i="20" l="1"/>
  <c r="K17" i="20" s="1"/>
  <c r="I20" i="20"/>
  <c r="K20" i="20" s="1"/>
  <c r="I10" i="20"/>
  <c r="K10" i="20" s="1"/>
  <c r="P20" i="23"/>
  <c r="K22" i="20"/>
  <c r="P22" i="23"/>
  <c r="P23" i="23"/>
  <c r="I23" i="20"/>
  <c r="K23" i="20" s="1"/>
  <c r="P19" i="23"/>
  <c r="I9" i="20"/>
  <c r="K9" i="20" s="1"/>
  <c r="F48" i="23" l="1"/>
  <c r="J51" i="23"/>
  <c r="P47" i="23"/>
  <c r="L25" i="23"/>
  <c r="L31" i="23" s="1"/>
  <c r="G25" i="20"/>
  <c r="G29" i="20" s="1"/>
  <c r="I19" i="20"/>
  <c r="P48" i="23" l="1"/>
  <c r="K19" i="20"/>
  <c r="I13" i="20" l="1"/>
  <c r="L51" i="23" l="1"/>
  <c r="I18" i="20" l="1"/>
  <c r="H25" i="23" l="1"/>
  <c r="H31" i="23" s="1"/>
  <c r="P18" i="23"/>
  <c r="P25" i="23" s="1"/>
  <c r="P31" i="23" s="1"/>
  <c r="I25" i="20"/>
  <c r="K18" i="20"/>
  <c r="K25" i="20" s="1"/>
  <c r="N29" i="23" l="1"/>
  <c r="N31" i="23" s="1"/>
  <c r="P29" i="23" l="1"/>
  <c r="I27" i="20"/>
  <c r="K27" i="20" s="1"/>
  <c r="K29" i="20" s="1"/>
  <c r="I29" i="20" l="1"/>
  <c r="I31" i="20" s="1"/>
  <c r="G8" i="20" l="1"/>
  <c r="K8" i="20" s="1"/>
  <c r="K13" i="20" s="1"/>
  <c r="G13" i="20" l="1"/>
  <c r="G31" i="20" s="1"/>
  <c r="E45" i="23" l="1"/>
  <c r="P45" i="23" s="1"/>
  <c r="P51" i="23" s="1"/>
  <c r="E51" i="23" l="1"/>
  <c r="H84" i="69" l="1"/>
  <c r="H83" i="69"/>
  <c r="H249" i="69" s="1"/>
  <c r="H82" i="69" l="1"/>
  <c r="H44" i="69"/>
  <c r="H116" i="69"/>
  <c r="H110" i="69" s="1"/>
  <c r="H85" i="69"/>
  <c r="H39" i="69"/>
  <c r="H87" i="69" l="1"/>
  <c r="H41" i="69"/>
  <c r="H43" i="69"/>
  <c r="H18" i="69" l="1"/>
  <c r="H16" i="69" s="1"/>
  <c r="H40" i="69"/>
  <c r="H42" i="69"/>
  <c r="H126" i="69"/>
  <c r="H129" i="69" s="1"/>
  <c r="H21" i="69" l="1"/>
  <c r="L137" i="69"/>
  <c r="H46" i="69"/>
  <c r="H179" i="56"/>
  <c r="J179" i="56" s="1"/>
  <c r="I11" i="20"/>
  <c r="K11" i="20" s="1"/>
  <c r="K311" i="50" l="1"/>
  <c r="J26" i="56" l="1"/>
  <c r="N26" i="56" s="1"/>
  <c r="H170" i="56"/>
  <c r="J205" i="56" s="1"/>
  <c r="J207" i="56" s="1"/>
  <c r="H33" i="69" l="1"/>
  <c r="H30" i="69" s="1"/>
  <c r="J29" i="56"/>
  <c r="J58" i="56" s="1"/>
  <c r="N205" i="56"/>
  <c r="M499" i="50"/>
  <c r="M500" i="50" s="1"/>
  <c r="D25" i="56" l="1"/>
  <c r="N25" i="56" s="1"/>
  <c r="H168" i="56"/>
  <c r="L203" i="56" s="1"/>
  <c r="H177" i="56" l="1"/>
  <c r="N203" i="56"/>
  <c r="F111" i="56" l="1"/>
  <c r="N111" i="56" s="1"/>
  <c r="J177" i="56"/>
  <c r="L212" i="56"/>
  <c r="J506" i="39" l="1"/>
  <c r="J111" i="56"/>
  <c r="O111" i="56" s="1"/>
  <c r="F137" i="56"/>
  <c r="J137" i="56" s="1"/>
  <c r="N212" i="56"/>
  <c r="N137" i="56" l="1"/>
  <c r="O137" i="56" s="1"/>
  <c r="H180" i="56" l="1"/>
  <c r="J180" i="56" l="1"/>
  <c r="L214" i="56"/>
  <c r="N214" i="56" s="1"/>
  <c r="H250" i="69" l="1"/>
  <c r="H252" i="69" s="1"/>
  <c r="H254" i="69" l="1"/>
  <c r="H256" i="69" s="1"/>
  <c r="H178" i="56" l="1"/>
  <c r="H182" i="56" l="1"/>
  <c r="J178" i="56"/>
  <c r="J182" i="56" s="1"/>
  <c r="L213" i="56"/>
  <c r="N213" i="56" l="1"/>
  <c r="N216" i="56" s="1"/>
  <c r="L216" i="56"/>
  <c r="D24" i="56" l="1"/>
  <c r="D29" i="56" l="1"/>
  <c r="D58" i="56" s="1"/>
  <c r="N24" i="56"/>
  <c r="N29" i="56" s="1"/>
  <c r="N58" i="56" s="1"/>
  <c r="H169" i="56"/>
  <c r="L204" i="56" l="1"/>
  <c r="H172" i="56"/>
  <c r="L207" i="56" l="1"/>
  <c r="N204" i="56"/>
  <c r="N207" i="56" s="1"/>
  <c r="L142" i="69" l="1"/>
  <c r="H123" i="69"/>
  <c r="H125" i="69" s="1"/>
  <c r="J125" i="69"/>
</calcChain>
</file>

<file path=xl/comments1.xml><?xml version="1.0" encoding="utf-8"?>
<comments xmlns="http://schemas.openxmlformats.org/spreadsheetml/2006/main">
  <authors>
    <author>Jonathan Chiti Mulinda</author>
  </authors>
  <commentList>
    <comment ref="H249" authorId="0" shapeId="0">
      <text>
        <r>
          <rPr>
            <b/>
            <sz val="9"/>
            <color indexed="81"/>
            <rFont val="Tahoma"/>
            <family val="2"/>
          </rPr>
          <t>Jonathan Chiti Mulinda:</t>
        </r>
        <r>
          <rPr>
            <sz val="9"/>
            <color indexed="81"/>
            <rFont val="Tahoma"/>
            <family val="2"/>
          </rPr>
          <t xml:space="preserve">
To be consistent with 2019, Dsub Debt is excluded.</t>
        </r>
      </text>
    </comment>
  </commentList>
</comments>
</file>

<file path=xl/sharedStrings.xml><?xml version="1.0" encoding="utf-8"?>
<sst xmlns="http://schemas.openxmlformats.org/spreadsheetml/2006/main" count="20009" uniqueCount="4679">
  <si>
    <t xml:space="preserve">Total equity and liabilities  </t>
  </si>
  <si>
    <t>Issued</t>
  </si>
  <si>
    <t>Issued capital</t>
  </si>
  <si>
    <t>All foreign currency denominated amounts are stated at Zambian Kwacha equivalents, translated from foreign currencies at year end rates of exchange.</t>
  </si>
  <si>
    <t>Other payables</t>
  </si>
  <si>
    <t>FINANCING ACTIVITIES</t>
  </si>
  <si>
    <t>ASSETS</t>
  </si>
  <si>
    <t>Equity includes all capital and reserves of the Company.</t>
  </si>
  <si>
    <t>Long term bank borrowings</t>
  </si>
  <si>
    <t>Bank overdraft</t>
  </si>
  <si>
    <t>CONTINGENT LIABILITIES</t>
  </si>
  <si>
    <t>Depreciation</t>
  </si>
  <si>
    <t>Total</t>
  </si>
  <si>
    <t>capital</t>
  </si>
  <si>
    <t>Interest and similar income</t>
  </si>
  <si>
    <t>Arising on:</t>
  </si>
  <si>
    <t>At beginning of the year</t>
  </si>
  <si>
    <t>Bank charges</t>
  </si>
  <si>
    <t>Salaries and wages</t>
  </si>
  <si>
    <t>Insurance</t>
  </si>
  <si>
    <t>CAPITAL COMMITMENTS</t>
  </si>
  <si>
    <t>Motor vehicle expenses</t>
  </si>
  <si>
    <t>Financial assets</t>
  </si>
  <si>
    <t>Financial liabilities</t>
  </si>
  <si>
    <t>To the members of</t>
  </si>
  <si>
    <t>Amounts due to related parties</t>
  </si>
  <si>
    <t>Kwacha</t>
  </si>
  <si>
    <t>Total assets</t>
  </si>
  <si>
    <t>Repairs and maintenance</t>
  </si>
  <si>
    <t>Security</t>
  </si>
  <si>
    <t>Interest paid</t>
  </si>
  <si>
    <t>-</t>
  </si>
  <si>
    <t>reserves</t>
  </si>
  <si>
    <t>Interest expense</t>
  </si>
  <si>
    <t>Income tax paid</t>
  </si>
  <si>
    <t>US Dollar</t>
  </si>
  <si>
    <t>Revenue reserves</t>
  </si>
  <si>
    <t>Donations</t>
  </si>
  <si>
    <t>Professional fees</t>
  </si>
  <si>
    <t>Cost</t>
  </si>
  <si>
    <t>Prepayments and other receivables</t>
  </si>
  <si>
    <t>Gearing ratio</t>
  </si>
  <si>
    <t xml:space="preserve">The Company manages its capital to ensure that the Company will be able to continue as a going concern while maximising the return to stakeholders through the optimisation of the debt and equity balance. </t>
  </si>
  <si>
    <t xml:space="preserve">Net debt </t>
  </si>
  <si>
    <t>Equity (ii)</t>
  </si>
  <si>
    <t xml:space="preserve">Net debt to equity ratio </t>
  </si>
  <si>
    <t>(ii)</t>
  </si>
  <si>
    <t>Significant accounting policies</t>
  </si>
  <si>
    <t>Details of the significant accounting policies and methods adopted, including the criteria for recognition, the basis of measurement and the basis on which income and expenses are recognised, in respect of each class of financial asset, financial liability and equity instrument are disclosed in the accounting policies to the financial statements.</t>
  </si>
  <si>
    <t>Liquidity risk management</t>
  </si>
  <si>
    <t>LIABILITIES</t>
  </si>
  <si>
    <t>APPENDIX I -  CURRENCY RISK</t>
  </si>
  <si>
    <t>Total liabilities</t>
  </si>
  <si>
    <t>Short term borrowing</t>
  </si>
  <si>
    <t>Directors' responsibility for the financial statements</t>
  </si>
  <si>
    <t>Auditor's responsibility</t>
  </si>
  <si>
    <t>We believe that the audit evidence we have obtained is sufficient and appropriate to provide a basis for our audit opinion.</t>
  </si>
  <si>
    <t>Bank and cash balances</t>
  </si>
  <si>
    <t>Loans and receivables</t>
  </si>
  <si>
    <t xml:space="preserve">Amounts falling due within one year  </t>
  </si>
  <si>
    <t>Amounts falling due after one year</t>
  </si>
  <si>
    <t>Property and equipment</t>
  </si>
  <si>
    <t>Plant and equipment</t>
  </si>
  <si>
    <t>Net balance sheet position</t>
  </si>
  <si>
    <t>OPERATING EXPENSES</t>
  </si>
  <si>
    <t>1 month</t>
  </si>
  <si>
    <t>3 months</t>
  </si>
  <si>
    <t>Due to:</t>
  </si>
  <si>
    <t>DELOITTE &amp; TOUCHE</t>
  </si>
  <si>
    <t>April</t>
  </si>
  <si>
    <t>June</t>
  </si>
  <si>
    <t>August</t>
  </si>
  <si>
    <t>October</t>
  </si>
  <si>
    <t>December</t>
  </si>
  <si>
    <t>February</t>
  </si>
  <si>
    <t>May</t>
  </si>
  <si>
    <t>July</t>
  </si>
  <si>
    <t>September</t>
  </si>
  <si>
    <t>November</t>
  </si>
  <si>
    <t>March</t>
  </si>
  <si>
    <t>NET INTEREST INCOME</t>
  </si>
  <si>
    <t>OTHER OPERATING INCOME</t>
  </si>
  <si>
    <t>TOTAL INCOME</t>
  </si>
  <si>
    <t>OPERATING ACTIVITIES</t>
  </si>
  <si>
    <t>INVESTING ACTIVITIES</t>
  </si>
  <si>
    <t>Net cash used in investing activities</t>
  </si>
  <si>
    <t>General reserves</t>
  </si>
  <si>
    <t>Long term borrowings</t>
  </si>
  <si>
    <t>Loans repaid</t>
  </si>
  <si>
    <t>At end of the year</t>
  </si>
  <si>
    <t>Current tax liabilities</t>
  </si>
  <si>
    <t>Deferred tax liabilities</t>
  </si>
  <si>
    <t>Total equity</t>
  </si>
  <si>
    <t>Total equity and liabilities</t>
  </si>
  <si>
    <t xml:space="preserve">Total liabilities </t>
  </si>
  <si>
    <t>ISSUED CAPITAL</t>
  </si>
  <si>
    <t>INDEPENDENT AUDITOR'S REPORT</t>
  </si>
  <si>
    <t>An audit involves performing procedures to obtain audit evidence about the amounts and disclosures in the financial statements. The procedures selected depend on the auditor’s judgment, including the assessment of the risks of material misstatement of the financial statements, whether due to fraud or error. In making those risk assessments, the auditor considers internal control relevant to the entity’s preparation and fair presentation of the financial statements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financial statements.</t>
  </si>
  <si>
    <t>Less than</t>
  </si>
  <si>
    <t>1 - 3</t>
  </si>
  <si>
    <t>month</t>
  </si>
  <si>
    <t>to</t>
  </si>
  <si>
    <t>1 year</t>
  </si>
  <si>
    <t>1 - 5 years</t>
  </si>
  <si>
    <t>5 + years</t>
  </si>
  <si>
    <t>demand</t>
  </si>
  <si>
    <t>Deffered tax laibilities</t>
  </si>
  <si>
    <t>Liabilities</t>
  </si>
  <si>
    <t>Assets</t>
  </si>
  <si>
    <t>Equity</t>
  </si>
  <si>
    <t>Adjusted for non cash items:</t>
  </si>
  <si>
    <t/>
  </si>
  <si>
    <t>PASTEL TRIAL BALANCE TO BE EXPORTED</t>
  </si>
  <si>
    <t>Account</t>
  </si>
  <si>
    <t>Description</t>
  </si>
  <si>
    <t>DEBIT</t>
  </si>
  <si>
    <t>CREDIT</t>
  </si>
  <si>
    <t>YTD</t>
  </si>
  <si>
    <t>1000/000</t>
  </si>
  <si>
    <t>Interest Received</t>
  </si>
  <si>
    <t>2000/000</t>
  </si>
  <si>
    <t>Administration Fee Received</t>
  </si>
  <si>
    <t>2700/000</t>
  </si>
  <si>
    <t>Discount Received for Cash</t>
  </si>
  <si>
    <t>2750/000</t>
  </si>
  <si>
    <t>Interest Received - Bank</t>
  </si>
  <si>
    <t>2800/000</t>
  </si>
  <si>
    <t>Pft/Loss on Sale of Non Current Assets</t>
  </si>
  <si>
    <t>2850/000</t>
  </si>
  <si>
    <t>Bad Debts Recovered</t>
  </si>
  <si>
    <t>2900/000</t>
  </si>
  <si>
    <t>Sundry Income</t>
  </si>
  <si>
    <t>2950/000</t>
  </si>
  <si>
    <t>Management Fee - Bayport Man</t>
  </si>
  <si>
    <t>3000/000</t>
  </si>
  <si>
    <t>Audit &amp; Accounting Fees</t>
  </si>
  <si>
    <t>3050/000</t>
  </si>
  <si>
    <t>Accomodation</t>
  </si>
  <si>
    <t>3150/000</t>
  </si>
  <si>
    <t>Bad Debts</t>
  </si>
  <si>
    <t>3250/000</t>
  </si>
  <si>
    <t>Cleaning</t>
  </si>
  <si>
    <t>3290/000</t>
  </si>
  <si>
    <t>Collection Fees</t>
  </si>
  <si>
    <t>3300/000</t>
  </si>
  <si>
    <t>Computer Expenses</t>
  </si>
  <si>
    <t>3340/000</t>
  </si>
  <si>
    <t>Conference &amp; Venue</t>
  </si>
  <si>
    <t>3350/000</t>
  </si>
  <si>
    <t>Consulting Fees</t>
  </si>
  <si>
    <t>3400/000</t>
  </si>
  <si>
    <t>Courier &amp; Postage</t>
  </si>
  <si>
    <t>3450/000</t>
  </si>
  <si>
    <t>3500/000</t>
  </si>
  <si>
    <t>Directors Fees</t>
  </si>
  <si>
    <t>3550/000</t>
  </si>
  <si>
    <t>Discount Allowed for Cash</t>
  </si>
  <si>
    <t>3600/000</t>
  </si>
  <si>
    <t>3650/000</t>
  </si>
  <si>
    <t>Electricity &amp; Water</t>
  </si>
  <si>
    <t>3700/000</t>
  </si>
  <si>
    <t>Entertainment Expenses</t>
  </si>
  <si>
    <t>3750/000</t>
  </si>
  <si>
    <t>Finance Charges</t>
  </si>
  <si>
    <t>3800/000</t>
  </si>
  <si>
    <t>General Expenses</t>
  </si>
  <si>
    <t>3850/000</t>
  </si>
  <si>
    <t>3900/000</t>
  </si>
  <si>
    <t>Interest Paid</t>
  </si>
  <si>
    <t>3950/000</t>
  </si>
  <si>
    <t>Leasing Charges</t>
  </si>
  <si>
    <t>4000/000</t>
  </si>
  <si>
    <t>Legal Fees</t>
  </si>
  <si>
    <t>4050/000</t>
  </si>
  <si>
    <t>Licences</t>
  </si>
  <si>
    <t>4055/000</t>
  </si>
  <si>
    <t>Management Fees</t>
  </si>
  <si>
    <t>4060/000</t>
  </si>
  <si>
    <t>Marketing Costs</t>
  </si>
  <si>
    <t>4150/000</t>
  </si>
  <si>
    <t>Motor Vehicle Expenses</t>
  </si>
  <si>
    <t>4160/000</t>
  </si>
  <si>
    <t>Medical Expenses</t>
  </si>
  <si>
    <t>4170/000</t>
  </si>
  <si>
    <t>New Business Development</t>
  </si>
  <si>
    <t>4205/000</t>
  </si>
  <si>
    <t>Pft/Loss on Fixed Assets</t>
  </si>
  <si>
    <t>4210/000</t>
  </si>
  <si>
    <t>Pft/Loss on foreign exchange</t>
  </si>
  <si>
    <t>4230/000</t>
  </si>
  <si>
    <t>4300/000</t>
  </si>
  <si>
    <t>Rent Paid</t>
  </si>
  <si>
    <t>4320/000</t>
  </si>
  <si>
    <t>Rellocation Expenses</t>
  </si>
  <si>
    <t>4350/000</t>
  </si>
  <si>
    <t>Repairs &amp; Maintenance</t>
  </si>
  <si>
    <t>4360/000</t>
  </si>
  <si>
    <t>Recruitment fee</t>
  </si>
  <si>
    <t>4500/000</t>
  </si>
  <si>
    <t>Staff Welfare</t>
  </si>
  <si>
    <t>4550/000</t>
  </si>
  <si>
    <t>Subscriptions</t>
  </si>
  <si>
    <t>4560/000</t>
  </si>
  <si>
    <t>Subsistance Allowance</t>
  </si>
  <si>
    <t>4650/000</t>
  </si>
  <si>
    <t>Travel - Local</t>
  </si>
  <si>
    <t>4660/000</t>
  </si>
  <si>
    <t>Travel - International &amp; Taxes</t>
  </si>
  <si>
    <t>5100/000</t>
  </si>
  <si>
    <t>Share Capital</t>
  </si>
  <si>
    <t>5200/000</t>
  </si>
  <si>
    <t>Retained Income / (Accumulated Loss)</t>
  </si>
  <si>
    <t>5400/000</t>
  </si>
  <si>
    <t>Non Distributable Reserve</t>
  </si>
  <si>
    <t>5500/000</t>
  </si>
  <si>
    <t>Barclays Finance Leases</t>
  </si>
  <si>
    <t>5700/000</t>
  </si>
  <si>
    <t>Barclays Loan Account</t>
  </si>
  <si>
    <t>6100/000</t>
  </si>
  <si>
    <t>Land &amp; Buildings - Net Value</t>
  </si>
  <si>
    <t>6200/000</t>
  </si>
  <si>
    <t>Motor Vehicles - Net Value</t>
  </si>
  <si>
    <t>6250/000</t>
  </si>
  <si>
    <t>Computer Equipment - Net Value</t>
  </si>
  <si>
    <t>6300/000</t>
  </si>
  <si>
    <t>Office Equipment - Net Value</t>
  </si>
  <si>
    <t>6350/000</t>
  </si>
  <si>
    <t>Furniture &amp; Fittings - Net value</t>
  </si>
  <si>
    <t>7100/000</t>
  </si>
  <si>
    <t>Investments</t>
  </si>
  <si>
    <t>7150/000</t>
  </si>
  <si>
    <t>Bayport Management Loan A/c</t>
  </si>
  <si>
    <t>7200/000</t>
  </si>
  <si>
    <t>Actvest Loan A/c</t>
  </si>
  <si>
    <t>7300/000</t>
  </si>
  <si>
    <t>BFS New Loan A/c</t>
  </si>
  <si>
    <t>7350/000</t>
  </si>
  <si>
    <t>Ghanafin Loan A/c</t>
  </si>
  <si>
    <t>7400/000</t>
  </si>
  <si>
    <t>MUZ Loan A/c</t>
  </si>
  <si>
    <t>7410/000</t>
  </si>
  <si>
    <t>Employer Broker Loan A/c</t>
  </si>
  <si>
    <t>7420/000</t>
  </si>
  <si>
    <t>Stuart Stone Trading Loan A/c</t>
  </si>
  <si>
    <t>7430/000</t>
  </si>
  <si>
    <t>G Kurland Loan A/c</t>
  </si>
  <si>
    <t>7440/000</t>
  </si>
  <si>
    <t>Local Partner Profit Share A/c</t>
  </si>
  <si>
    <t>8000/000</t>
  </si>
  <si>
    <t>Customer Control Account</t>
  </si>
  <si>
    <t>8020/000</t>
  </si>
  <si>
    <t>Accounts Receivable</t>
  </si>
  <si>
    <t>8100/000</t>
  </si>
  <si>
    <t>Debtors Book</t>
  </si>
  <si>
    <t>8110/000</t>
  </si>
  <si>
    <t>Provision for Bad Debts</t>
  </si>
  <si>
    <t>8200/000</t>
  </si>
  <si>
    <t>Prepaid Expenses</t>
  </si>
  <si>
    <t>8210/000</t>
  </si>
  <si>
    <t>Computer Consumables-Stock</t>
  </si>
  <si>
    <t>8300/000</t>
  </si>
  <si>
    <t>Sundry Debtors</t>
  </si>
  <si>
    <t>8400/000</t>
  </si>
  <si>
    <t>Barclays - Kwacha</t>
  </si>
  <si>
    <t>8410/000</t>
  </si>
  <si>
    <t>Barclays - Dollar</t>
  </si>
  <si>
    <t>8420/000</t>
  </si>
  <si>
    <t>Citibank - Kwacha</t>
  </si>
  <si>
    <t>8430/000</t>
  </si>
  <si>
    <t>Citibank - Dollar</t>
  </si>
  <si>
    <t>8440/000</t>
  </si>
  <si>
    <t>Citibank - Cash Collateral</t>
  </si>
  <si>
    <t>8450/000</t>
  </si>
  <si>
    <t>Petty Cash</t>
  </si>
  <si>
    <t>8460/000</t>
  </si>
  <si>
    <t>Citibank Zamfin</t>
  </si>
  <si>
    <t>8470/000</t>
  </si>
  <si>
    <t>Standard Chartered</t>
  </si>
  <si>
    <t>8490/000</t>
  </si>
  <si>
    <t>Stanbic - US$ Collateral</t>
  </si>
  <si>
    <t>8491/000</t>
  </si>
  <si>
    <t>8492/000</t>
  </si>
  <si>
    <t>Zanaco Kwacha</t>
  </si>
  <si>
    <t>8493/000</t>
  </si>
  <si>
    <t>Stanchart ZMK Collateral Account</t>
  </si>
  <si>
    <t>8494/000</t>
  </si>
  <si>
    <t>Barclays US Dollar Loan Account</t>
  </si>
  <si>
    <t>8495/000</t>
  </si>
  <si>
    <t>8496/000</t>
  </si>
  <si>
    <t>Citibank salaries account</t>
  </si>
  <si>
    <t>8497/000</t>
  </si>
  <si>
    <t>8498/000</t>
  </si>
  <si>
    <t>Barclays Dollar Collateral a/c</t>
  </si>
  <si>
    <t>9000/000</t>
  </si>
  <si>
    <t>Supplier Control Account</t>
  </si>
  <si>
    <t>9100/000</t>
  </si>
  <si>
    <t>Accruals</t>
  </si>
  <si>
    <t>9200/000</t>
  </si>
  <si>
    <t>PAYE Accruals</t>
  </si>
  <si>
    <t>9300/000</t>
  </si>
  <si>
    <t>Administration Fees</t>
  </si>
  <si>
    <t>9400/000</t>
  </si>
  <si>
    <t>Provision for Future Expenses</t>
  </si>
  <si>
    <t>9500/000</t>
  </si>
  <si>
    <t>VAT Control Account</t>
  </si>
  <si>
    <t>9520/000</t>
  </si>
  <si>
    <t>Deferred Tax</t>
  </si>
  <si>
    <t>9530/000</t>
  </si>
  <si>
    <t>Witholding Tax</t>
  </si>
  <si>
    <t>9540/000</t>
  </si>
  <si>
    <t>9900/000</t>
  </si>
  <si>
    <t>Inter-Bank suspense account</t>
  </si>
  <si>
    <t>9990/000</t>
  </si>
  <si>
    <t>Opening Balance / Suspense Account</t>
  </si>
  <si>
    <t>9999/000</t>
  </si>
  <si>
    <t>Clearing Account</t>
  </si>
  <si>
    <t>Deferred tax asset</t>
  </si>
  <si>
    <t>Share capital</t>
  </si>
  <si>
    <t>Market risks -  sensitivity analysis</t>
  </si>
  <si>
    <t>Scenario 1</t>
  </si>
  <si>
    <t>The gearing ratio at the year end was as follows:</t>
  </si>
  <si>
    <t>The industry average is 200%.</t>
  </si>
  <si>
    <t xml:space="preserve">Less: amounts falling due within one year  </t>
  </si>
  <si>
    <t>The following table details the Company's remaining contractual maturity for it's non-derivate financial assets and liabilities. The table below have been drawn up based on the undiscounted contractual maturities of the financial assets and liabilities.</t>
  </si>
  <si>
    <t>f</t>
  </si>
  <si>
    <t>AVE RATE</t>
  </si>
  <si>
    <t>CLOSING MONTH</t>
  </si>
  <si>
    <t>JOURNALS</t>
  </si>
  <si>
    <t>CLOSING BALANCE</t>
  </si>
  <si>
    <t>E.R</t>
  </si>
  <si>
    <t>Closing Balance US$</t>
  </si>
  <si>
    <t>Dollar</t>
  </si>
  <si>
    <t>Month</t>
  </si>
  <si>
    <t>ME RATE</t>
  </si>
  <si>
    <t>`</t>
  </si>
  <si>
    <t>8150/000</t>
  </si>
  <si>
    <t>Staff Debtors</t>
  </si>
  <si>
    <t>Cash Float Control</t>
  </si>
  <si>
    <t>8250/000</t>
  </si>
  <si>
    <t>8495/004</t>
  </si>
  <si>
    <t>8495/003</t>
  </si>
  <si>
    <t>8495/002</t>
  </si>
  <si>
    <t>8495/001</t>
  </si>
  <si>
    <t>Citibank Kwacha Collateral</t>
  </si>
  <si>
    <t>Standchart loan Account</t>
  </si>
  <si>
    <t>Other Short Term Liabilities</t>
  </si>
  <si>
    <t>BAYPORT INTEREST</t>
  </si>
  <si>
    <t>SUBORDINATED LOAN</t>
  </si>
  <si>
    <t>PERMANENT JNL</t>
  </si>
  <si>
    <t>Initial balance</t>
  </si>
  <si>
    <t>Final Balance</t>
  </si>
  <si>
    <t>Dr</t>
  </si>
  <si>
    <t>Cr</t>
  </si>
  <si>
    <t>Grand Total</t>
  </si>
  <si>
    <t>SCHEDULE 2</t>
  </si>
  <si>
    <t>PORTFOLIO CLASSIFICATION AND PROVISIONS</t>
  </si>
  <si>
    <t xml:space="preserve"> </t>
  </si>
  <si>
    <t>Reporting institution:</t>
  </si>
  <si>
    <t xml:space="preserve"> BAYPORT FINANCIAL SERVICES</t>
  </si>
  <si>
    <t xml:space="preserve">Reporting date: </t>
  </si>
  <si>
    <t xml:space="preserve"> K' millions  (A)</t>
  </si>
  <si>
    <t>PROVISION %   (B)</t>
  </si>
  <si>
    <t>PROVISION      (C) = (A)*(B)</t>
  </si>
  <si>
    <t xml:space="preserve">NET LOANS (D) = (A) - (C) </t>
  </si>
  <si>
    <t>Current Portfolio</t>
  </si>
  <si>
    <t>Current Rescheduled Loan Portfolio</t>
  </si>
  <si>
    <t>Portfolio Past-Due 1 - 29 Days</t>
  </si>
  <si>
    <t>Portfolio Past-Due 30 - 59 Days</t>
  </si>
  <si>
    <t>Portfolio Past-Due 60 - 89 Days</t>
  </si>
  <si>
    <t xml:space="preserve">Portfolio Past-Due 90 - 119 Days </t>
  </si>
  <si>
    <t>Portfolio Past-Due ≥ 120 Days</t>
  </si>
  <si>
    <t>Portfolio in Legal Recovery</t>
  </si>
  <si>
    <t>Rescheduled Portfolio Past-Due 1 - 29 Days</t>
  </si>
  <si>
    <t>Rescheduled Portfolio Past-Due 30 - 59 Days</t>
  </si>
  <si>
    <t>Rescheduled Portfolio Past-Due 60 - 89 Days</t>
  </si>
  <si>
    <t>Rescheduled Portfolio Past-Due 90 - 119 Days</t>
  </si>
  <si>
    <t>Rescheduled Portfolio Past-Due ≥ 120 Days</t>
  </si>
  <si>
    <t>Rescheduled Portfolio in Legal Recovery</t>
  </si>
  <si>
    <t>TOTAL PORTFOLIO AND PROVISIONS</t>
  </si>
  <si>
    <t>Difference adjusted for in the General reserve</t>
  </si>
  <si>
    <t>Row Labels</t>
  </si>
  <si>
    <t>Sum of RecognisedDebtorBalance</t>
  </si>
  <si>
    <t>(blank)</t>
  </si>
  <si>
    <t>Loan impairment charges</t>
  </si>
  <si>
    <t>18.</t>
  </si>
  <si>
    <t>19.</t>
  </si>
  <si>
    <t>20.</t>
  </si>
  <si>
    <t>21.</t>
  </si>
  <si>
    <t>25.</t>
  </si>
  <si>
    <t>DR</t>
  </si>
  <si>
    <t>CR</t>
  </si>
  <si>
    <t>ADJUSTMENTS</t>
  </si>
  <si>
    <t>REVISED YTD</t>
  </si>
  <si>
    <t>Income</t>
  </si>
  <si>
    <t>Expense</t>
  </si>
  <si>
    <t>Net gain (loss) for the period</t>
  </si>
  <si>
    <t>FX gains/loss re BML</t>
  </si>
  <si>
    <t>FX gains/loss re Actvest</t>
  </si>
  <si>
    <t>Net (loss)/gain on inter-company transactions</t>
  </si>
  <si>
    <t>J</t>
  </si>
  <si>
    <t>JOURNAL BATCH</t>
  </si>
  <si>
    <t>Date:</t>
  </si>
  <si>
    <t>Company:</t>
  </si>
  <si>
    <t>Zambia</t>
  </si>
  <si>
    <t>Period:</t>
  </si>
  <si>
    <t>12</t>
  </si>
  <si>
    <t>Sub</t>
  </si>
  <si>
    <t>Journal by:</t>
  </si>
  <si>
    <t>Approved by:</t>
  </si>
  <si>
    <t xml:space="preserve">January </t>
  </si>
  <si>
    <t>Forex gains and lossess - January 2012 to December 2012</t>
  </si>
  <si>
    <t>For the year ended 31 December 2012</t>
  </si>
  <si>
    <t>Utilities</t>
  </si>
  <si>
    <t>Rent</t>
  </si>
  <si>
    <t>Marketing costs</t>
  </si>
  <si>
    <t>Taxes other than on income</t>
  </si>
  <si>
    <t>Acquisitions</t>
  </si>
  <si>
    <t>Amortisation</t>
  </si>
  <si>
    <t>Amortisation for the year</t>
  </si>
  <si>
    <t>Customer Deposits</t>
  </si>
  <si>
    <t>24.</t>
  </si>
  <si>
    <t>Available for Sale Financial Assets</t>
  </si>
  <si>
    <t>FINCA ZAMBIA LIMITED</t>
  </si>
  <si>
    <t>Carrying amounts</t>
  </si>
  <si>
    <t xml:space="preserve">variable </t>
  </si>
  <si>
    <t>exchange rates</t>
  </si>
  <si>
    <t>Compensation of key Management personnel</t>
  </si>
  <si>
    <t xml:space="preserve"> average </t>
  </si>
  <si>
    <t>Weighted</t>
  </si>
  <si>
    <t xml:space="preserve"> interest rate</t>
  </si>
  <si>
    <t>effective</t>
  </si>
  <si>
    <t xml:space="preserve"> on </t>
  </si>
  <si>
    <t>Payable</t>
  </si>
  <si>
    <t>For the year ended 31 December 2012 (Continued)</t>
  </si>
  <si>
    <t>For the year ended 31 December 2011</t>
  </si>
  <si>
    <t>Audit fees</t>
  </si>
  <si>
    <t>Communication (telephones, Internet and postage)</t>
  </si>
  <si>
    <t>Travelling and accommodation</t>
  </si>
  <si>
    <t>Consumables and office supplies</t>
  </si>
  <si>
    <t>Staff training</t>
  </si>
  <si>
    <t>Equipment rental</t>
  </si>
  <si>
    <t xml:space="preserve">  </t>
  </si>
  <si>
    <t xml:space="preserve">APPENDIX III - LIQUIDITY RISK </t>
  </si>
  <si>
    <t>APPENDIX III - LIQUIDITY RISK (Continued)</t>
  </si>
  <si>
    <t>Other receivables</t>
  </si>
  <si>
    <t>BORROWINGS</t>
  </si>
  <si>
    <t>The Company’s objectives when managing capital, which is a broader concept than the ‘equity’ on the face of statement of financial position, are:</t>
  </si>
  <si>
    <t>To comply with the capital requirements set by the Bank of Zambia;</t>
  </si>
  <si>
    <t>To safeguard the Company’s ability to continue as a going concern so that it can continue to provide returns for shareholders and benefits for other stakeholders; and</t>
  </si>
  <si>
    <t>To maintain a strong capital base to support the development of its business.</t>
  </si>
  <si>
    <t xml:space="preserve">1 - 5 </t>
  </si>
  <si>
    <t xml:space="preserve">5 + </t>
  </si>
  <si>
    <t>to 1 year</t>
  </si>
  <si>
    <t>years</t>
  </si>
  <si>
    <t>Net liquidity gap</t>
  </si>
  <si>
    <t>Borrowings</t>
  </si>
  <si>
    <t>The objective of the Company's market risk management is to manage and control market risk exposures in order to optimize return on risk while maintaining a market profile consistent with the Company's profile.</t>
  </si>
  <si>
    <t>Market risk is the risk that movements in market risk factors including foreign exchange rates and interest rates will reduce the entity's income or capital.</t>
  </si>
  <si>
    <t>A principal part of the entity's management of market risk is to monitor the sensitivity of projected net interest income under varying interest rate scenarios and the sensitivity of future earnings and capital to varying foreign exchange rates. The entity aims through its management of market risk, to mitigate the impact of  prospective interest rate movements and foreign exchange fluctuations which could reduce future earnings and capital.</t>
  </si>
  <si>
    <t>a) Interest rate risks - increase/decrease of 10% in net interest margin</t>
  </si>
  <si>
    <t>The interest Rate Risks sensitivity analysis is based on the assumption that changes in the market interest  rates affect the interest income or expenses of variable interest financial instruments:</t>
  </si>
  <si>
    <t xml:space="preserve">10% increase in </t>
  </si>
  <si>
    <t xml:space="preserve">10% decrease in </t>
  </si>
  <si>
    <t>interest rates</t>
  </si>
  <si>
    <t>Credit risk management</t>
  </si>
  <si>
    <t>Credit risk management refers to the risk that a counterparty will default on its contractual obligations resulting in financial loss to the Company. The Company is exposed to credit risk in respect of loans and receivables. Credit risk on loans and receivables is high, however, all loans are monitored on a monthly basis and non performing loans are identified. The monthly repayments are monitored on an ongoing basis and any none compliance is immediately flagged by management and adequate provision made against non performing loans. The credit risk on liquid funds is limited because the counterparties are first-class banks.</t>
  </si>
  <si>
    <t>CHARTERED ACCOUNTANTS</t>
  </si>
  <si>
    <t xml:space="preserve">DATE: </t>
  </si>
  <si>
    <t>Held to maturity investments</t>
  </si>
  <si>
    <t>Late payment fees</t>
  </si>
  <si>
    <t>Legal professional fees</t>
  </si>
  <si>
    <t>Other professional fees</t>
  </si>
  <si>
    <t>Grant income</t>
  </si>
  <si>
    <t>Licensing fees, meeting and software</t>
  </si>
  <si>
    <t>Net foreign exchange losses</t>
  </si>
  <si>
    <t>Our responsibility is to express an opinion on these financial statements based on our audit. We conducted our audit in accordance with International Standards on Auditing.  Those Standards require that we comply with ethical requirements and plan and perform the audit to obtain reasonable assurance about whether the financial statements are free from material misstatement.</t>
  </si>
  <si>
    <t>RELATED PARTY TRANSACTIONS</t>
  </si>
  <si>
    <t>APPENDIX I - DETAILED INCOME STATEMENT</t>
  </si>
  <si>
    <t>The Companies Act, 1994 (as amended) requires that in carrying out our audit, we consider and report to you on the following matter: we confirm that, in our opinion, the accounting and other records and registers have been properly kept in accordance with the Act.</t>
  </si>
  <si>
    <t xml:space="preserve">FINCA ZAMBIA                            </t>
  </si>
  <si>
    <t>TRIAL BALANCE 12/2013 - 12/2013</t>
  </si>
  <si>
    <t>Adjustments</t>
  </si>
  <si>
    <t>ACCOUNT</t>
  </si>
  <si>
    <t>DESCRIPTION</t>
  </si>
  <si>
    <t>FINAL BALANCE</t>
  </si>
  <si>
    <t xml:space="preserve">ASSETS                                  </t>
  </si>
  <si>
    <t xml:space="preserve"> 1- 1</t>
  </si>
  <si>
    <t>CURRENT ASSETS/CASH ON HAND IN LOCAL CUC</t>
  </si>
  <si>
    <t xml:space="preserve"> 1- 1- 1</t>
  </si>
  <si>
    <t xml:space="preserve">CASH IN LOCAL CURRENCY                  </t>
  </si>
  <si>
    <t xml:space="preserve"> 1- 1- 1-   1</t>
  </si>
  <si>
    <t xml:space="preserve">PETTY CASH - HEAD OFFICE                </t>
  </si>
  <si>
    <t xml:space="preserve"> 1- 1- 1-   2</t>
  </si>
  <si>
    <t xml:space="preserve">CASH ON HAND                            </t>
  </si>
  <si>
    <t xml:space="preserve"> 1- 1- 1-   3</t>
  </si>
  <si>
    <t xml:space="preserve">PETTY CASH-KABWE BRANCH                 </t>
  </si>
  <si>
    <t xml:space="preserve"> 1- 1- 1-   4</t>
  </si>
  <si>
    <t xml:space="preserve">PETTY CASH-CHOMA BRANCH                 </t>
  </si>
  <si>
    <t xml:space="preserve"> 1- 1- 1-   5</t>
  </si>
  <si>
    <t xml:space="preserve">PETTY CASH-KITWE BRANCH                 </t>
  </si>
  <si>
    <t xml:space="preserve"> 1- 1- 1-   6</t>
  </si>
  <si>
    <t xml:space="preserve">PETTY CASH-MATERO BRANCH                </t>
  </si>
  <si>
    <t xml:space="preserve"> 1- 1- 1-   7</t>
  </si>
  <si>
    <t xml:space="preserve">PETTY CASH-NDOLA BRANCH                 </t>
  </si>
  <si>
    <t xml:space="preserve"> 1- 1- 1-   9</t>
  </si>
  <si>
    <t xml:space="preserve">SOWETO PETTY CASH                       </t>
  </si>
  <si>
    <t xml:space="preserve"> 1- 1- 1-  10</t>
  </si>
  <si>
    <t xml:space="preserve">PETTY CASH - LUSAKA BRANCH              </t>
  </si>
  <si>
    <t xml:space="preserve"> 1- 1- 1-  11</t>
  </si>
  <si>
    <t xml:space="preserve">PETTY CASH CHIPATA                      </t>
  </si>
  <si>
    <t xml:space="preserve"> 1- 1- 1-  12</t>
  </si>
  <si>
    <t xml:space="preserve">PETTY CASH - CHINGOLA BRANCH            </t>
  </si>
  <si>
    <t xml:space="preserve"> 1- 1- 1-  13</t>
  </si>
  <si>
    <t xml:space="preserve">PETTY CASH - CHAWAMA BRANCH             </t>
  </si>
  <si>
    <t xml:space="preserve"> 1- 1- 1-  14</t>
  </si>
  <si>
    <t xml:space="preserve">PETTY CASH - MAZABUKA                   </t>
  </si>
  <si>
    <t xml:space="preserve"> 1- 1- 2</t>
  </si>
  <si>
    <t xml:space="preserve">GENERAL CASH IN LOCAL CURRENCY          </t>
  </si>
  <si>
    <t xml:space="preserve"> 1- 1- 2-   1</t>
  </si>
  <si>
    <t xml:space="preserve">CASH IN VAULT - LUSAKA                  </t>
  </si>
  <si>
    <t xml:space="preserve"> 1- 1- 2-   2</t>
  </si>
  <si>
    <t xml:space="preserve">CASH IN VAULT - KABWE                   </t>
  </si>
  <si>
    <t xml:space="preserve"> 1- 1- 2-   4</t>
  </si>
  <si>
    <t xml:space="preserve">CASH IN VAULT - KITWE                   </t>
  </si>
  <si>
    <t xml:space="preserve"> 1- 1- 2-   5</t>
  </si>
  <si>
    <t xml:space="preserve">CASH IN VAULT - NDOLA                   </t>
  </si>
  <si>
    <t xml:space="preserve"> 1- 1- 2-   6</t>
  </si>
  <si>
    <t xml:space="preserve">CASH IN VAULT - MATERO                  </t>
  </si>
  <si>
    <t xml:space="preserve"> 1- 1- 2-   7</t>
  </si>
  <si>
    <t xml:space="preserve">CASH IN VAULT - SOWETO                  </t>
  </si>
  <si>
    <t xml:space="preserve"> 1- 1- 2-   8</t>
  </si>
  <si>
    <t xml:space="preserve">CASH IN VAULT - CHIPATA                 </t>
  </si>
  <si>
    <t xml:space="preserve"> 1- 1- 2-   9</t>
  </si>
  <si>
    <t xml:space="preserve">CASH IN VAULT - CHINGOLA BRANCH         </t>
  </si>
  <si>
    <t xml:space="preserve"> 1- 1- 2-  10</t>
  </si>
  <si>
    <t xml:space="preserve">CASH IN VAULT - CHAWAMA BRANCH          </t>
  </si>
  <si>
    <t xml:space="preserve"> 1- 1- 2-  11</t>
  </si>
  <si>
    <t xml:space="preserve">CASH IN VAULT - MAZABUKA                </t>
  </si>
  <si>
    <t xml:space="preserve"> 1- 1- 2-  12</t>
  </si>
  <si>
    <t xml:space="preserve">CASH IN VAULT - KAFUE                   </t>
  </si>
  <si>
    <t xml:space="preserve"> 1- 1- 3</t>
  </si>
  <si>
    <t xml:space="preserve">ZANACO-FINCA PREMIUM ACCOUNT CHINGOLA   </t>
  </si>
  <si>
    <t xml:space="preserve"> 1- 1- 3-   1</t>
  </si>
  <si>
    <t xml:space="preserve">NORTHEND BRANCH SCB 0150422330600 (1)   </t>
  </si>
  <si>
    <t xml:space="preserve"> 1- 1- 3-   2</t>
  </si>
  <si>
    <t xml:space="preserve">ZANACO KABWE 0460510000006831(2)        </t>
  </si>
  <si>
    <t xml:space="preserve"> 1- 1- 3-   5</t>
  </si>
  <si>
    <t xml:space="preserve">KAPIRI MPOSHI ZNCB 0610510000001474 (2) </t>
  </si>
  <si>
    <t xml:space="preserve"> 1- 1- 3-   6</t>
  </si>
  <si>
    <t xml:space="preserve">CHOMA BRANCH ZNCB 059051000003262 (3)   </t>
  </si>
  <si>
    <t xml:space="preserve"> 1- 1- 3-   7</t>
  </si>
  <si>
    <t xml:space="preserve">MONZE BRANCH ZNCB 057051000003721 (3)   </t>
  </si>
  <si>
    <t xml:space="preserve"> 1- 1- 3-   8</t>
  </si>
  <si>
    <t xml:space="preserve">CENTRE BRANCH ZNCB 0520210000017022 (1) </t>
  </si>
  <si>
    <t xml:space="preserve"> 1- 1- 3-   9</t>
  </si>
  <si>
    <t xml:space="preserve">CENTRE BRANCH ZNCB 05205100016308 (1)   </t>
  </si>
  <si>
    <t xml:space="preserve"> 1- 1- 3-  10</t>
  </si>
  <si>
    <t xml:space="preserve">MAZABUKA ZNCB 0470510000003044 (3)      </t>
  </si>
  <si>
    <t xml:space="preserve"> 1- 1- 3-  11</t>
  </si>
  <si>
    <t xml:space="preserve">FINANCE BANK KALOMO 0101643018 (3)      </t>
  </si>
  <si>
    <t xml:space="preserve"> 1- 1- 3-  13</t>
  </si>
  <si>
    <t xml:space="preserve">ZANACO KAFUE 0580510000003462 (1)       </t>
  </si>
  <si>
    <t xml:space="preserve"> 1- 1- 3-  15</t>
  </si>
  <si>
    <t xml:space="preserve">ZANACO NDOLA- MAIN ACCOUNT              </t>
  </si>
  <si>
    <t xml:space="preserve"> 1- 1- 3-  19</t>
  </si>
  <si>
    <t xml:space="preserve">ZANACO MUFULIRA-MAIN ACCOUNT            </t>
  </si>
  <si>
    <t xml:space="preserve"> 1- 1- 3-  20</t>
  </si>
  <si>
    <t xml:space="preserve">ZANACO MUFULIRA-PREMIUM ACCOUNT         </t>
  </si>
  <si>
    <t xml:space="preserve"> 1- 1- 3-  21</t>
  </si>
  <si>
    <t xml:space="preserve">ZANACO LUANSHYA-MAIN ACCOUNT            </t>
  </si>
  <si>
    <t xml:space="preserve"> 1- 1- 3-  23</t>
  </si>
  <si>
    <t xml:space="preserve">ZANACO CHINGOLA-MAIN ACCOUNT            </t>
  </si>
  <si>
    <t xml:space="preserve"> 1- 1- 3-  35</t>
  </si>
  <si>
    <t xml:space="preserve">ZNCB AVONDALE LSK LOAN COLLECTION       </t>
  </si>
  <si>
    <t xml:space="preserve"> 1- 1- 3-  42</t>
  </si>
  <si>
    <t xml:space="preserve">MANDA HILL RECAP -078051-6560           </t>
  </si>
  <si>
    <t xml:space="preserve"> 1- 1- 3-  43</t>
  </si>
  <si>
    <t xml:space="preserve">CHINGOLA-FINCA MAIN-049051-8760         </t>
  </si>
  <si>
    <t xml:space="preserve"> 1- 1- 4</t>
  </si>
  <si>
    <t xml:space="preserve">OPERATION ACCTS IN LOCAL CURRENCY       </t>
  </si>
  <si>
    <t xml:space="preserve"> 1- 1- 4-   1</t>
  </si>
  <si>
    <t xml:space="preserve">MAIN BRANCH SCB 0100111424700 (99)      </t>
  </si>
  <si>
    <t xml:space="preserve"> 1- 1- 4-   2</t>
  </si>
  <si>
    <t xml:space="preserve">STANBIC MAIN BRANCH                     </t>
  </si>
  <si>
    <t xml:space="preserve"> 1- 1- 5</t>
  </si>
  <si>
    <t xml:space="preserve">RESTRICTED ACCOUNTS IN LOCAL CURRENCY   </t>
  </si>
  <si>
    <t xml:space="preserve"> 1- 1- 5-   1</t>
  </si>
  <si>
    <t xml:space="preserve">ZANACO CENTRE INVESTMENT ACCOUNT        </t>
  </si>
  <si>
    <t xml:space="preserve"> 1- 1- 5-   2</t>
  </si>
  <si>
    <t xml:space="preserve">ZANACO KITWE INVESTMENT ACCOUNT         </t>
  </si>
  <si>
    <t xml:space="preserve"> 1- 1- 6</t>
  </si>
  <si>
    <t xml:space="preserve">TRANSITORY ACCTS IN LOCAL CURRENCY      </t>
  </si>
  <si>
    <t xml:space="preserve"> 1- 1- 6-   1</t>
  </si>
  <si>
    <t>CASH LOAN REFUND BANK TRANSITORY ACCOUNT</t>
  </si>
  <si>
    <t xml:space="preserve"> 1- 1- 6-  33</t>
  </si>
  <si>
    <t xml:space="preserve">AUTO TRANSITORY ACCOUNT - BANKS         </t>
  </si>
  <si>
    <t xml:space="preserve"> 1- 1- 6-  99</t>
  </si>
  <si>
    <t xml:space="preserve">BANK TRANSITORY ACCOUNT                 </t>
  </si>
  <si>
    <t xml:space="preserve"> 1- 1- 6- 100</t>
  </si>
  <si>
    <t xml:space="preserve">CASH LOAN REFUND TRANSITORY ACCOUNT     </t>
  </si>
  <si>
    <t xml:space="preserve"> 1- 2</t>
  </si>
  <si>
    <t xml:space="preserve">CASH IN HAND IN FOREIGN CURRENCY        </t>
  </si>
  <si>
    <t xml:space="preserve"> 1- 2- 4</t>
  </si>
  <si>
    <t xml:space="preserve">OPERATION ACCTS IN FOREIGN CURRENCY     </t>
  </si>
  <si>
    <t xml:space="preserve"> 1- 2- 4-   1</t>
  </si>
  <si>
    <t xml:space="preserve">MAIN BRANCH SCB 8700211424700 (99)      </t>
  </si>
  <si>
    <t xml:space="preserve"> 1- 2- 4-   2</t>
  </si>
  <si>
    <t xml:space="preserve">SCB MAIN BRANCH EURO                    </t>
  </si>
  <si>
    <t xml:space="preserve"> 1- 2- 4-   3</t>
  </si>
  <si>
    <t xml:space="preserve">STANBIC MAIN BRANCH US DOLLAR           </t>
  </si>
  <si>
    <t xml:space="preserve"> 1- 3</t>
  </si>
  <si>
    <t xml:space="preserve">TEMPORARY MONETARY INVES-LOCAL CURRENCY </t>
  </si>
  <si>
    <t xml:space="preserve"> 1- 3- 1</t>
  </si>
  <si>
    <t xml:space="preserve">TEMP MONETARY INVES IN COMMERCIAL BANKS </t>
  </si>
  <si>
    <t xml:space="preserve"> 1- 3- 1-   4</t>
  </si>
  <si>
    <t xml:space="preserve">INVESTMENT IN TREASURY BILLS            </t>
  </si>
  <si>
    <t xml:space="preserve"> 1- 5</t>
  </si>
  <si>
    <t xml:space="preserve">FINANCIAL ASSETS                        </t>
  </si>
  <si>
    <t xml:space="preserve"> 1- 5- 1</t>
  </si>
  <si>
    <t xml:space="preserve">FINANCIAL ASSETS AT FAIR VALUE          </t>
  </si>
  <si>
    <t xml:space="preserve"> 1- 5- 1-   1</t>
  </si>
  <si>
    <t xml:space="preserve">MFX INTEREST RATE SWAP -2/2013          </t>
  </si>
  <si>
    <t xml:space="preserve"> 1- 5- 1-   2</t>
  </si>
  <si>
    <t xml:space="preserve">CASH INTEREST ON SWAP                   </t>
  </si>
  <si>
    <t xml:space="preserve"> 1- 7</t>
  </si>
  <si>
    <t>SHORT TERM LOANS RECEIVABLE LOCAL CURREN</t>
  </si>
  <si>
    <t xml:space="preserve"> 1- 7- 1</t>
  </si>
  <si>
    <t>SHORT TERM LOANS REC/BLE CURRENT PORTFOL</t>
  </si>
  <si>
    <t xml:space="preserve"> 1- 7- 1-   1</t>
  </si>
  <si>
    <t xml:space="preserve">PORTFOLIO VILLAGE BANKING               </t>
  </si>
  <si>
    <t xml:space="preserve"> 1- 7- 1-   3</t>
  </si>
  <si>
    <t xml:space="preserve">PORTFOLIO BUSINESS LOAN                 </t>
  </si>
  <si>
    <t xml:space="preserve"> 1- 7- 1-   4</t>
  </si>
  <si>
    <t xml:space="preserve">PORTFOLIO STAFF LOAN                    </t>
  </si>
  <si>
    <t xml:space="preserve"> 1- 7- 1-   5</t>
  </si>
  <si>
    <t xml:space="preserve">PORTFOLIO TOP-UP LOANS                  </t>
  </si>
  <si>
    <t xml:space="preserve"> 1- 7- 1-   6</t>
  </si>
  <si>
    <t xml:space="preserve">PORTFOLIO AGRICULTURE LOANS             </t>
  </si>
  <si>
    <t xml:space="preserve"> 1- 7- 1-   7</t>
  </si>
  <si>
    <t xml:space="preserve">PORTFOLIO SGL LOANS                     </t>
  </si>
  <si>
    <t xml:space="preserve"> 1- 7- 3</t>
  </si>
  <si>
    <t>NON PERFORMING S.T. LOANS LOCAL CURRENCY</t>
  </si>
  <si>
    <t xml:space="preserve"> 1- 7- 3-   1</t>
  </si>
  <si>
    <t xml:space="preserve">PORTFOLIO VB ST LOANS LOCAL CURRENCY    </t>
  </si>
  <si>
    <t xml:space="preserve"> 1- 9</t>
  </si>
  <si>
    <t>SHORT TERM BAD LOAN ESTIMATE LOCAL CURRE</t>
  </si>
  <si>
    <t xml:space="preserve"> 1- 9- 1</t>
  </si>
  <si>
    <t xml:space="preserve"> 1- 9- 1-   1</t>
  </si>
  <si>
    <t xml:space="preserve">BAD LOAN ESTIMATE CURRENT               </t>
  </si>
  <si>
    <t xml:space="preserve"> 1- 9- 1-   2</t>
  </si>
  <si>
    <t xml:space="preserve">BAD LOAN DELINQUENT                     </t>
  </si>
  <si>
    <t xml:space="preserve"> 1- 9- 1-   3</t>
  </si>
  <si>
    <t xml:space="preserve">BAD LOAN ESTIMATE OVERDUE               </t>
  </si>
  <si>
    <t xml:space="preserve"> 1-15</t>
  </si>
  <si>
    <t xml:space="preserve">MISCELLANEOUS ACCOUNTS RECEIVABLE       </t>
  </si>
  <si>
    <t xml:space="preserve"> 1-15- 1</t>
  </si>
  <si>
    <t xml:space="preserve">GENERAL ACCOUNTS RECEIVABLE             </t>
  </si>
  <si>
    <t xml:space="preserve"> 1-15- 1-   1</t>
  </si>
  <si>
    <t xml:space="preserve"> 1-15- 1-   2</t>
  </si>
  <si>
    <t xml:space="preserve">ACCRUED INT RECEIVABLE-SHORT TERM INV   </t>
  </si>
  <si>
    <t xml:space="preserve"> 1-15- 1-   3</t>
  </si>
  <si>
    <t xml:space="preserve">INTEREST RECEIVABLE VB                  </t>
  </si>
  <si>
    <t xml:space="preserve"> 1-15- 1-   4</t>
  </si>
  <si>
    <t xml:space="preserve">INTEREST RECIVABLE BL                   </t>
  </si>
  <si>
    <t xml:space="preserve"> 1-15- 1-   5</t>
  </si>
  <si>
    <t xml:space="preserve">GENERAL ACCOUNTS RECEIVABLE-US$ DOLLAR  </t>
  </si>
  <si>
    <t xml:space="preserve"> 1-15- 2</t>
  </si>
  <si>
    <t xml:space="preserve">EMPLOYEE'S ACCOUNTS RECEIVABLE          </t>
  </si>
  <si>
    <t xml:space="preserve"> 1-15- 2-   2</t>
  </si>
  <si>
    <t xml:space="preserve">STAFF LOANS                             </t>
  </si>
  <si>
    <t xml:space="preserve"> 1-15- 2-   3</t>
  </si>
  <si>
    <t xml:space="preserve">EMPLOYEE TRAVEL ADVANCES FOR TRANSPORT  </t>
  </si>
  <si>
    <t xml:space="preserve"> 1-15- 2-   4</t>
  </si>
  <si>
    <t xml:space="preserve">STAFF SALARY ADVANCE                    </t>
  </si>
  <si>
    <t xml:space="preserve"> 1-15- 4</t>
  </si>
  <si>
    <t xml:space="preserve">OTHER ACCOUNTS RECEIVABLE               </t>
  </si>
  <si>
    <t xml:space="preserve"> 1-15- 4-   2</t>
  </si>
  <si>
    <t xml:space="preserve">WHT ON BANK INTEREST                    </t>
  </si>
  <si>
    <t xml:space="preserve"> 1-16</t>
  </si>
  <si>
    <t xml:space="preserve">TEMPORARY ACCOUNTS - PORTFOLIO          </t>
  </si>
  <si>
    <t xml:space="preserve"> 1-16- 1</t>
  </si>
  <si>
    <t xml:space="preserve">TEMPORARY ACCOUNTS - ASSET DISPOSAL     </t>
  </si>
  <si>
    <t xml:space="preserve"> 1-16- 1-   1</t>
  </si>
  <si>
    <t xml:space="preserve">TRANSITORY ACC PENDIND APPLICATION      </t>
  </si>
  <si>
    <t xml:space="preserve"> 1-16- 1-   2</t>
  </si>
  <si>
    <t>TRANSITORY ACC TELLER - PORTFOLIO LUSAKA</t>
  </si>
  <si>
    <t xml:space="preserve"> 1-16- 1-   8</t>
  </si>
  <si>
    <t>TRANSITORY ACC TELLER - PORTFOLIO SOWETO</t>
  </si>
  <si>
    <t xml:space="preserve"> 1-16- 1-  11</t>
  </si>
  <si>
    <t xml:space="preserve">TRANSITORY ACC TELLER-PORTFOLIO CHAWAMA </t>
  </si>
  <si>
    <t xml:space="preserve"> 1-16- 1-  99</t>
  </si>
  <si>
    <t xml:space="preserve">TRANSITORY ACCOUNT HEAD OFFICE          </t>
  </si>
  <si>
    <t xml:space="preserve"> 1-17</t>
  </si>
  <si>
    <t xml:space="preserve">CONTROL ACCOUNTS - PORTFOLIO            </t>
  </si>
  <si>
    <t xml:space="preserve"> 1-17- 1</t>
  </si>
  <si>
    <t xml:space="preserve">AUTO TRANSITORY ACCOUNTS - PORTFOLIO    </t>
  </si>
  <si>
    <t xml:space="preserve"> 1-17- 1-   1</t>
  </si>
  <si>
    <t xml:space="preserve">AUTO TRANSITORY - PORTFOLIO             </t>
  </si>
  <si>
    <t xml:space="preserve"> 1-20</t>
  </si>
  <si>
    <t xml:space="preserve">PREPAID EXPENSES                        </t>
  </si>
  <si>
    <t xml:space="preserve"> 1-20- 1</t>
  </si>
  <si>
    <t xml:space="preserve">INSURANCE                               </t>
  </si>
  <si>
    <t xml:space="preserve"> 1-20- 1-   1</t>
  </si>
  <si>
    <t xml:space="preserve">EQUIPMENT                               </t>
  </si>
  <si>
    <t xml:space="preserve"> 1-20- 1-   2</t>
  </si>
  <si>
    <t xml:space="preserve">FIDELITY                                </t>
  </si>
  <si>
    <t xml:space="preserve"> 1-20- 1-   4</t>
  </si>
  <si>
    <t xml:space="preserve">VEHICLE INSURANCE                       </t>
  </si>
  <si>
    <t xml:space="preserve"> 1-20- 1-   5</t>
  </si>
  <si>
    <t xml:space="preserve">GROUP MEDICAL                           </t>
  </si>
  <si>
    <t xml:space="preserve"> 1-20- 1-   8</t>
  </si>
  <si>
    <t xml:space="preserve">OTHER                                   </t>
  </si>
  <si>
    <t xml:space="preserve"> 1-20- 1-   9</t>
  </si>
  <si>
    <t xml:space="preserve">MONEY                                   </t>
  </si>
  <si>
    <t xml:space="preserve"> 1-20- 1-  10</t>
  </si>
  <si>
    <t xml:space="preserve">EMPLOYERS' LIABILITY                    </t>
  </si>
  <si>
    <t xml:space="preserve"> 1-20- 1-  11</t>
  </si>
  <si>
    <t xml:space="preserve">PUBLIC LIABILITY                        </t>
  </si>
  <si>
    <t xml:space="preserve"> 1-20- 1-  12</t>
  </si>
  <si>
    <t xml:space="preserve">GROUP FUNERAL                           </t>
  </si>
  <si>
    <t xml:space="preserve"> 1-20- 2</t>
  </si>
  <si>
    <t xml:space="preserve">SERVICES                                </t>
  </si>
  <si>
    <t xml:space="preserve"> 1-20- 2-   2</t>
  </si>
  <si>
    <t xml:space="preserve">RENT                                    </t>
  </si>
  <si>
    <t xml:space="preserve"> 1-20- 2-   4</t>
  </si>
  <si>
    <t xml:space="preserve">OTHER CONTRACT                          </t>
  </si>
  <si>
    <t xml:space="preserve"> 1-20- 4</t>
  </si>
  <si>
    <t xml:space="preserve">INVENTORY                               </t>
  </si>
  <si>
    <t xml:space="preserve"> 1-20- 4-   7</t>
  </si>
  <si>
    <t xml:space="preserve">OTHER INVENTORY                         </t>
  </si>
  <si>
    <t xml:space="preserve"> 1-20- 5</t>
  </si>
  <si>
    <t xml:space="preserve">LOAN FEES                               </t>
  </si>
  <si>
    <t xml:space="preserve"> 1-20- 5-   2</t>
  </si>
  <si>
    <t xml:space="preserve">UPFRONT FEES FOR TRIODOS LOAN           </t>
  </si>
  <si>
    <t xml:space="preserve"> 1-20- 5-   3</t>
  </si>
  <si>
    <t xml:space="preserve">UPFRONT FEES FOR SYMBIOTIC 2012 LOAN    </t>
  </si>
  <si>
    <t xml:space="preserve"> 1-20- 5-   4</t>
  </si>
  <si>
    <t xml:space="preserve">UPFRONT FEES FOR BLUE ORCHARD 2013 LOAN </t>
  </si>
  <si>
    <t xml:space="preserve"> 1-20- 5-   5</t>
  </si>
  <si>
    <t xml:space="preserve">UPFRONT FEES FOR SYMBIOTIC 2013 LOAN    </t>
  </si>
  <si>
    <t xml:space="preserve"> 1-20- 5-   6</t>
  </si>
  <si>
    <t xml:space="preserve">UPFRONT FEES FOR SYMBIOTIC 2013 1M US$  </t>
  </si>
  <si>
    <t xml:space="preserve"> 1-20- 5-   7</t>
  </si>
  <si>
    <t xml:space="preserve">UPFRONT FEES TRIDOS-USD 1000K           </t>
  </si>
  <si>
    <t xml:space="preserve"> 1-27</t>
  </si>
  <si>
    <t xml:space="preserve">FIXED ASSETS                            </t>
  </si>
  <si>
    <t xml:space="preserve"> 1-27- 1</t>
  </si>
  <si>
    <t xml:space="preserve">REAL ESTATE ASSETS                      </t>
  </si>
  <si>
    <t xml:space="preserve"> 1-27- 1-   2</t>
  </si>
  <si>
    <t xml:space="preserve">LEASEHOLD IMPROVEMENTS                  </t>
  </si>
  <si>
    <t xml:space="preserve"> 1-27- 2</t>
  </si>
  <si>
    <t xml:space="preserve">FURNITURE AND EQUIPMENTS/OTHERS         </t>
  </si>
  <si>
    <t xml:space="preserve"> 1-27- 2-   1</t>
  </si>
  <si>
    <t xml:space="preserve">OFFICE EQUIPMENT                        </t>
  </si>
  <si>
    <t xml:space="preserve"> 1-27- 2-   2</t>
  </si>
  <si>
    <t xml:space="preserve">FURNITURE AND FITTINGS                  </t>
  </si>
  <si>
    <t xml:space="preserve"> 1-27- 2-   3</t>
  </si>
  <si>
    <t xml:space="preserve">MOTOR VEHICLE                           </t>
  </si>
  <si>
    <t xml:space="preserve"> 1-27- 2-   4</t>
  </si>
  <si>
    <t xml:space="preserve">SOFTWARE AND ACCESSORIES                </t>
  </si>
  <si>
    <t xml:space="preserve"> 1-27- 2-   5</t>
  </si>
  <si>
    <t xml:space="preserve">WORK IN PROGRESS-FIXED ASSET            </t>
  </si>
  <si>
    <t xml:space="preserve"> 1-27- 2-   6</t>
  </si>
  <si>
    <t xml:space="preserve">0THER FIXED ASSETS                      </t>
  </si>
  <si>
    <t xml:space="preserve"> 1-27- 2-   7</t>
  </si>
  <si>
    <t xml:space="preserve">FLEXCUBE IMPLEMENTATION                 </t>
  </si>
  <si>
    <t xml:space="preserve"> 1-29</t>
  </si>
  <si>
    <t xml:space="preserve">ACCUMULATED DEPRECIATION                </t>
  </si>
  <si>
    <t xml:space="preserve"> 1-29- 2</t>
  </si>
  <si>
    <t xml:space="preserve">DEPRECIATION OF FURNITURE AND EQUIPMENT </t>
  </si>
  <si>
    <t xml:space="preserve"> 1-29- 2-   1</t>
  </si>
  <si>
    <t xml:space="preserve">ACCUM. DEPTN - OFFICE EQUIPMENT         </t>
  </si>
  <si>
    <t xml:space="preserve"> 1-29- 2-   2</t>
  </si>
  <si>
    <t xml:space="preserve">ACCUM. DEPTN - FURNITURE AND FITTINGS   </t>
  </si>
  <si>
    <t xml:space="preserve"> 1-29- 2-   3</t>
  </si>
  <si>
    <t xml:space="preserve">ACCUM. DEPTN - MOTOR VEHICLE            </t>
  </si>
  <si>
    <t xml:space="preserve"> 1-29- 2-   4</t>
  </si>
  <si>
    <t xml:space="preserve">ACCUM. DEPTN - SOFTWARE AND ACCESSORIES </t>
  </si>
  <si>
    <t xml:space="preserve"> 1-29- 2-   6</t>
  </si>
  <si>
    <t xml:space="preserve">ACCUM DEPRE-OTHER FIXED ASSETS          </t>
  </si>
  <si>
    <t xml:space="preserve"> 1-29- 2-   7</t>
  </si>
  <si>
    <t xml:space="preserve">ACCUM DEPRE-LEASE HOLD IMPROVEMENTS     </t>
  </si>
  <si>
    <t xml:space="preserve"> 1-30</t>
  </si>
  <si>
    <t xml:space="preserve">OTHER ASSETS                            </t>
  </si>
  <si>
    <t xml:space="preserve"> 1-30- 1</t>
  </si>
  <si>
    <t xml:space="preserve">LONG TERM DEPOSITS FOR UTILITIES        </t>
  </si>
  <si>
    <t xml:space="preserve"> 1-30- 1-   3</t>
  </si>
  <si>
    <t xml:space="preserve">TELEPHONE                               </t>
  </si>
  <si>
    <t xml:space="preserve"> 1-30- 1-   4</t>
  </si>
  <si>
    <t xml:space="preserve">OFFICE RENT                             </t>
  </si>
  <si>
    <t xml:space="preserve">LIABILITIES                             </t>
  </si>
  <si>
    <t xml:space="preserve"> 2- 1</t>
  </si>
  <si>
    <t>SHORT TERM OBLIGATIONS IN LOCAL CURRENCY</t>
  </si>
  <si>
    <t xml:space="preserve"> 2- 1- 1</t>
  </si>
  <si>
    <t xml:space="preserve">OVERDRAFT PAYABLE IN LOCAL CURRENCY     </t>
  </si>
  <si>
    <t xml:space="preserve"> 2- 1- 1-   1</t>
  </si>
  <si>
    <t xml:space="preserve">NORTHEND BRANCH SCB 0102056724300       </t>
  </si>
  <si>
    <t xml:space="preserve"> 2- 1- 3</t>
  </si>
  <si>
    <t xml:space="preserve">UNAPPLIED DEPOSITS PENDING APPLICATION  </t>
  </si>
  <si>
    <t xml:space="preserve"> 2- 1- 3-   1</t>
  </si>
  <si>
    <t xml:space="preserve">PORTFOLIO UNAPPLIED DEPOSITS PEND. APPL </t>
  </si>
  <si>
    <t xml:space="preserve"> 2- 2</t>
  </si>
  <si>
    <t xml:space="preserve">VOLUNTARY SAVINGS ACCOUNT               </t>
  </si>
  <si>
    <t xml:space="preserve"> 2- 2- 1</t>
  </si>
  <si>
    <t xml:space="preserve">ALL BRANCH DISBURSEMENT ACCOUNTS        </t>
  </si>
  <si>
    <t xml:space="preserve"> 2- 2- 1-   5</t>
  </si>
  <si>
    <t xml:space="preserve">KITWE DISBURSEMENT ACCOUNTS             </t>
  </si>
  <si>
    <t xml:space="preserve"> 2- 2- 1-   7</t>
  </si>
  <si>
    <t xml:space="preserve">NDOLA DISBURSEMENT ACCOUNT              </t>
  </si>
  <si>
    <t xml:space="preserve"> 2- 2- 1-   9</t>
  </si>
  <si>
    <t xml:space="preserve">SOWETO DISBURSEMENT ACCOUNT             </t>
  </si>
  <si>
    <t xml:space="preserve"> 2- 2- 1-  10</t>
  </si>
  <si>
    <t xml:space="preserve">CHIPATA DISBURSEMENT ACCOUNT            </t>
  </si>
  <si>
    <t xml:space="preserve"> 2- 2- 1-  11</t>
  </si>
  <si>
    <t xml:space="preserve">CHINGOLA DISBURSEMENT ACCOUNT           </t>
  </si>
  <si>
    <t xml:space="preserve"> 2- 2- 1-  12</t>
  </si>
  <si>
    <t xml:space="preserve">CHAWAMA DISBURSEMENT ACCOUNT            </t>
  </si>
  <si>
    <t xml:space="preserve"> 2- 2- 2</t>
  </si>
  <si>
    <t xml:space="preserve">FINCA SAVINGS ACCOUNT                   </t>
  </si>
  <si>
    <t xml:space="preserve"> 2- 2- 2-   1</t>
  </si>
  <si>
    <t xml:space="preserve">LUSAKA BRANCH FINCA SAVINGS ACCOUNT     </t>
  </si>
  <si>
    <t xml:space="preserve"> 2- 2- 2-   2</t>
  </si>
  <si>
    <t xml:space="preserve">FINCA SAVER - KABWE                     </t>
  </si>
  <si>
    <t xml:space="preserve"> 2- 2- 2-   4</t>
  </si>
  <si>
    <t xml:space="preserve">FINCA SAVER - KITWE                     </t>
  </si>
  <si>
    <t xml:space="preserve"> 2- 2- 2-   5</t>
  </si>
  <si>
    <t xml:space="preserve">FINCA SAVER - NDOLA                     </t>
  </si>
  <si>
    <t xml:space="preserve"> 2- 2- 2-   6</t>
  </si>
  <si>
    <t xml:space="preserve">FINCA SAVER - MATERO                    </t>
  </si>
  <si>
    <t xml:space="preserve"> 2- 2- 2-   7</t>
  </si>
  <si>
    <t xml:space="preserve">FINCA SAVER - SOWETO                    </t>
  </si>
  <si>
    <t xml:space="preserve"> 2- 2- 2-   8</t>
  </si>
  <si>
    <t xml:space="preserve">FINCA SAVER - CHIPATA                   </t>
  </si>
  <si>
    <t xml:space="preserve"> 2- 2- 2-   9</t>
  </si>
  <si>
    <t xml:space="preserve">FINCA SAVER - CHINGOLA                  </t>
  </si>
  <si>
    <t xml:space="preserve"> 2- 2- 2-  10</t>
  </si>
  <si>
    <t xml:space="preserve">FINCA SAVER - CHAWAMA                   </t>
  </si>
  <si>
    <t xml:space="preserve"> 2- 2- 2-  11</t>
  </si>
  <si>
    <t xml:space="preserve">FINCA SAVER - MAZABUKA                  </t>
  </si>
  <si>
    <t xml:space="preserve"> 2- 2- 2-  14</t>
  </si>
  <si>
    <t xml:space="preserve">KAFUE BRANCH FINCA SAVERS               </t>
  </si>
  <si>
    <t xml:space="preserve"> 2- 2- 3</t>
  </si>
  <si>
    <t xml:space="preserve">FINCA VB FLEX                           </t>
  </si>
  <si>
    <t xml:space="preserve"> 2- 2- 3-   1</t>
  </si>
  <si>
    <t xml:space="preserve">FINCA VB FLEX - LUSAKA                  </t>
  </si>
  <si>
    <t xml:space="preserve"> 2- 2- 3-   2</t>
  </si>
  <si>
    <t xml:space="preserve">FINCA VB FLEX KABWE                     </t>
  </si>
  <si>
    <t xml:space="preserve"> 2- 2- 3-   4</t>
  </si>
  <si>
    <t xml:space="preserve">FINCA VB FLEX - KITWE                   </t>
  </si>
  <si>
    <t xml:space="preserve"> 2- 2- 3-   5</t>
  </si>
  <si>
    <t xml:space="preserve">FINCA VB FLEX - NDOLA                   </t>
  </si>
  <si>
    <t xml:space="preserve"> 2- 2- 3-   6</t>
  </si>
  <si>
    <t xml:space="preserve">FINCA VB FLEX - MATERO                  </t>
  </si>
  <si>
    <t xml:space="preserve"> 2- 2- 3-   7</t>
  </si>
  <si>
    <t xml:space="preserve">FINCA VB FLEX - SOWETO                  </t>
  </si>
  <si>
    <t xml:space="preserve"> 2- 2- 3-   8</t>
  </si>
  <si>
    <t xml:space="preserve">FINCA VB FLEX - CHIPATA                 </t>
  </si>
  <si>
    <t xml:space="preserve"> 2- 2- 3-   9</t>
  </si>
  <si>
    <t xml:space="preserve">FINCA VB FLEX - CHINGOLA                </t>
  </si>
  <si>
    <t xml:space="preserve"> 2- 2- 3-  10</t>
  </si>
  <si>
    <t xml:space="preserve">FINCA VB FLEX - CHAWAMA                 </t>
  </si>
  <si>
    <t xml:space="preserve"> 2- 2- 3-  11</t>
  </si>
  <si>
    <t xml:space="preserve">FINCA VB FLEX - MAZABUKA                </t>
  </si>
  <si>
    <t xml:space="preserve"> 2- 2- 3-  12</t>
  </si>
  <si>
    <t xml:space="preserve">FINCA VB FLEX - KAFUE                   </t>
  </si>
  <si>
    <t xml:space="preserve"> 2- 2- 4</t>
  </si>
  <si>
    <t xml:space="preserve">FINCA FLEX - PRODUCT                    </t>
  </si>
  <si>
    <t xml:space="preserve"> 2- 2- 4-   1</t>
  </si>
  <si>
    <t xml:space="preserve">FINCA FLEX - LUSAKA                     </t>
  </si>
  <si>
    <t xml:space="preserve"> 2- 2- 4-   2</t>
  </si>
  <si>
    <t xml:space="preserve">FINCA FLEX KABWE                        </t>
  </si>
  <si>
    <t xml:space="preserve"> 2- 2- 4-   4</t>
  </si>
  <si>
    <t xml:space="preserve">FINCA FLEX - KITWE                      </t>
  </si>
  <si>
    <t xml:space="preserve"> 2- 2- 4-   5</t>
  </si>
  <si>
    <t xml:space="preserve">FINCA FLEX - NDOLA                      </t>
  </si>
  <si>
    <t xml:space="preserve"> 2- 2- 4-   6</t>
  </si>
  <si>
    <t xml:space="preserve">FINCA FLEX - MATERO                     </t>
  </si>
  <si>
    <t xml:space="preserve"> 2- 2- 4-   7</t>
  </si>
  <si>
    <t xml:space="preserve">FINCA FLEX - SOWETO                     </t>
  </si>
  <si>
    <t xml:space="preserve"> 2- 2- 4-   8</t>
  </si>
  <si>
    <t xml:space="preserve">FINCA FLEX - CHIPATA                    </t>
  </si>
  <si>
    <t xml:space="preserve"> 2- 2- 4-   9</t>
  </si>
  <si>
    <t xml:space="preserve">FINCA FLEX - CHINGOLA                   </t>
  </si>
  <si>
    <t xml:space="preserve"> 2- 2- 4-  10</t>
  </si>
  <si>
    <t xml:space="preserve">FINCA FLEX - CHAWAMA                    </t>
  </si>
  <si>
    <t xml:space="preserve"> 2- 2- 4-  11</t>
  </si>
  <si>
    <t xml:space="preserve">FINCA FLEX - MAZABUKA                   </t>
  </si>
  <si>
    <t xml:space="preserve"> 2- 2- 4-  12</t>
  </si>
  <si>
    <t xml:space="preserve">FINCA FLEX - KAFUE                      </t>
  </si>
  <si>
    <t xml:space="preserve"> 2- 3</t>
  </si>
  <si>
    <t xml:space="preserve">SHORT TERM LOANS PAYABLE                </t>
  </si>
  <si>
    <t xml:space="preserve"> 2- 3- 4</t>
  </si>
  <si>
    <t xml:space="preserve">FIXED TERM DEPOSIT                      </t>
  </si>
  <si>
    <t xml:space="preserve"> 2- 3- 4-   1</t>
  </si>
  <si>
    <t xml:space="preserve">FIXED TERM DEPOSIT - IND - LUSAKA       </t>
  </si>
  <si>
    <t xml:space="preserve"> 2- 3- 4-   2</t>
  </si>
  <si>
    <t xml:space="preserve">FIXED TERM DEPOSIT - IND - KABWE        </t>
  </si>
  <si>
    <t xml:space="preserve"> 2- 3- 4-   4</t>
  </si>
  <si>
    <t xml:space="preserve">FIXED TERM DEPOSIT - IND - KITWE        </t>
  </si>
  <si>
    <t xml:space="preserve"> 2- 3- 4-   5</t>
  </si>
  <si>
    <t xml:space="preserve">FIXED TERM DEPOSIT - IND - NDOLA        </t>
  </si>
  <si>
    <t xml:space="preserve"> 2- 3- 4-   6</t>
  </si>
  <si>
    <t xml:space="preserve">FIXED TERM DEPOSIT - IND - MATERO       </t>
  </si>
  <si>
    <t xml:space="preserve"> 2- 3- 4-   7</t>
  </si>
  <si>
    <t xml:space="preserve">FIXED TERM DEPOSIT - IND - SOWETO       </t>
  </si>
  <si>
    <t xml:space="preserve"> 2- 3- 4-   8</t>
  </si>
  <si>
    <t xml:space="preserve">FIXED TERM DEPOSIT - IND - CHIPATA      </t>
  </si>
  <si>
    <t xml:space="preserve"> 2- 3- 4-   9</t>
  </si>
  <si>
    <t xml:space="preserve">FIXED TERM DEPOSIT - IND - CHINGOLA     </t>
  </si>
  <si>
    <t xml:space="preserve"> 2- 3- 4-  10</t>
  </si>
  <si>
    <t xml:space="preserve">FIXED TERM DEPOSIT - IND - CHAWAMA      </t>
  </si>
  <si>
    <t xml:space="preserve"> 2- 3- 4-  11</t>
  </si>
  <si>
    <t xml:space="preserve">FIXED TERM DEPOSIT - IND - MAZABUKA     </t>
  </si>
  <si>
    <t xml:space="preserve"> 2- 3- 4-  12</t>
  </si>
  <si>
    <t xml:space="preserve">FIXED TERM DEP-IND-KAFUE                </t>
  </si>
  <si>
    <t xml:space="preserve"> 2- 3- 5</t>
  </si>
  <si>
    <t xml:space="preserve">FIXED INSTITUTIONAL TERM DEPOSIT        </t>
  </si>
  <si>
    <t xml:space="preserve"> 2- 3- 5-   1</t>
  </si>
  <si>
    <t xml:space="preserve">FIXED INSTITUTIONAL TERM DEPOSIT LUSAKA </t>
  </si>
  <si>
    <t xml:space="preserve"> 2- 3- 5-   2</t>
  </si>
  <si>
    <t xml:space="preserve">FIXED INSTITUTIONAL TERM DEPOSIT KABWE  </t>
  </si>
  <si>
    <t xml:space="preserve"> 2- 3- 5-   4</t>
  </si>
  <si>
    <t xml:space="preserve">FIXED INSTITUTIONAL TERM DEPOSIT KITWE  </t>
  </si>
  <si>
    <t xml:space="preserve"> 2- 3- 5-   5</t>
  </si>
  <si>
    <t xml:space="preserve">FIXED INSTITUTIONAL TERM DEPOSIT NDOLA  </t>
  </si>
  <si>
    <t xml:space="preserve"> 2- 3- 5-   6</t>
  </si>
  <si>
    <t xml:space="preserve">FIXED INSTITUTIONAL TERM DEPOSIT MATERO </t>
  </si>
  <si>
    <t xml:space="preserve"> 2- 3- 5-   7</t>
  </si>
  <si>
    <t xml:space="preserve">FIXED INSTITUTIONAL TERM DEPOSIT SOWETO </t>
  </si>
  <si>
    <t xml:space="preserve"> 2- 3- 5-   8</t>
  </si>
  <si>
    <t>FIXED INSTITUTIONAL TERM DEPOSIT CHIPATA</t>
  </si>
  <si>
    <t xml:space="preserve"> 2- 3- 5-   9</t>
  </si>
  <si>
    <t>FIXED INSTITUTIONAL TERM DEPOSIT CHINGOL</t>
  </si>
  <si>
    <t xml:space="preserve"> 2- 3- 5-  10</t>
  </si>
  <si>
    <t>FIXED INSTITUTIONAL TERM DEPOSIT CHAWAMA</t>
  </si>
  <si>
    <t xml:space="preserve"> 2- 3- 5-  11</t>
  </si>
  <si>
    <t>FIXED INSTITUTIONAL TERM DEPOSIT MAZABUK</t>
  </si>
  <si>
    <t xml:space="preserve"> 2- 3- 5-  12</t>
  </si>
  <si>
    <t xml:space="preserve">FIXED INSTITUTIONAL TERM DEP-INST-KAFUE </t>
  </si>
  <si>
    <t xml:space="preserve"> 2- 4</t>
  </si>
  <si>
    <t xml:space="preserve">STAFF SAVINGS                           </t>
  </si>
  <si>
    <t xml:space="preserve"> 2- 4- 1</t>
  </si>
  <si>
    <t xml:space="preserve">ALL BRANCHES STAFF SAVINGS              </t>
  </si>
  <si>
    <t xml:space="preserve"> 2- 4- 1-   1</t>
  </si>
  <si>
    <t xml:space="preserve">NORTHMEAD STAFF SAVINGS                 </t>
  </si>
  <si>
    <t xml:space="preserve"> 2- 4- 1-   2</t>
  </si>
  <si>
    <t xml:space="preserve">KABWE STAFF SAVINGS                     </t>
  </si>
  <si>
    <t xml:space="preserve"> 2- 4- 1-   3</t>
  </si>
  <si>
    <t xml:space="preserve">STAFF SAVINGS ACCOUNT MAZABUKA          </t>
  </si>
  <si>
    <t xml:space="preserve"> 2- 4- 1-   5</t>
  </si>
  <si>
    <t xml:space="preserve">KITWE STAFF SAVINGS                     </t>
  </si>
  <si>
    <t xml:space="preserve"> 2- 4- 1-   7</t>
  </si>
  <si>
    <t xml:space="preserve">NDOLA STAFF SAVINGS                     </t>
  </si>
  <si>
    <t xml:space="preserve"> 2- 4- 1-   8</t>
  </si>
  <si>
    <t xml:space="preserve">MATERO STAFF SAVINGS                    </t>
  </si>
  <si>
    <t xml:space="preserve"> 2- 4- 1-   9</t>
  </si>
  <si>
    <t xml:space="preserve">SOWETO STAFF SAVINGS                    </t>
  </si>
  <si>
    <t xml:space="preserve"> 2- 4- 1-  10</t>
  </si>
  <si>
    <t xml:space="preserve">CHIPATA STAFF SAVINGS                   </t>
  </si>
  <si>
    <t xml:space="preserve"> 2- 4- 1-  11</t>
  </si>
  <si>
    <t xml:space="preserve">CHAWAMA STAFF SAVINGS ACCOUNT           </t>
  </si>
  <si>
    <t xml:space="preserve"> 2- 4- 1-  12</t>
  </si>
  <si>
    <t xml:space="preserve">CHINGOLA STAFF SAVINGS ACCOUNT          </t>
  </si>
  <si>
    <t xml:space="preserve"> 2- 5</t>
  </si>
  <si>
    <t xml:space="preserve">VILLAGE BANK COLLATERAL SAVINGS         </t>
  </si>
  <si>
    <t xml:space="preserve"> 2- 5- 1</t>
  </si>
  <si>
    <t xml:space="preserve">LUSAKA BRANCH                           </t>
  </si>
  <si>
    <t xml:space="preserve"> 2- 5- 1-   1</t>
  </si>
  <si>
    <t xml:space="preserve">VB COLLATERAL SAVINGS                   </t>
  </si>
  <si>
    <t xml:space="preserve"> 2- 5- 1-   3</t>
  </si>
  <si>
    <t xml:space="preserve">UNINDENTIFIED COLLATERAL SAVINGS        </t>
  </si>
  <si>
    <t xml:space="preserve"> 2- 5- 1-   6</t>
  </si>
  <si>
    <t xml:space="preserve">BL COLLATERAL SAVINGS - MATERO          </t>
  </si>
  <si>
    <t xml:space="preserve"> 2- 5- 4</t>
  </si>
  <si>
    <t xml:space="preserve">CHOMA BRANCH                            </t>
  </si>
  <si>
    <t xml:space="preserve"> 2- 5- 4-1847</t>
  </si>
  <si>
    <t xml:space="preserve">SUNRISE                                 </t>
  </si>
  <si>
    <t xml:space="preserve"> 2- 5- 4-2609</t>
  </si>
  <si>
    <t xml:space="preserve">2609 CHABOTA                            </t>
  </si>
  <si>
    <t xml:space="preserve"> 2- 5- 4-4482</t>
  </si>
  <si>
    <t xml:space="preserve">CHILELENKO VB                           </t>
  </si>
  <si>
    <t xml:space="preserve"> 2- 5- 4-4494</t>
  </si>
  <si>
    <t xml:space="preserve">KALIANGILE VB                           </t>
  </si>
  <si>
    <t xml:space="preserve"> 2- 5- 4-4526</t>
  </si>
  <si>
    <t xml:space="preserve">BWACHA VB                               </t>
  </si>
  <si>
    <t xml:space="preserve"> 2- 5- 4-4884</t>
  </si>
  <si>
    <t xml:space="preserve">LUSHOMO-CHOMA                           </t>
  </si>
  <si>
    <t xml:space="preserve"> 2- 5- 4-5066</t>
  </si>
  <si>
    <t xml:space="preserve">NAZILONGO                               </t>
  </si>
  <si>
    <t xml:space="preserve"> 2- 5- 4-5166</t>
  </si>
  <si>
    <t xml:space="preserve">TUTALIKE VB                             </t>
  </si>
  <si>
    <t xml:space="preserve"> 2- 5- 4-5325</t>
  </si>
  <si>
    <t xml:space="preserve">PENGA UJANE                             </t>
  </si>
  <si>
    <t xml:space="preserve"> 2- 5- 4-6356</t>
  </si>
  <si>
    <t xml:space="preserve">TUWINE                                  </t>
  </si>
  <si>
    <t xml:space="preserve"> 2- 5- 4-6357</t>
  </si>
  <si>
    <t xml:space="preserve">EVERGREEN                               </t>
  </si>
  <si>
    <t xml:space="preserve"> 2- 5- 7</t>
  </si>
  <si>
    <t xml:space="preserve">NDOLA BRANCH-VB COLLATERAL SAVINGS      </t>
  </si>
  <si>
    <t xml:space="preserve"> 2- 5- 7-1356</t>
  </si>
  <si>
    <t xml:space="preserve">TWISHALILA VB                           </t>
  </si>
  <si>
    <t xml:space="preserve"> 2- 5- 7-5623</t>
  </si>
  <si>
    <t xml:space="preserve">EMMANUEL VB                             </t>
  </si>
  <si>
    <t xml:space="preserve"> 2- 5- 7-6038</t>
  </si>
  <si>
    <t xml:space="preserve"> GILGAL VB                              </t>
  </si>
  <si>
    <t xml:space="preserve"> 2- 5- 8</t>
  </si>
  <si>
    <t xml:space="preserve">MATERO BRANCH                           </t>
  </si>
  <si>
    <t xml:space="preserve"> 2- 5- 8-3078</t>
  </si>
  <si>
    <t xml:space="preserve">3078-TAFIMBWA VB                        </t>
  </si>
  <si>
    <t xml:space="preserve"> 2- 6</t>
  </si>
  <si>
    <t xml:space="preserve">BUSINESS LOANS                          </t>
  </si>
  <si>
    <t xml:space="preserve"> 2- 6- 1</t>
  </si>
  <si>
    <t xml:space="preserve">LUSAKA BRANCH- BL COLLATERAL SAVINGS    </t>
  </si>
  <si>
    <t xml:space="preserve"> 2- 6- 1-   1</t>
  </si>
  <si>
    <t xml:space="preserve">BL COLLATERAL SAVINGS                   </t>
  </si>
  <si>
    <t xml:space="preserve"> 2- 6- 1-   6</t>
  </si>
  <si>
    <t xml:space="preserve"> 2- 6- 1-1811</t>
  </si>
  <si>
    <t xml:space="preserve">1811-TWALUMBA LESA PG                   </t>
  </si>
  <si>
    <t xml:space="preserve"> 2- 6- 1-2669</t>
  </si>
  <si>
    <t xml:space="preserve">2669-DIANA SIAMWANJA IL                 </t>
  </si>
  <si>
    <t xml:space="preserve"> 2- 6- 1-2792</t>
  </si>
  <si>
    <t xml:space="preserve">2792-HELLEN KASEBA IL                   </t>
  </si>
  <si>
    <t xml:space="preserve"> 2- 6- 1-3267</t>
  </si>
  <si>
    <t xml:space="preserve">3267-JUSTIN KAFWANKA IL                 </t>
  </si>
  <si>
    <t xml:space="preserve"> 2- 6- 1-3297</t>
  </si>
  <si>
    <t xml:space="preserve">3297-JANE NAKAWALA IL                   </t>
  </si>
  <si>
    <t xml:space="preserve"> 2- 6- 1-3347</t>
  </si>
  <si>
    <t xml:space="preserve">3347-CAROL CHITALU IL                   </t>
  </si>
  <si>
    <t xml:space="preserve"> 2- 6- 1-3781</t>
  </si>
  <si>
    <t xml:space="preserve">JAMES MUWOWO IL                         </t>
  </si>
  <si>
    <t xml:space="preserve"> 2- 6- 1-4249</t>
  </si>
  <si>
    <t xml:space="preserve">MARIAN FOYE IL                          </t>
  </si>
  <si>
    <t xml:space="preserve"> 2- 6- 2</t>
  </si>
  <si>
    <t xml:space="preserve">KABWE BRANCH COLLATERAL SAVINGS         </t>
  </si>
  <si>
    <t xml:space="preserve"> 2- 6- 2-1757</t>
  </si>
  <si>
    <t xml:space="preserve">1757 COURAGEOUS PG                      </t>
  </si>
  <si>
    <t xml:space="preserve"> 2- 6- 2-1895</t>
  </si>
  <si>
    <t xml:space="preserve">1895-THABITA HAAMINUNKI                 </t>
  </si>
  <si>
    <t xml:space="preserve"> 2- 6- 2-2702</t>
  </si>
  <si>
    <t xml:space="preserve">2702-ROBBY M SUNGA IL                   </t>
  </si>
  <si>
    <t xml:space="preserve"> 2- 6- 2-3396</t>
  </si>
  <si>
    <t xml:space="preserve">3396-RONALD CHAKOPO IL                  </t>
  </si>
  <si>
    <t xml:space="preserve"> 2- 6- 4</t>
  </si>
  <si>
    <t xml:space="preserve">CHOMA BRANCH- BL COLLATERAL SAVINGS     </t>
  </si>
  <si>
    <t xml:space="preserve"> 2- 6- 4-2271</t>
  </si>
  <si>
    <t xml:space="preserve">2271 GLADYS MUCHIMBA PG                 </t>
  </si>
  <si>
    <t xml:space="preserve"> 2- 6- 4-2317</t>
  </si>
  <si>
    <t xml:space="preserve">2317 CATHERINE LWIJI                    </t>
  </si>
  <si>
    <t xml:space="preserve"> 2- 6- 4-2320</t>
  </si>
  <si>
    <t xml:space="preserve">2320 GEOFREY NGANDU                     </t>
  </si>
  <si>
    <t xml:space="preserve"> 2- 6- 4-2351</t>
  </si>
  <si>
    <t xml:space="preserve">PINDE KUWAKA                            </t>
  </si>
  <si>
    <t xml:space="preserve"> 2- 6- 4-2371</t>
  </si>
  <si>
    <t xml:space="preserve">2371-CATHERINE LWINJI                   </t>
  </si>
  <si>
    <t xml:space="preserve"> 2- 6- 4-2416</t>
  </si>
  <si>
    <t xml:space="preserve">2416-ALBINA KAFULA IL                   </t>
  </si>
  <si>
    <t xml:space="preserve"> 2- 6- 4-2434</t>
  </si>
  <si>
    <t xml:space="preserve">2434 MARTHA MUKUMA                      </t>
  </si>
  <si>
    <t xml:space="preserve"> 2- 6- 4-2437</t>
  </si>
  <si>
    <t xml:space="preserve">2437 ALBINA KAFULA                      </t>
  </si>
  <si>
    <t xml:space="preserve"> 2- 6- 4-2498</t>
  </si>
  <si>
    <t xml:space="preserve">2498 YOUNG VIBETTI                      </t>
  </si>
  <si>
    <t xml:space="preserve"> 2- 6- 4-2500</t>
  </si>
  <si>
    <t xml:space="preserve">2500 BELINDA MUCHALO MUBANGA            </t>
  </si>
  <si>
    <t xml:space="preserve"> 2- 6- 4-2501</t>
  </si>
  <si>
    <t xml:space="preserve">2501 ACKIM MOOYA (CHARITY PHIRI)        </t>
  </si>
  <si>
    <t xml:space="preserve"> 2- 6- 4-2502</t>
  </si>
  <si>
    <t xml:space="preserve">2502 AGNESS CHINYAMA                    </t>
  </si>
  <si>
    <t xml:space="preserve"> 2- 6- 4-2597</t>
  </si>
  <si>
    <t xml:space="preserve">2597 ROYD SIANONGO                      </t>
  </si>
  <si>
    <t xml:space="preserve"> 2- 6- 4-2737</t>
  </si>
  <si>
    <t xml:space="preserve">2737 ESSABEL MWEENDO                    </t>
  </si>
  <si>
    <t xml:space="preserve"> 2- 6- 4-2739</t>
  </si>
  <si>
    <t xml:space="preserve">2739 ELINA PHIRI                        </t>
  </si>
  <si>
    <t xml:space="preserve"> 2- 6- 4-2773</t>
  </si>
  <si>
    <t xml:space="preserve">2773 GETRUDE KAMWENDO                   </t>
  </si>
  <si>
    <t xml:space="preserve"> 2- 6- 4-2774</t>
  </si>
  <si>
    <t xml:space="preserve">2774 REUBEN CHOOMBA                     </t>
  </si>
  <si>
    <t xml:space="preserve"> 2- 6- 4-2775</t>
  </si>
  <si>
    <t xml:space="preserve">KEZIA SIBALWA                           </t>
  </si>
  <si>
    <t xml:space="preserve"> 2- 6- 4-2778</t>
  </si>
  <si>
    <t xml:space="preserve">2778 JULIA SEJANI                       </t>
  </si>
  <si>
    <t xml:space="preserve"> 2- 6- 4-2813</t>
  </si>
  <si>
    <t xml:space="preserve">2813 MISIKA SIMUCHE                     </t>
  </si>
  <si>
    <t xml:space="preserve"> 2- 6- 4-2920</t>
  </si>
  <si>
    <t xml:space="preserve">2920 PEARSON TEMBO                      </t>
  </si>
  <si>
    <t xml:space="preserve"> 2- 6- 4-2989</t>
  </si>
  <si>
    <t xml:space="preserve">2989 INONGE MUMBELA                     </t>
  </si>
  <si>
    <t xml:space="preserve"> 2- 6- 4-2990</t>
  </si>
  <si>
    <t xml:space="preserve">2990-JACKLEEN SALOME HAMUCHENJE         </t>
  </si>
  <si>
    <t xml:space="preserve"> 2- 6- 4-2991</t>
  </si>
  <si>
    <t xml:space="preserve">2991 KIZITO MBEWE                       </t>
  </si>
  <si>
    <t xml:space="preserve"> 2- 6- 4-3103</t>
  </si>
  <si>
    <t xml:space="preserve">3103 KEBBY MBEWE                        </t>
  </si>
  <si>
    <t xml:space="preserve"> 2- 6- 4-3104</t>
  </si>
  <si>
    <t xml:space="preserve">3104 JONES MUYAKWA                      </t>
  </si>
  <si>
    <t xml:space="preserve"> 2- 6- 4-3105</t>
  </si>
  <si>
    <t xml:space="preserve">3105 KIMBO MBEWE                        </t>
  </si>
  <si>
    <t xml:space="preserve"> 2- 6- 4-3106</t>
  </si>
  <si>
    <t xml:space="preserve">DAVIE MACHONA                           </t>
  </si>
  <si>
    <t xml:space="preserve"> 2- 6- 4-3168</t>
  </si>
  <si>
    <t xml:space="preserve">3168 LORENE NOOLE                       </t>
  </si>
  <si>
    <t xml:space="preserve"> 2- 6- 4-3342</t>
  </si>
  <si>
    <t xml:space="preserve">3342-MUNDENDA S WINTERSON               </t>
  </si>
  <si>
    <t xml:space="preserve"> 2- 6- 4-3357</t>
  </si>
  <si>
    <t xml:space="preserve">3357 FREDRICK KAKOMA                    </t>
  </si>
  <si>
    <t xml:space="preserve"> 2- 6- 4-3395</t>
  </si>
  <si>
    <t xml:space="preserve">3395-CHIYOBEKA NGANDU IL                </t>
  </si>
  <si>
    <t xml:space="preserve"> 2- 6- 4-3396</t>
  </si>
  <si>
    <t xml:space="preserve"> 2- 6- 4-3398</t>
  </si>
  <si>
    <t xml:space="preserve">3398-BONNY EDDIE NDANDU IL              </t>
  </si>
  <si>
    <t xml:space="preserve"> 2- 6- 4-3414</t>
  </si>
  <si>
    <t xml:space="preserve">3414-BEATRICE CHILUBA IL                </t>
  </si>
  <si>
    <t xml:space="preserve"> 2- 6- 4-3456</t>
  </si>
  <si>
    <t xml:space="preserve">WILLIAM CHANDA IL                       </t>
  </si>
  <si>
    <t xml:space="preserve"> 2- 6- 4-3457</t>
  </si>
  <si>
    <t xml:space="preserve">KACHANA KACHANA IL                      </t>
  </si>
  <si>
    <t xml:space="preserve"> 2- 6- 4-3458</t>
  </si>
  <si>
    <t xml:space="preserve">ANNAH CHISHIMBA IL                      </t>
  </si>
  <si>
    <t xml:space="preserve"> 2- 6- 4-3459</t>
  </si>
  <si>
    <t xml:space="preserve">JOHN FITTALYANO MUTALE IL               </t>
  </si>
  <si>
    <t xml:space="preserve"> 2- 6- 4-3490</t>
  </si>
  <si>
    <t xml:space="preserve">KELVIN NSUMBATA IL                      </t>
  </si>
  <si>
    <t xml:space="preserve"> 2- 6- 4-3588</t>
  </si>
  <si>
    <t xml:space="preserve">KIRAN MUDENDA IL                        </t>
  </si>
  <si>
    <t xml:space="preserve"> 2- 6- 4-3628</t>
  </si>
  <si>
    <t xml:space="preserve">DUNBAR MUCHIMBA IL                      </t>
  </si>
  <si>
    <t xml:space="preserve"> 2- 6- 4-3629</t>
  </si>
  <si>
    <t xml:space="preserve">LEWIS MULAMBO                           </t>
  </si>
  <si>
    <t xml:space="preserve"> 2- 6- 4-3630</t>
  </si>
  <si>
    <t xml:space="preserve">DAVIE MUMBA IL                          </t>
  </si>
  <si>
    <t xml:space="preserve"> 2- 6- 4-3729</t>
  </si>
  <si>
    <t xml:space="preserve">3729 LUBINDA MUBITA EDDIE               </t>
  </si>
  <si>
    <t xml:space="preserve"> 2- 6- 4-3882</t>
  </si>
  <si>
    <t xml:space="preserve">3882 AURTHUR MUSONDA WILIMWIPI          </t>
  </si>
  <si>
    <t xml:space="preserve"> 2- 6- 4-3884</t>
  </si>
  <si>
    <t xml:space="preserve">FRED SICHILINDI                         </t>
  </si>
  <si>
    <t xml:space="preserve"> 2- 6- 4-3981</t>
  </si>
  <si>
    <t xml:space="preserve">LINDA SIKWANGALA IL                     </t>
  </si>
  <si>
    <t xml:space="preserve"> 2- 6- 4-4173</t>
  </si>
  <si>
    <t xml:space="preserve">MARY KANTOLO IL                         </t>
  </si>
  <si>
    <t xml:space="preserve"> 2- 6- 4-4493</t>
  </si>
  <si>
    <t xml:space="preserve">ENITA ENELESS KAMBOLE IL                </t>
  </si>
  <si>
    <t xml:space="preserve"> 2- 6- 4-4566</t>
  </si>
  <si>
    <t xml:space="preserve">BLANDINA CHIMBINALI                     </t>
  </si>
  <si>
    <t xml:space="preserve"> 2- 6- 4-4570</t>
  </si>
  <si>
    <t xml:space="preserve">KEBBY MULEYA                            </t>
  </si>
  <si>
    <t xml:space="preserve"> 2- 6- 4-4597</t>
  </si>
  <si>
    <t xml:space="preserve">TELESIA MULILO                          </t>
  </si>
  <si>
    <t xml:space="preserve"> 2- 6- 4-4661</t>
  </si>
  <si>
    <t xml:space="preserve">JUSTINE NKANDU                          </t>
  </si>
  <si>
    <t xml:space="preserve"> 2- 6- 4-4662</t>
  </si>
  <si>
    <t xml:space="preserve">JOSEPH MUJADA                           </t>
  </si>
  <si>
    <t xml:space="preserve"> 2- 6- 4-4681</t>
  </si>
  <si>
    <t xml:space="preserve">GEORGE .S.NDHLOVU                       </t>
  </si>
  <si>
    <t xml:space="preserve"> 2- 6- 4-4703</t>
  </si>
  <si>
    <t xml:space="preserve">CHIMULA MUNKOMBWE                       </t>
  </si>
  <si>
    <t xml:space="preserve"> 2- 6- 4-4709</t>
  </si>
  <si>
    <t xml:space="preserve">ROBERT.M.SIAWALA                        </t>
  </si>
  <si>
    <t xml:space="preserve"> 2- 6- 4-4752</t>
  </si>
  <si>
    <t xml:space="preserve">NAHOMA CHRISTOPHER                      </t>
  </si>
  <si>
    <t xml:space="preserve"> 2- 6- 4-4787</t>
  </si>
  <si>
    <t xml:space="preserve">DENNIS .M. SIMASIKU                     </t>
  </si>
  <si>
    <t xml:space="preserve"> 2- 6- 4-4788</t>
  </si>
  <si>
    <t xml:space="preserve">KELVIN MOYO                             </t>
  </si>
  <si>
    <t xml:space="preserve"> 2- 6- 4-4816</t>
  </si>
  <si>
    <t xml:space="preserve">HANG'OMBE LANCELOT                      </t>
  </si>
  <si>
    <t xml:space="preserve"> 2- 6- 4-4848</t>
  </si>
  <si>
    <t xml:space="preserve">MIKE SIKAMBAKANI                        </t>
  </si>
  <si>
    <t xml:space="preserve"> 2- 6- 4-4897</t>
  </si>
  <si>
    <t xml:space="preserve">MUYUNDA  MUTANUKA                       </t>
  </si>
  <si>
    <t xml:space="preserve"> 2- 6- 4-4912</t>
  </si>
  <si>
    <t xml:space="preserve">EDSON MULEYA                            </t>
  </si>
  <si>
    <t xml:space="preserve"> 2- 6- 4-4924</t>
  </si>
  <si>
    <t xml:space="preserve">SIBESO CHIYAMIKA                        </t>
  </si>
  <si>
    <t xml:space="preserve"> 2- 6- 4-4932</t>
  </si>
  <si>
    <t xml:space="preserve">CLEMENT MUDENDA                         </t>
  </si>
  <si>
    <t xml:space="preserve"> 2- 6- 4-4933</t>
  </si>
  <si>
    <t xml:space="preserve">PUNGA CHARLIES                          </t>
  </si>
  <si>
    <t xml:space="preserve"> 2- 6- 4-5075</t>
  </si>
  <si>
    <t xml:space="preserve">BEATRICE  M MUTUMBA                     </t>
  </si>
  <si>
    <t xml:space="preserve"> 2- 6- 4-5104</t>
  </si>
  <si>
    <t xml:space="preserve">DAVID MUSONDA                           </t>
  </si>
  <si>
    <t xml:space="preserve"> 2- 6- 4-5105</t>
  </si>
  <si>
    <t xml:space="preserve">MOINA CHAANGWA                          </t>
  </si>
  <si>
    <t xml:space="preserve"> 2- 6- 4-5289</t>
  </si>
  <si>
    <t xml:space="preserve">STEPHEN SIAMUCHE                        </t>
  </si>
  <si>
    <t xml:space="preserve"> 2- 6- 4-5333</t>
  </si>
  <si>
    <t xml:space="preserve">HAPPY CHIBALE                           </t>
  </si>
  <si>
    <t xml:space="preserve"> 2- 6- 4-5432</t>
  </si>
  <si>
    <t xml:space="preserve">CATHERINE N MUKAMBA                     </t>
  </si>
  <si>
    <t xml:space="preserve"> 2- 6- 4-5501</t>
  </si>
  <si>
    <t xml:space="preserve">FREDRICK KAMPAMBA                       </t>
  </si>
  <si>
    <t xml:space="preserve"> 2- 6- 4-5634</t>
  </si>
  <si>
    <t xml:space="preserve">RICKSON HIMAAMBO                        </t>
  </si>
  <si>
    <t xml:space="preserve"> 2- 6- 4-5685</t>
  </si>
  <si>
    <t xml:space="preserve">ELLAH NAKALUNZWE                        </t>
  </si>
  <si>
    <t xml:space="preserve"> 2- 6- 4-5766</t>
  </si>
  <si>
    <t xml:space="preserve">ROSEMARY MWABA                          </t>
  </si>
  <si>
    <t xml:space="preserve"> 2- 6- 4-5767</t>
  </si>
  <si>
    <t xml:space="preserve">MOONO MWAANGA                           </t>
  </si>
  <si>
    <t xml:space="preserve"> 2- 6- 4-5768</t>
  </si>
  <si>
    <t xml:space="preserve">AUDIENCE MOOMBA                         </t>
  </si>
  <si>
    <t xml:space="preserve"> 2- 6- 4-5769</t>
  </si>
  <si>
    <t xml:space="preserve">LINNETY SKANKWANDA                      </t>
  </si>
  <si>
    <t xml:space="preserve"> 2- 6- 4-5845</t>
  </si>
  <si>
    <t xml:space="preserve">RICHARD NYENDWA                         </t>
  </si>
  <si>
    <t xml:space="preserve"> 2- 6- 4-6011</t>
  </si>
  <si>
    <t xml:space="preserve">SHADRECK PHIRI                          </t>
  </si>
  <si>
    <t xml:space="preserve"> 2- 6- 4-6074</t>
  </si>
  <si>
    <t xml:space="preserve">PHILLIS MWENDA                          </t>
  </si>
  <si>
    <t xml:space="preserve"> 2- 6- 4-6313</t>
  </si>
  <si>
    <t xml:space="preserve">MWANGA MARIA                            </t>
  </si>
  <si>
    <t xml:space="preserve"> 2- 6- 4-6369</t>
  </si>
  <si>
    <t xml:space="preserve">PASCALINA M CHEWE                       </t>
  </si>
  <si>
    <t xml:space="preserve"> 2- 6- 4-6383</t>
  </si>
  <si>
    <t xml:space="preserve">CHITETA RAPHAEL                         </t>
  </si>
  <si>
    <t xml:space="preserve"> 2- 6- 4-6384</t>
  </si>
  <si>
    <t xml:space="preserve">MUDENDA SERAH                           </t>
  </si>
  <si>
    <t xml:space="preserve"> 2- 6- 4-6391</t>
  </si>
  <si>
    <t xml:space="preserve">PATRICK KACHELEWA                       </t>
  </si>
  <si>
    <t xml:space="preserve"> 2- 6- 4-8458</t>
  </si>
  <si>
    <t xml:space="preserve">8458-MAXWELL KASHILA IL                 </t>
  </si>
  <si>
    <t xml:space="preserve"> 2- 6- 5</t>
  </si>
  <si>
    <t xml:space="preserve">KITWE BRANCH- BL COLLATERAL SAVINGS     </t>
  </si>
  <si>
    <t xml:space="preserve"> 2- 6- 5-1712</t>
  </si>
  <si>
    <t xml:space="preserve">1712-HARVEST KITWE PG                   </t>
  </si>
  <si>
    <t xml:space="preserve"> 2- 6- 5-1752</t>
  </si>
  <si>
    <t xml:space="preserve">1752 ULUBUTO LUSUMA                     </t>
  </si>
  <si>
    <t xml:space="preserve"> 2- 6- 5-2011</t>
  </si>
  <si>
    <t xml:space="preserve">2011 VIRTUOUS WOMEN                     </t>
  </si>
  <si>
    <t xml:space="preserve"> 2- 6- 5-2012</t>
  </si>
  <si>
    <t xml:space="preserve">2012-NAMBASALWE PG                      </t>
  </si>
  <si>
    <t xml:space="preserve"> 2- 6- 5-2193</t>
  </si>
  <si>
    <t xml:space="preserve">2193-BUPILO PG                          </t>
  </si>
  <si>
    <t xml:space="preserve"> 2- 6- 5-2465</t>
  </si>
  <si>
    <t xml:space="preserve">2465 JOSHUA MUTITI                      </t>
  </si>
  <si>
    <t xml:space="preserve"> 2- 6- 5-2493</t>
  </si>
  <si>
    <t xml:space="preserve">2493 CYNTHIA LYOBA                      </t>
  </si>
  <si>
    <t xml:space="preserve"> 2- 6- 5-2807</t>
  </si>
  <si>
    <t xml:space="preserve">2807 JOHN CHITUNDU                      </t>
  </si>
  <si>
    <t xml:space="preserve"> 2- 6- 5-2962</t>
  </si>
  <si>
    <t xml:space="preserve">2962-HARRIET CHILEMYA IL                </t>
  </si>
  <si>
    <t xml:space="preserve"> 2- 6- 5-3014</t>
  </si>
  <si>
    <t xml:space="preserve">3014-IREEN CHANSA M                     </t>
  </si>
  <si>
    <t xml:space="preserve"> 2- 6- 5-3016</t>
  </si>
  <si>
    <t xml:space="preserve">3016-MARY NANYANGWE IL                  </t>
  </si>
  <si>
    <t xml:space="preserve"> 2- 6- 5-3041</t>
  </si>
  <si>
    <t xml:space="preserve">3041-CATHERINE SOKO IL                  </t>
  </si>
  <si>
    <t xml:space="preserve"> 2- 6- 5-3671</t>
  </si>
  <si>
    <t xml:space="preserve">3671 SOPHIA MATIPA                      </t>
  </si>
  <si>
    <t xml:space="preserve"> 2- 6- 5-4059</t>
  </si>
  <si>
    <t xml:space="preserve">4059 BEATRICE INASHO MBANGU             </t>
  </si>
  <si>
    <t xml:space="preserve"> 2- 6- 5-4275</t>
  </si>
  <si>
    <t xml:space="preserve">SILUNGWE LAZAROUS MUSONDA IL            </t>
  </si>
  <si>
    <t xml:space="preserve"> 2- 6- 5-4295</t>
  </si>
  <si>
    <t xml:space="preserve">MAUREEN MWAPE IL                        </t>
  </si>
  <si>
    <t xml:space="preserve"> 2- 6- 5-4524</t>
  </si>
  <si>
    <t xml:space="preserve">CLARA MUMBA IL                          </t>
  </si>
  <si>
    <t xml:space="preserve"> 2- 6- 5-4604</t>
  </si>
  <si>
    <t xml:space="preserve">MUKUKULA LAZAROUS                       </t>
  </si>
  <si>
    <t xml:space="preserve"> 2- 6- 5-4767</t>
  </si>
  <si>
    <t xml:space="preserve">JEMIMA BANDA                            </t>
  </si>
  <si>
    <t xml:space="preserve"> 2- 6- 5-5376</t>
  </si>
  <si>
    <t xml:space="preserve">JOHN SIKANYIKA                          </t>
  </si>
  <si>
    <t xml:space="preserve"> 2- 6- 5-5950</t>
  </si>
  <si>
    <t xml:space="preserve">DOMINIC TEMFWE CHEWE                    </t>
  </si>
  <si>
    <t xml:space="preserve"> 2- 6- 7</t>
  </si>
  <si>
    <t xml:space="preserve">NDOLA BRANCH-BL COLLATERAL SAVINGS      </t>
  </si>
  <si>
    <t xml:space="preserve"> 2- 6- 7-2960</t>
  </si>
  <si>
    <t xml:space="preserve">2960 CHARITY CHISENGA                   </t>
  </si>
  <si>
    <t xml:space="preserve"> 2- 6- 7-2961</t>
  </si>
  <si>
    <t xml:space="preserve">2961 KENNEDY SIMUUNZA                   </t>
  </si>
  <si>
    <t xml:space="preserve"> 2- 6- 7-4382</t>
  </si>
  <si>
    <t xml:space="preserve">4382-HARRISON BANDA                     </t>
  </si>
  <si>
    <t xml:space="preserve"> 2- 6- 7-4411</t>
  </si>
  <si>
    <t xml:space="preserve">ANTHONY CHILELEMA IL                    </t>
  </si>
  <si>
    <t xml:space="preserve"> 2- 6- 7-4469</t>
  </si>
  <si>
    <t xml:space="preserve">SILION MUHONGO                          </t>
  </si>
  <si>
    <t xml:space="preserve"> 2- 6- 7-5949</t>
  </si>
  <si>
    <t xml:space="preserve">SYLVIA MBULO                            </t>
  </si>
  <si>
    <t xml:space="preserve"> 2- 6- 8</t>
  </si>
  <si>
    <t xml:space="preserve">MATERO BRANCH- BL COLLATERAL SAVINGS    </t>
  </si>
  <si>
    <t xml:space="preserve"> 2- 6- 8-2930</t>
  </si>
  <si>
    <t xml:space="preserve">2930-MARVIS TOKA MUSUMALI IL            </t>
  </si>
  <si>
    <t xml:space="preserve"> 2- 6- 8-3182</t>
  </si>
  <si>
    <t xml:space="preserve">3182-CECILIA KAPANDA KANONA IL          </t>
  </si>
  <si>
    <t xml:space="preserve"> 2- 6- 8-3217</t>
  </si>
  <si>
    <t xml:space="preserve">MARY KNODOWE IL                         </t>
  </si>
  <si>
    <t xml:space="preserve"> 2- 6- 8-5152</t>
  </si>
  <si>
    <t xml:space="preserve">THOMAS MWEMBE                           </t>
  </si>
  <si>
    <t xml:space="preserve"> 2- 7</t>
  </si>
  <si>
    <t xml:space="preserve">TRANSITORY ACCOUNTS                     </t>
  </si>
  <si>
    <t xml:space="preserve"> 2- 7- 1</t>
  </si>
  <si>
    <t xml:space="preserve">TRANSITORY ACC TELLER - SAVINGS         </t>
  </si>
  <si>
    <t xml:space="preserve"> 2- 7- 1-   1</t>
  </si>
  <si>
    <t xml:space="preserve">TRANSITORY ACC TELLER - SAVINGS LUSAKA  </t>
  </si>
  <si>
    <t xml:space="preserve"> 2- 7- 1-   2</t>
  </si>
  <si>
    <t xml:space="preserve">TRANSITORY ACC TELLER - SAVINGS KABWE   </t>
  </si>
  <si>
    <t xml:space="preserve"> 2- 7- 1-   4</t>
  </si>
  <si>
    <t xml:space="preserve">TRANSITORY ACC TELLER - SAVINGS KITWE   </t>
  </si>
  <si>
    <t xml:space="preserve"> 2- 7- 1-   5</t>
  </si>
  <si>
    <t xml:space="preserve">TRANSITORY ACC TELLER - SAVINGS NDOLA   </t>
  </si>
  <si>
    <t xml:space="preserve"> 2- 7- 1-   6</t>
  </si>
  <si>
    <t xml:space="preserve">TRANSITORY ACC TELLER - SAVINGS MATERO  </t>
  </si>
  <si>
    <t xml:space="preserve"> 2- 7- 1-   7</t>
  </si>
  <si>
    <t xml:space="preserve">TRANSITORY ACC TELLER - SAVINGS SOWETO  </t>
  </si>
  <si>
    <t xml:space="preserve"> 2- 7- 1-   8</t>
  </si>
  <si>
    <t xml:space="preserve">TRANSITORY ACC TELLER-SAVINGS CHIPATA   </t>
  </si>
  <si>
    <t xml:space="preserve"> 2- 7- 1-   9</t>
  </si>
  <si>
    <t xml:space="preserve">TRANSITORY ACC TELLER-SAVINGS CHINGOLA  </t>
  </si>
  <si>
    <t xml:space="preserve"> 2- 7- 1-  10</t>
  </si>
  <si>
    <t xml:space="preserve">TRANSITORY ACC TELLER-SAVINGS CHAWAMA   </t>
  </si>
  <si>
    <t xml:space="preserve"> 2- 7- 1-  11</t>
  </si>
  <si>
    <t xml:space="preserve">TRANSITORY ACC TELLER-SAVINGS MAZABUKA  </t>
  </si>
  <si>
    <t xml:space="preserve"> 2- 8</t>
  </si>
  <si>
    <t xml:space="preserve">INTEREST PAYABLE SHORT TERM OBLIGATIONS </t>
  </si>
  <si>
    <t xml:space="preserve"> 2- 8- 1</t>
  </si>
  <si>
    <t xml:space="preserve">FOREIGN CURRENCY                        </t>
  </si>
  <si>
    <t xml:space="preserve"> 2- 8- 1-   1</t>
  </si>
  <si>
    <t xml:space="preserve">VBCF-FINCA INTERNATIONAL                </t>
  </si>
  <si>
    <t xml:space="preserve"> 2- 8- 1-   4</t>
  </si>
  <si>
    <t xml:space="preserve">INTEREST ON FMO LOAN                    </t>
  </si>
  <si>
    <t xml:space="preserve"> 2- 8- 1-   5</t>
  </si>
  <si>
    <t xml:space="preserve">INTEREST ON BLUE ORCHARD LOAN           </t>
  </si>
  <si>
    <t xml:space="preserve"> 2- 8- 1-   7</t>
  </si>
  <si>
    <t xml:space="preserve">INTEREST ON SYMBIOTIC LOAN              </t>
  </si>
  <si>
    <t xml:space="preserve"> 2- 8- 1-   8</t>
  </si>
  <si>
    <t xml:space="preserve">INTEREST ON BLUE ORCHARD LOAN - 2012    </t>
  </si>
  <si>
    <t xml:space="preserve"> 2- 8- 1-   9</t>
  </si>
  <si>
    <t xml:space="preserve">INTEREST ON TRIODOS LOAN 2012           </t>
  </si>
  <si>
    <t xml:space="preserve"> 2- 8- 1-  10</t>
  </si>
  <si>
    <t xml:space="preserve">INTEREST ON SYMBIOTIC 2012 LOAN         </t>
  </si>
  <si>
    <t xml:space="preserve"> 2- 8- 1-  11</t>
  </si>
  <si>
    <t xml:space="preserve">INTEREST ON BLUE ORCHARD LOAN 2013      </t>
  </si>
  <si>
    <t xml:space="preserve"> 2- 8- 1-  12</t>
  </si>
  <si>
    <t xml:space="preserve">INTEREST ON BLUE ORCHARD 2013 1M USD    </t>
  </si>
  <si>
    <t xml:space="preserve"> 2- 8- 1-  13</t>
  </si>
  <si>
    <t xml:space="preserve">INTEREST ON FMH 2013 1M USD LOAN        </t>
  </si>
  <si>
    <t xml:space="preserve"> 2- 8- 1-  14</t>
  </si>
  <si>
    <t xml:space="preserve">INTEREST ON SYMBIOTIC 2013 LOAN         </t>
  </si>
  <si>
    <t xml:space="preserve"> 2- 8- 1-  15</t>
  </si>
  <si>
    <t xml:space="preserve">INTEREST ON RESPONISBILITY DEBT         </t>
  </si>
  <si>
    <t xml:space="preserve"> 2- 8- 1-  16</t>
  </si>
  <si>
    <t xml:space="preserve">INTEREST ON RESPONSIBILITY 400K USD     </t>
  </si>
  <si>
    <t xml:space="preserve"> 2- 8- 1-  17</t>
  </si>
  <si>
    <t xml:space="preserve">INTEREST ON RESPONSIBILITY 600K USD     </t>
  </si>
  <si>
    <t xml:space="preserve"> 2- 8- 1-  18</t>
  </si>
  <si>
    <t xml:space="preserve">INTEREST PAYABLE ON RESPOMSIBILITY-USD  </t>
  </si>
  <si>
    <t xml:space="preserve"> 2- 8- 1-  19</t>
  </si>
  <si>
    <t xml:space="preserve">INTEREST ON BLUE ORCHARD($2M)           </t>
  </si>
  <si>
    <t xml:space="preserve"> 2- 9</t>
  </si>
  <si>
    <t xml:space="preserve">MISCELLANEOUS ACCOUNTS PAYABLE          </t>
  </si>
  <si>
    <t xml:space="preserve"> 2- 9- 1</t>
  </si>
  <si>
    <t xml:space="preserve">OTHER PROVISIONS ACCOUNTS               </t>
  </si>
  <si>
    <t xml:space="preserve"> 2- 9- 1-   1</t>
  </si>
  <si>
    <t xml:space="preserve">LOANS PAYABLE                           </t>
  </si>
  <si>
    <t xml:space="preserve"> 2- 9- 1-   2</t>
  </si>
  <si>
    <t xml:space="preserve">ACCOUNTS PAYABLE                        </t>
  </si>
  <si>
    <t xml:space="preserve"> 2- 9- 1-   6</t>
  </si>
  <si>
    <t xml:space="preserve">PROVISION FOR EXTERNAL AUDIT FEES       </t>
  </si>
  <si>
    <t xml:space="preserve"> 2- 9- 1-   7</t>
  </si>
  <si>
    <t xml:space="preserve">OTHER ACCOUNTS PAYABLES                 </t>
  </si>
  <si>
    <t xml:space="preserve"> 2- 9- 1-   8</t>
  </si>
  <si>
    <t xml:space="preserve">VB-CREDIT LIFE INSURANCE                </t>
  </si>
  <si>
    <t xml:space="preserve"> 2- 9- 1-   9</t>
  </si>
  <si>
    <t xml:space="preserve">CREDIT LIFE CLAIMS PAYABLE              </t>
  </si>
  <si>
    <t xml:space="preserve"> 2-10</t>
  </si>
  <si>
    <t xml:space="preserve">SALARY AND BENEFITS PAYABLE             </t>
  </si>
  <si>
    <t xml:space="preserve"> 2-10- 1</t>
  </si>
  <si>
    <t xml:space="preserve"> 2-10- 1-   1</t>
  </si>
  <si>
    <t xml:space="preserve">SALARY PAYABLE                          </t>
  </si>
  <si>
    <t xml:space="preserve"> 2-10- 1-   2</t>
  </si>
  <si>
    <t xml:space="preserve">GRATUITY BENEFIT                        </t>
  </si>
  <si>
    <t xml:space="preserve"> 2-10- 1-  10</t>
  </si>
  <si>
    <t xml:space="preserve">OTHERS PAYABLES                         </t>
  </si>
  <si>
    <t xml:space="preserve"> 2-11</t>
  </si>
  <si>
    <t xml:space="preserve"> 2-11- 1</t>
  </si>
  <si>
    <t xml:space="preserve">PAYABLE IN LOCAL CURRENCY               </t>
  </si>
  <si>
    <t xml:space="preserve"> 2-11- 1-   1</t>
  </si>
  <si>
    <t xml:space="preserve">NAPSA                                   </t>
  </si>
  <si>
    <t xml:space="preserve"> 2-11- 1-   2</t>
  </si>
  <si>
    <t xml:space="preserve">PAYE                                    </t>
  </si>
  <si>
    <t xml:space="preserve"> 2-11- 1-   3</t>
  </si>
  <si>
    <t xml:space="preserve">WHT ON RENT                             </t>
  </si>
  <si>
    <t xml:space="preserve"> 2-11- 1-   4</t>
  </si>
  <si>
    <t xml:space="preserve">AFFILIATION FEE PAYABLE                 </t>
  </si>
  <si>
    <t xml:space="preserve"> 2-11- 1-   6</t>
  </si>
  <si>
    <t xml:space="preserve">WHT ON CONSULTANCY FEES                 </t>
  </si>
  <si>
    <t xml:space="preserve"> 2-11- 1-   7</t>
  </si>
  <si>
    <t xml:space="preserve">VAT ON CONSULTANCY FEES                 </t>
  </si>
  <si>
    <t xml:space="preserve"> 2-11- 1-   9</t>
  </si>
  <si>
    <t xml:space="preserve">REIMBUSABLE EXPENSES PAYABLE-F/I        </t>
  </si>
  <si>
    <t xml:space="preserve"> 2-11- 1-  10</t>
  </si>
  <si>
    <t xml:space="preserve">FINCA INTERNATIONAL MANAGEMENT FEES     </t>
  </si>
  <si>
    <t xml:space="preserve"> 2-11- 1-  11</t>
  </si>
  <si>
    <t xml:space="preserve">COMPANY TAX                             </t>
  </si>
  <si>
    <t xml:space="preserve"> 2-11- 1-  12</t>
  </si>
  <si>
    <t xml:space="preserve">DEFERRED TAX                            </t>
  </si>
  <si>
    <t xml:space="preserve"> 2-11- 1-  14</t>
  </si>
  <si>
    <t xml:space="preserve">DEFERRED LOAN FEES                      </t>
  </si>
  <si>
    <t xml:space="preserve"> 2-11- 2</t>
  </si>
  <si>
    <t xml:space="preserve">LOAN FROM F/INTERNATIONAL               </t>
  </si>
  <si>
    <t xml:space="preserve"> 2-11- 2-   2</t>
  </si>
  <si>
    <t xml:space="preserve">FINCA INTERNATIONAL LOAN                </t>
  </si>
  <si>
    <t xml:space="preserve"> 2-11- 3</t>
  </si>
  <si>
    <t xml:space="preserve">SHORT TERM LOANS                        </t>
  </si>
  <si>
    <t xml:space="preserve"> 2-11- 3-   1</t>
  </si>
  <si>
    <t xml:space="preserve">FMO LOAN                                </t>
  </si>
  <si>
    <t xml:space="preserve"> 2-11- 3-   4</t>
  </si>
  <si>
    <t xml:space="preserve">SYMBIOTIC                               </t>
  </si>
  <si>
    <t xml:space="preserve"> 2-11- 3-   6</t>
  </si>
  <si>
    <t xml:space="preserve">TRIODOS LOAN 2012                       </t>
  </si>
  <si>
    <t xml:space="preserve"> 2-11- 3-   7</t>
  </si>
  <si>
    <t xml:space="preserve">SYMBIOTIC 2012 LOAN                     </t>
  </si>
  <si>
    <t xml:space="preserve"> 2-11- 3-   8</t>
  </si>
  <si>
    <t xml:space="preserve">BLUE ORCHARD LOAN 2013                  </t>
  </si>
  <si>
    <t xml:space="preserve"> 2-11- 3-   9</t>
  </si>
  <si>
    <t xml:space="preserve">BLUE ORCHARD 2013 1 MILLION USD         </t>
  </si>
  <si>
    <t xml:space="preserve"> 2-11- 3-  10</t>
  </si>
  <si>
    <t xml:space="preserve">FMH 2013 1 MILLION USD LOAN             </t>
  </si>
  <si>
    <t xml:space="preserve"> 2-11- 3-  11</t>
  </si>
  <si>
    <t xml:space="preserve">SYMBIOTIC 2013 LOAN                     </t>
  </si>
  <si>
    <t xml:space="preserve"> 2-11- 3-  12</t>
  </si>
  <si>
    <t xml:space="preserve">RESPONSIBILITY DEBT FACILITY            </t>
  </si>
  <si>
    <t xml:space="preserve"> 2-11- 3-  13</t>
  </si>
  <si>
    <t xml:space="preserve">RESPONSIBILITY 2013 400K USD            </t>
  </si>
  <si>
    <t xml:space="preserve"> 2-11- 3-  14</t>
  </si>
  <si>
    <t xml:space="preserve">RESPONSIBILITY 2013 600K USD            </t>
  </si>
  <si>
    <t xml:space="preserve"> 2-11- 3-  15</t>
  </si>
  <si>
    <t xml:space="preserve">RESPONSIBILITY USD 2000K                </t>
  </si>
  <si>
    <t xml:space="preserve"> 2-12</t>
  </si>
  <si>
    <t xml:space="preserve">OTHER TRANSITORY ACCTS                  </t>
  </si>
  <si>
    <t xml:space="preserve"> 2-12- 1</t>
  </si>
  <si>
    <t xml:space="preserve"> 2-12- 1-   1</t>
  </si>
  <si>
    <t xml:space="preserve">OVERPAYMENT FROM VILLAGE BANK           </t>
  </si>
  <si>
    <t xml:space="preserve"> 2-12- 1-   4</t>
  </si>
  <si>
    <t>UNAPPLIED DEPOSITS PORTFOLIO APPLICATION</t>
  </si>
  <si>
    <t xml:space="preserve"> 2-15</t>
  </si>
  <si>
    <t xml:space="preserve">LONG TERM OBLIGATIONS                   </t>
  </si>
  <si>
    <t xml:space="preserve"> 2-15- 1</t>
  </si>
  <si>
    <t xml:space="preserve">LONG TERM LOANS                         </t>
  </si>
  <si>
    <t xml:space="preserve"> 2-15- 1-   3</t>
  </si>
  <si>
    <t xml:space="preserve">SUB DEBT 2- SYMPHASIS                   </t>
  </si>
  <si>
    <t xml:space="preserve"> 2-25</t>
  </si>
  <si>
    <t xml:space="preserve">CONTROL ACCOUNTS - SAVINGS              </t>
  </si>
  <si>
    <t xml:space="preserve"> 2-25- 1</t>
  </si>
  <si>
    <t xml:space="preserve">AUTO TRANSITORY ACCOUNTS - SAVINGS      </t>
  </si>
  <si>
    <t xml:space="preserve"> 2-25- 1-   1</t>
  </si>
  <si>
    <t xml:space="preserve">AUTO TRANSITORY - SAVINGS               </t>
  </si>
  <si>
    <t xml:space="preserve">EQUITY                                  </t>
  </si>
  <si>
    <t xml:space="preserve"> 3- 1</t>
  </si>
  <si>
    <t xml:space="preserve"> 3- 1- 1</t>
  </si>
  <si>
    <t xml:space="preserve">PRIMARY CONTRIBUTIONS                   </t>
  </si>
  <si>
    <t xml:space="preserve"> 3- 1- 1-   1</t>
  </si>
  <si>
    <t xml:space="preserve">SHARE CAPITAL                           </t>
  </si>
  <si>
    <t xml:space="preserve"> 3- 3</t>
  </si>
  <si>
    <t xml:space="preserve">GRANTS AND RESERVES                     </t>
  </si>
  <si>
    <t xml:space="preserve"> 3- 3- 3</t>
  </si>
  <si>
    <t xml:space="preserve">RESERVES                                </t>
  </si>
  <si>
    <t xml:space="preserve"> 3- 3- 3-   1</t>
  </si>
  <si>
    <t xml:space="preserve">CREDIT RISK RESERVE                     </t>
  </si>
  <si>
    <t xml:space="preserve"> 3- 3- 3-   3</t>
  </si>
  <si>
    <t xml:space="preserve">UNDISTRIBUTABLE RESERVES                </t>
  </si>
  <si>
    <t xml:space="preserve"> 3- 5</t>
  </si>
  <si>
    <t xml:space="preserve">RETAINED EARNINGS                       </t>
  </si>
  <si>
    <t xml:space="preserve"> 3- 5- 1</t>
  </si>
  <si>
    <t xml:space="preserve">RESULT FROM PREVIOUS YEAR               </t>
  </si>
  <si>
    <t xml:space="preserve"> 3- 5- 1-   6</t>
  </si>
  <si>
    <t xml:space="preserve">SURPLUS/(DEFICIT) FOR PERIOD SEPT-DEC05 </t>
  </si>
  <si>
    <t xml:space="preserve"> 3- 5- 1-   7</t>
  </si>
  <si>
    <t xml:space="preserve">SURPLUS/(DEFICIT)FISCAL YEAR 2006       </t>
  </si>
  <si>
    <t xml:space="preserve"> 3- 5- 1-   9</t>
  </si>
  <si>
    <t xml:space="preserve">SURPLUS/(DEFICIT) FY 2007               </t>
  </si>
  <si>
    <t xml:space="preserve"> 3- 5- 1-  10</t>
  </si>
  <si>
    <t xml:space="preserve">SURPLUS/(DEFICIT) FY 2008               </t>
  </si>
  <si>
    <t xml:space="preserve"> 3- 5- 1-  11</t>
  </si>
  <si>
    <t xml:space="preserve">SURPLUS/(DEFICIT) FISCAL YEAR 2009      </t>
  </si>
  <si>
    <t xml:space="preserve"> 3- 5- 1-  12</t>
  </si>
  <si>
    <t xml:space="preserve">RETAINED EARNINGS - CREDIT RISK         </t>
  </si>
  <si>
    <t xml:space="preserve"> 3- 5- 1-  13</t>
  </si>
  <si>
    <t xml:space="preserve">SURPLUS/(DEFICIT) FISCAL YEAR 2010      </t>
  </si>
  <si>
    <t xml:space="preserve"> 3- 5- 1-  14</t>
  </si>
  <si>
    <t xml:space="preserve">SURPLUS/(DEFICIT) FISCAL YEAR 2011      </t>
  </si>
  <si>
    <t xml:space="preserve"> 3- 5- 1-  15</t>
  </si>
  <si>
    <t xml:space="preserve">SURPLUS/(DEFICIT) FISCAL YEAR 2012      </t>
  </si>
  <si>
    <t xml:space="preserve">INCOME                                  </t>
  </si>
  <si>
    <t xml:space="preserve"> 4- 1</t>
  </si>
  <si>
    <t>PORTFOLIO FINANCIAL INCOME LOCAL CURRENC</t>
  </si>
  <si>
    <t xml:space="preserve"> 4- 1- 1</t>
  </si>
  <si>
    <t>CURRENT INTEREST ON LOANS-LOCAL CURRENCY</t>
  </si>
  <si>
    <t xml:space="preserve"> 4- 1- 1-   1</t>
  </si>
  <si>
    <t xml:space="preserve">VILLAGE BANK CURRENT INTEREST ON LOANS  </t>
  </si>
  <si>
    <t xml:space="preserve"> 4- 1- 1-   3</t>
  </si>
  <si>
    <t xml:space="preserve">CURRENT INTEREST ON LOANS-STAFF LOANS   </t>
  </si>
  <si>
    <t xml:space="preserve"> 4- 1- 1-   4</t>
  </si>
  <si>
    <t xml:space="preserve">BUSINESS LOAN-CURRENT INTEREST ON LOAN  </t>
  </si>
  <si>
    <t xml:space="preserve"> 4- 1- 1-   7</t>
  </si>
  <si>
    <t xml:space="preserve">SGL CURRENT INTEREST ON LOANS           </t>
  </si>
  <si>
    <t xml:space="preserve"> 4- 1- 2</t>
  </si>
  <si>
    <t>PENALTY INTEREST ON LOAN IN ARREARS - LC</t>
  </si>
  <si>
    <t xml:space="preserve"> 4- 1- 2-   1</t>
  </si>
  <si>
    <t xml:space="preserve">VILLAGE BANK-LATE CHARGE PENALTY        </t>
  </si>
  <si>
    <t xml:space="preserve"> 4- 2</t>
  </si>
  <si>
    <t xml:space="preserve">FEE INCOME FROM FINCA SAVINGS ACCOUNTS  </t>
  </si>
  <si>
    <t xml:space="preserve"> 4- 2- 1</t>
  </si>
  <si>
    <t xml:space="preserve">FEE INCOME FROM FINCA FLEX ACCOUNTS     </t>
  </si>
  <si>
    <t xml:space="preserve"> 4- 2- 1-   1</t>
  </si>
  <si>
    <t xml:space="preserve">INCOME FROM FINCA FLEX - OPENING FEE    </t>
  </si>
  <si>
    <t xml:space="preserve"> 4- 2- 1-   2</t>
  </si>
  <si>
    <t>INCOME FROM FINCA FLEX - MAINTENANCE FEE</t>
  </si>
  <si>
    <t xml:space="preserve"> 4- 2- 1-   6</t>
  </si>
  <si>
    <t xml:space="preserve">INCOME FROM FINCA VB FLEX - MAINTENANCE </t>
  </si>
  <si>
    <t xml:space="preserve"> 4- 3</t>
  </si>
  <si>
    <t>FINANCIAL INCOME ON DEPOSITS LOCAL CURRE</t>
  </si>
  <si>
    <t xml:space="preserve"> 4- 3- 1</t>
  </si>
  <si>
    <t xml:space="preserve">FINANCIAL INCOME ON DEPOSITS            </t>
  </si>
  <si>
    <t xml:space="preserve"> 4- 3- 1-   1</t>
  </si>
  <si>
    <t xml:space="preserve">FINANCIAL INCOME ON CHECKING ACCOUNTS   </t>
  </si>
  <si>
    <t xml:space="preserve"> 4- 5</t>
  </si>
  <si>
    <t>FINANCIAL INCOME ON INVES LOCAL CURRENCY</t>
  </si>
  <si>
    <t xml:space="preserve"> 4- 5- 1</t>
  </si>
  <si>
    <t xml:space="preserve">FINANCIAL INCOME ON INVESTMENTS         </t>
  </si>
  <si>
    <t xml:space="preserve"> 4- 5- 1-   3</t>
  </si>
  <si>
    <t xml:space="preserve">FINANCIAL INCOME FROM GOVT INSTITUTIONS </t>
  </si>
  <si>
    <t xml:space="preserve"> 4- 7</t>
  </si>
  <si>
    <t xml:space="preserve">PORTFOLIO INCOME-OTHER                  </t>
  </si>
  <si>
    <t xml:space="preserve"> 4- 7- 1</t>
  </si>
  <si>
    <t xml:space="preserve">INCOME FROM WRITTEN OFF LOANS           </t>
  </si>
  <si>
    <t xml:space="preserve"> 4- 7- 1-   1</t>
  </si>
  <si>
    <t xml:space="preserve">INCOME WRITEOFF LOANS-VILLAGE BANKING   </t>
  </si>
  <si>
    <t xml:space="preserve"> 4- 7- 1-   2</t>
  </si>
  <si>
    <t xml:space="preserve">INCOME WRITEOFF LOANS - BUSINESS LOANS  </t>
  </si>
  <si>
    <t xml:space="preserve"> 4- 7- 1-   3</t>
  </si>
  <si>
    <t xml:space="preserve">INCOME WRITEOFF LOANS - SGL             </t>
  </si>
  <si>
    <t xml:space="preserve"> 4- 7- 2</t>
  </si>
  <si>
    <t xml:space="preserve">INCOME FROM LOAN FEES                   </t>
  </si>
  <si>
    <t xml:space="preserve"> 4- 7- 2-   2</t>
  </si>
  <si>
    <t xml:space="preserve">ESTABLISHMENT FEES-BUSINESS LOANS       </t>
  </si>
  <si>
    <t xml:space="preserve"> 4- 7- 2-   3</t>
  </si>
  <si>
    <t xml:space="preserve">ARRANGEMENT FEES GROUP LOANS            </t>
  </si>
  <si>
    <t xml:space="preserve"> 4- 7- 2-   4</t>
  </si>
  <si>
    <t xml:space="preserve">ARRANGEMENT FEES EXPRESS LOANS          </t>
  </si>
  <si>
    <t xml:space="preserve"> 4- 7- 2-   5</t>
  </si>
  <si>
    <t>ARRANGEMENT FEES - SMALL ENTERPRISE LOAN</t>
  </si>
  <si>
    <t xml:space="preserve"> 4- 7- 2-   6</t>
  </si>
  <si>
    <t xml:space="preserve">ASSET INSPECTION                        </t>
  </si>
  <si>
    <t xml:space="preserve"> 4- 7- 2-   7</t>
  </si>
  <si>
    <t xml:space="preserve">CRB SEARCH FEES                         </t>
  </si>
  <si>
    <t xml:space="preserve"> 4- 7- 2-   8</t>
  </si>
  <si>
    <t xml:space="preserve">LAWYER SERVICES                         </t>
  </si>
  <si>
    <t xml:space="preserve"> 4- 7- 2-   9</t>
  </si>
  <si>
    <t xml:space="preserve">DEPOSIT FEES                            </t>
  </si>
  <si>
    <t xml:space="preserve"> 4- 7- 3</t>
  </si>
  <si>
    <t xml:space="preserve"> 4- 7- 3-   1</t>
  </si>
  <si>
    <t xml:space="preserve">ADMINISTRATION FEES                     </t>
  </si>
  <si>
    <t xml:space="preserve"> 4- 7- 3-   2</t>
  </si>
  <si>
    <t xml:space="preserve">INCOME FROM FIXED ASSETS INSURANCE      </t>
  </si>
  <si>
    <t xml:space="preserve"> 4- 9</t>
  </si>
  <si>
    <t xml:space="preserve">GRANT INCOME                            </t>
  </si>
  <si>
    <t xml:space="preserve"> 4- 9- 1</t>
  </si>
  <si>
    <t xml:space="preserve">OPERATING GRANT INCOME                  </t>
  </si>
  <si>
    <t xml:space="preserve"> 4- 9- 1-   1</t>
  </si>
  <si>
    <t xml:space="preserve">FINCA INTERNATIONAL                     </t>
  </si>
  <si>
    <t xml:space="preserve"> 4-10</t>
  </si>
  <si>
    <t xml:space="preserve">EXTRAORDINARY INCOMES                   </t>
  </si>
  <si>
    <t xml:space="preserve"> 4-10- 1</t>
  </si>
  <si>
    <t xml:space="preserve">EXCEPTIONAL INCOME-FINANCIAL ASSETS     </t>
  </si>
  <si>
    <t xml:space="preserve"> 4-10- 1-   1</t>
  </si>
  <si>
    <t xml:space="preserve">RESULTS-FINANCIAL ASSETS AT FAIR VALUE  </t>
  </si>
  <si>
    <t xml:space="preserve"> 4-10- 4</t>
  </si>
  <si>
    <t xml:space="preserve">EXCHANGE RATE INCOME                    </t>
  </si>
  <si>
    <t xml:space="preserve"> 4-10- 4-   1</t>
  </si>
  <si>
    <t xml:space="preserve"> 4-10- 5</t>
  </si>
  <si>
    <t xml:space="preserve">OTHER INCOME                            </t>
  </si>
  <si>
    <t xml:space="preserve"> 4-10- 5-   2</t>
  </si>
  <si>
    <t xml:space="preserve">SUNDRY INCOME                           </t>
  </si>
  <si>
    <t xml:space="preserve"> 4-10- 5-   5</t>
  </si>
  <si>
    <t xml:space="preserve">EXPENSES                                </t>
  </si>
  <si>
    <t xml:space="preserve"> 5- 1</t>
  </si>
  <si>
    <t xml:space="preserve">FINANCIAL EXPENSES                      </t>
  </si>
  <si>
    <t xml:space="preserve"> 5- 1- 1</t>
  </si>
  <si>
    <t xml:space="preserve">INTEREST OBLIGATIONS                    </t>
  </si>
  <si>
    <t xml:space="preserve"> 5- 1- 1-   1</t>
  </si>
  <si>
    <t xml:space="preserve">INTEREST OBLIGATIONS IN LOCAL CURRENCY  </t>
  </si>
  <si>
    <t xml:space="preserve"> 5- 1- 1-   3</t>
  </si>
  <si>
    <t xml:space="preserve">INTEREST PAID VBCF                      </t>
  </si>
  <si>
    <t xml:space="preserve"> 5- 1- 1-   4</t>
  </si>
  <si>
    <t xml:space="preserve">INTEREST PAID ON FMO LOAN               </t>
  </si>
  <si>
    <t xml:space="preserve"> 5- 1- 1-   5</t>
  </si>
  <si>
    <t xml:space="preserve">INTEREST PAID ON BLUE ORCHARD LOAN      </t>
  </si>
  <si>
    <t xml:space="preserve"> 5- 1- 1-   6</t>
  </si>
  <si>
    <t xml:space="preserve">INTEREST PAID ON TRIPLE JUMP LOAN       </t>
  </si>
  <si>
    <t xml:space="preserve"> 5- 1- 1-   7</t>
  </si>
  <si>
    <t xml:space="preserve">INTEREST PAID ON SYMBIOTIC LOAN         </t>
  </si>
  <si>
    <t xml:space="preserve"> 5- 1- 1-   8</t>
  </si>
  <si>
    <t xml:space="preserve">INTEREST PAID ON BLUE ORCHARD LOAN 2012 </t>
  </si>
  <si>
    <t xml:space="preserve"> 5- 1- 1-   9</t>
  </si>
  <si>
    <t xml:space="preserve">INTEREST ON TRIDOS LOAN 2012            </t>
  </si>
  <si>
    <t xml:space="preserve"> 5- 1- 1-  10</t>
  </si>
  <si>
    <t xml:space="preserve">INTEREST PAID ON SYMBIOTIC 2012 LOAN    </t>
  </si>
  <si>
    <t xml:space="preserve"> 5- 1- 1-  11</t>
  </si>
  <si>
    <t xml:space="preserve">INTEREST PAID ON BLUE ORCHARD 2013 LOAN </t>
  </si>
  <si>
    <t xml:space="preserve"> 5- 1- 1-  12</t>
  </si>
  <si>
    <t xml:space="preserve"> 5- 1- 1-  13</t>
  </si>
  <si>
    <t xml:space="preserve">INTEREST PAID ON FMH 2013 1M USD LOAN   </t>
  </si>
  <si>
    <t xml:space="preserve"> 5- 1- 1-  14</t>
  </si>
  <si>
    <t xml:space="preserve">INTEREST PAID ON SYMBIOTIC 2013 LOAN    </t>
  </si>
  <si>
    <t xml:space="preserve"> 5- 1- 1-  15</t>
  </si>
  <si>
    <t>INTEREST PAID ON RESPONSIBILITY DEBT FAC</t>
  </si>
  <si>
    <t xml:space="preserve"> 5- 1- 1-  16</t>
  </si>
  <si>
    <t xml:space="preserve"> 5- 1- 1-  17</t>
  </si>
  <si>
    <t xml:space="preserve"> 5- 1- 1-  18</t>
  </si>
  <si>
    <t xml:space="preserve">INTEREST EXPENCE ON RESPONSIBILITY-USD  </t>
  </si>
  <si>
    <t xml:space="preserve"> 5- 1- 1-  19</t>
  </si>
  <si>
    <t xml:space="preserve">INTEREST ON BLUE ORCHARD 2013($2M)      </t>
  </si>
  <si>
    <t xml:space="preserve"> 5- 1- 1-  20</t>
  </si>
  <si>
    <t xml:space="preserve">INTEREST EXPENSE ON TRIDOS-USD 1000K    </t>
  </si>
  <si>
    <t xml:space="preserve"> 5- 1- 2</t>
  </si>
  <si>
    <t xml:space="preserve">FEE ON OBLIGATIONS                      </t>
  </si>
  <si>
    <t xml:space="preserve"> 5- 1- 2-   3</t>
  </si>
  <si>
    <t xml:space="preserve">UPFRONT FEES ON BLUE ORCHARD LOAN       </t>
  </si>
  <si>
    <t xml:space="preserve"> 5- 1- 3</t>
  </si>
  <si>
    <t xml:space="preserve">INTEREST PAID ON FINCA SAVINGS ACCOUNTS </t>
  </si>
  <si>
    <t xml:space="preserve"> 5- 1- 3-   1</t>
  </si>
  <si>
    <t xml:space="preserve">INTERST PAID ON FINCA SAVER             </t>
  </si>
  <si>
    <t xml:space="preserve"> 5- 1- 3-   2</t>
  </si>
  <si>
    <t xml:space="preserve">INTEREST PAID ON INDIVIDUAL FTD         </t>
  </si>
  <si>
    <t xml:space="preserve"> 5- 1- 3-   3</t>
  </si>
  <si>
    <t xml:space="preserve">INTEREST PAID ON FIT DEPOSITS           </t>
  </si>
  <si>
    <t xml:space="preserve"> 5- 1- 3-   4</t>
  </si>
  <si>
    <t xml:space="preserve">INTEREST PAID ON BANJA SAVINGS          </t>
  </si>
  <si>
    <t xml:space="preserve"> 5- 2</t>
  </si>
  <si>
    <t xml:space="preserve">BRANCH OFFICE OPERATING EXPENSES        </t>
  </si>
  <si>
    <t xml:space="preserve"> 5- 2- 1</t>
  </si>
  <si>
    <t xml:space="preserve">CREDIT EMPLOYEES' WAGES AND SALARIES    </t>
  </si>
  <si>
    <t xml:space="preserve"> 5- 2- 1-   1</t>
  </si>
  <si>
    <t xml:space="preserve">REGULAR SALARIES                        </t>
  </si>
  <si>
    <t xml:space="preserve"> 5- 2- 1-   3</t>
  </si>
  <si>
    <t xml:space="preserve">CREDIT EMPLOYEES BONUS                  </t>
  </si>
  <si>
    <t xml:space="preserve"> 5- 2- 1-   4</t>
  </si>
  <si>
    <t xml:space="preserve">VACATIONS LEAVE PAYMENTS                </t>
  </si>
  <si>
    <t xml:space="preserve"> 5- 2- 2</t>
  </si>
  <si>
    <t xml:space="preserve">CREDIT EMPLOYEE BENEFITS                </t>
  </si>
  <si>
    <t xml:space="preserve"> 5- 2- 2-   1</t>
  </si>
  <si>
    <t xml:space="preserve">NAPSA EMPLOYER'S CONTRIBUTIONS          </t>
  </si>
  <si>
    <t xml:space="preserve"> 5- 2- 2-   2</t>
  </si>
  <si>
    <t xml:space="preserve">STAFF BENEFITS                          </t>
  </si>
  <si>
    <t xml:space="preserve"> 5- 2- 2-   3</t>
  </si>
  <si>
    <t xml:space="preserve">MEDICAL EXPENSES                        </t>
  </si>
  <si>
    <t xml:space="preserve"> 5- 2- 2-   6</t>
  </si>
  <si>
    <t xml:space="preserve">OTHER BENEFITS                          </t>
  </si>
  <si>
    <t xml:space="preserve"> 5- 2- 3</t>
  </si>
  <si>
    <t>NATIONAL TRANSPORTATION- CREDIT EMPLOYEE</t>
  </si>
  <si>
    <t xml:space="preserve"> 5- 2- 3-   1</t>
  </si>
  <si>
    <t xml:space="preserve">VEHICLE EXPENSE - PETROL/FUELS          </t>
  </si>
  <si>
    <t xml:space="preserve"> 5- 2- 3-   2</t>
  </si>
  <si>
    <t xml:space="preserve">REPAIR AND MAINTENANCE-OTHERS           </t>
  </si>
  <si>
    <t xml:space="preserve"> 5- 2- 3-   3</t>
  </si>
  <si>
    <t xml:space="preserve">VEHICLE EXPENSES                        </t>
  </si>
  <si>
    <t xml:space="preserve"> 5- 2- 3-   5</t>
  </si>
  <si>
    <t xml:space="preserve">INTERNAL TRANSPORTATION                 </t>
  </si>
  <si>
    <t xml:space="preserve"> 5- 2- 3-   6</t>
  </si>
  <si>
    <t xml:space="preserve">PERDIEM/LODGING                         </t>
  </si>
  <si>
    <t xml:space="preserve"> 5- 2- 3-   7</t>
  </si>
  <si>
    <t xml:space="preserve">RELOCATION EXPENSES                     </t>
  </si>
  <si>
    <t xml:space="preserve"> 5- 2- 4</t>
  </si>
  <si>
    <t xml:space="preserve">CREDIT MANAGEMENT EXPENSES              </t>
  </si>
  <si>
    <t xml:space="preserve"> 5- 2- 4-   2</t>
  </si>
  <si>
    <t xml:space="preserve">MEETING EXPENSES                        </t>
  </si>
  <si>
    <t xml:space="preserve"> 5- 2- 4-   3</t>
  </si>
  <si>
    <t xml:space="preserve">CLIENTS MEALS/REFRESHMENTS              </t>
  </si>
  <si>
    <t xml:space="preserve"> 5- 2- 4-   7</t>
  </si>
  <si>
    <t xml:space="preserve">LEGAL EXPENSES                          </t>
  </si>
  <si>
    <t xml:space="preserve"> 5- 2- 4-   8</t>
  </si>
  <si>
    <t xml:space="preserve">PHOTOGRAPHS                             </t>
  </si>
  <si>
    <t xml:space="preserve"> 5- 2- 5</t>
  </si>
  <si>
    <t xml:space="preserve">CREDIT EMPLOYEES TRAINING EXPENSES      </t>
  </si>
  <si>
    <t xml:space="preserve"> 5- 2- 5-   1</t>
  </si>
  <si>
    <t xml:space="preserve">TRAINING AND SEMINARS                   </t>
  </si>
  <si>
    <t xml:space="preserve"> 5- 2- 6</t>
  </si>
  <si>
    <t xml:space="preserve">GENERAL-INSURANCE EXPENSES              </t>
  </si>
  <si>
    <t xml:space="preserve"> 5- 2- 6-   1</t>
  </si>
  <si>
    <t xml:space="preserve">INSURANCE - MONEY                       </t>
  </si>
  <si>
    <t xml:space="preserve"> 5- 2- 6-   4</t>
  </si>
  <si>
    <t xml:space="preserve">INSURANCE- MOTOR                        </t>
  </si>
  <si>
    <t xml:space="preserve"> 5- 2- 7</t>
  </si>
  <si>
    <t xml:space="preserve">GENERAL PROPERTY MAINTENANCE &amp; REPAIR   </t>
  </si>
  <si>
    <t xml:space="preserve"> 5- 2- 7-   1</t>
  </si>
  <si>
    <t xml:space="preserve">OFFICE MAINTENANCE &amp; REPAIR             </t>
  </si>
  <si>
    <t xml:space="preserve"> 5- 2- 7-   5</t>
  </si>
  <si>
    <t xml:space="preserve">EQUIPMENT MAINTENANCE                   </t>
  </si>
  <si>
    <t xml:space="preserve"> 5- 2- 8</t>
  </si>
  <si>
    <t xml:space="preserve">GENERAL OTHER EXPENSES                  </t>
  </si>
  <si>
    <t xml:space="preserve"> 5- 2- 8-   1</t>
  </si>
  <si>
    <t xml:space="preserve">LEGAL FEE AND EXPENSES                  </t>
  </si>
  <si>
    <t xml:space="preserve"> 5- 2- 8-   5</t>
  </si>
  <si>
    <t xml:space="preserve">BANK CHARGES                            </t>
  </si>
  <si>
    <t xml:space="preserve"> 5- 2- 8-   6</t>
  </si>
  <si>
    <t xml:space="preserve">MARKETING EXPENSES                      </t>
  </si>
  <si>
    <t xml:space="preserve"> 5- 2- 8-   8</t>
  </si>
  <si>
    <t xml:space="preserve">TELEPHONE AND FAX EXPENSES              </t>
  </si>
  <si>
    <t xml:space="preserve"> 5- 2- 8-   9</t>
  </si>
  <si>
    <t xml:space="preserve">MAILING AND COURIER EXPENSES            </t>
  </si>
  <si>
    <t xml:space="preserve"> 5- 2- 8-  11</t>
  </si>
  <si>
    <t xml:space="preserve">ELECTRICITY EXPENSES                    </t>
  </si>
  <si>
    <t xml:space="preserve"> 5- 2- 8-  12</t>
  </si>
  <si>
    <t xml:space="preserve">WATER AND SEWERAGE                      </t>
  </si>
  <si>
    <t xml:space="preserve"> 5- 2- 8-  13</t>
  </si>
  <si>
    <t xml:space="preserve">SECURITY EXPENSES                       </t>
  </si>
  <si>
    <t xml:space="preserve"> 5- 2- 8-  14</t>
  </si>
  <si>
    <t xml:space="preserve">INTERANTIONAL TRANSPORTATION            </t>
  </si>
  <si>
    <t xml:space="preserve"> 5- 2- 8-  16</t>
  </si>
  <si>
    <t xml:space="preserve">STATIONERY COSTS VILLAGE BANK           </t>
  </si>
  <si>
    <t xml:space="preserve"> 5- 2- 8-  17</t>
  </si>
  <si>
    <t xml:space="preserve">STAFF REFRESHMENTS                      </t>
  </si>
  <si>
    <t xml:space="preserve"> 5- 2- 8-  18</t>
  </si>
  <si>
    <t xml:space="preserve"> 5- 2- 8-  19</t>
  </si>
  <si>
    <t xml:space="preserve">EQUIPMENT ACCESSORIES                   </t>
  </si>
  <si>
    <t xml:space="preserve"> 5- 2- 8-  24</t>
  </si>
  <si>
    <t xml:space="preserve">PUBLICITY EXPENSES                      </t>
  </si>
  <si>
    <t xml:space="preserve"> 5- 2- 8-  25</t>
  </si>
  <si>
    <t xml:space="preserve">OFFICE SUPPLIES                         </t>
  </si>
  <si>
    <t xml:space="preserve"> 5- 2- 8-  26</t>
  </si>
  <si>
    <t xml:space="preserve">NEWSPAPERS &amp; SUBSCRIPTION               </t>
  </si>
  <si>
    <t xml:space="preserve"> 5- 2- 8-  29</t>
  </si>
  <si>
    <t xml:space="preserve">RENT - EQUIPMENT &amp; FURNITURE            </t>
  </si>
  <si>
    <t xml:space="preserve"> 5- 2- 8-  33</t>
  </si>
  <si>
    <t xml:space="preserve"> 5- 2-11</t>
  </si>
  <si>
    <t xml:space="preserve">PROVISION OF BAD LOAN ESTIMATE          </t>
  </si>
  <si>
    <t xml:space="preserve"> 5- 2-11-   1</t>
  </si>
  <si>
    <t xml:space="preserve">VILLAGE BANK                            </t>
  </si>
  <si>
    <t xml:space="preserve"> 5- 2-12</t>
  </si>
  <si>
    <t xml:space="preserve">PROVISION FOR DEPRECIATION              </t>
  </si>
  <si>
    <t xml:space="preserve"> 5- 2-12-   1</t>
  </si>
  <si>
    <t xml:space="preserve">DEPRECITION OF EQUIPMENT                </t>
  </si>
  <si>
    <t xml:space="preserve"> 5- 2-12-   2</t>
  </si>
  <si>
    <t xml:space="preserve">DEPRECIATION OF FURNITURE AND FITTINGS  </t>
  </si>
  <si>
    <t xml:space="preserve"> 5- 2-12-   4</t>
  </si>
  <si>
    <t xml:space="preserve">DEPRECIATION OF SOFTWARE                </t>
  </si>
  <si>
    <t xml:space="preserve"> 5- 2-12-   6</t>
  </si>
  <si>
    <t xml:space="preserve">DEPRECIATION OTHER FIXED ASSETS         </t>
  </si>
  <si>
    <t xml:space="preserve"> 5- 2-12-   7</t>
  </si>
  <si>
    <t>DEPRECIATION/AMORT LEASEHOLD IMPROVMENTS</t>
  </si>
  <si>
    <t xml:space="preserve"> 5- 3</t>
  </si>
  <si>
    <t xml:space="preserve">HEAD OFFICE OPERATING EXPENSES          </t>
  </si>
  <si>
    <t xml:space="preserve"> 5- 3- 1</t>
  </si>
  <si>
    <t>ADMINISTRATIVE EMPLOYEES WAGES AND SALAR</t>
  </si>
  <si>
    <t xml:space="preserve"> 5- 3- 1-   1</t>
  </si>
  <si>
    <t xml:space="preserve"> 5- 3- 1-   3</t>
  </si>
  <si>
    <t xml:space="preserve">ADMINISTRATIVE EMPLOYEE BONUS           </t>
  </si>
  <si>
    <t xml:space="preserve"> 5- 3- 1-   4</t>
  </si>
  <si>
    <t xml:space="preserve">VACATIONS                               </t>
  </si>
  <si>
    <t xml:space="preserve"> 5- 3- 2</t>
  </si>
  <si>
    <t xml:space="preserve">ADMINISTRATIVE EMPLOYEES BENEFITS       </t>
  </si>
  <si>
    <t xml:space="preserve"> 5- 3- 2-   1</t>
  </si>
  <si>
    <t xml:space="preserve">NAPSA EMPLOYER'S CONTRIBUTION           </t>
  </si>
  <si>
    <t xml:space="preserve"> 5- 3- 2-   3</t>
  </si>
  <si>
    <t xml:space="preserve"> 5- 3- 2-   5</t>
  </si>
  <si>
    <t xml:space="preserve"> 5- 3- 3</t>
  </si>
  <si>
    <t>NATIONAL TRANSPORT ADMINISTRATIVE EMPLOY</t>
  </si>
  <si>
    <t xml:space="preserve"> 5- 3- 3-   1</t>
  </si>
  <si>
    <t xml:space="preserve">VEHICLE EXPENSES - PETROL/FUELS         </t>
  </si>
  <si>
    <t xml:space="preserve"> 5- 3- 3-   2</t>
  </si>
  <si>
    <t xml:space="preserve">REPAIR AND MAINTENANCE -OTHERS          </t>
  </si>
  <si>
    <t xml:space="preserve"> 5- 3- 3-   3</t>
  </si>
  <si>
    <t xml:space="preserve"> 5- 3- 3-   5</t>
  </si>
  <si>
    <t xml:space="preserve"> 5- 3- 3-   6</t>
  </si>
  <si>
    <t xml:space="preserve"> 5- 3- 3-   7</t>
  </si>
  <si>
    <t xml:space="preserve"> 5- 3- 4</t>
  </si>
  <si>
    <t xml:space="preserve">ADMINISTRATION MANAGEMENT EXPENSES      </t>
  </si>
  <si>
    <t xml:space="preserve"> 5- 3- 4-   2</t>
  </si>
  <si>
    <t xml:space="preserve"> 5- 3- 4-   4</t>
  </si>
  <si>
    <t xml:space="preserve">STAFF TRANSPORTATION                    </t>
  </si>
  <si>
    <t xml:space="preserve"> 5- 3- 4-   6</t>
  </si>
  <si>
    <t xml:space="preserve">RECRUITMENT COSTS                       </t>
  </si>
  <si>
    <t xml:space="preserve"> 5- 3- 4-   7</t>
  </si>
  <si>
    <t xml:space="preserve"> 5- 3- 4-   8</t>
  </si>
  <si>
    <t xml:space="preserve">HEAD OFFICE PHOTOGRAHS                  </t>
  </si>
  <si>
    <t xml:space="preserve"> 5- 3- 4-   9</t>
  </si>
  <si>
    <t xml:space="preserve">PENALTIES AND FEES                      </t>
  </si>
  <si>
    <t xml:space="preserve"> 5- 3- 5</t>
  </si>
  <si>
    <t>ADMINSTRATIVE EMPLOYEES TRAINING EXPENSE</t>
  </si>
  <si>
    <t xml:space="preserve"> 5- 3- 5-   1</t>
  </si>
  <si>
    <t xml:space="preserve">TRAINING AND SEMINAR                    </t>
  </si>
  <si>
    <t xml:space="preserve"> 5- 3- 6</t>
  </si>
  <si>
    <t xml:space="preserve"> 5- 3- 6-   1</t>
  </si>
  <si>
    <t xml:space="preserve"> 5- 3- 6-   2</t>
  </si>
  <si>
    <t xml:space="preserve">INSURANCE-FIDELITY GUARANTEE            </t>
  </si>
  <si>
    <t xml:space="preserve"> 5- 3- 6-   4</t>
  </si>
  <si>
    <t xml:space="preserve">INSURANCE-MOTOR                         </t>
  </si>
  <si>
    <t xml:space="preserve"> 5- 3- 6-   5</t>
  </si>
  <si>
    <t xml:space="preserve">INSURANCE-ALL RISK                      </t>
  </si>
  <si>
    <t xml:space="preserve"> 5- 3- 7</t>
  </si>
  <si>
    <t xml:space="preserve"> 5- 3- 7-   1</t>
  </si>
  <si>
    <t xml:space="preserve">PROPERTY MAINTENANCE                    </t>
  </si>
  <si>
    <t xml:space="preserve"> 5- 3- 7-   5</t>
  </si>
  <si>
    <t xml:space="preserve">VEHICLE MAINTENCE                       </t>
  </si>
  <si>
    <t xml:space="preserve"> 5- 3- 7-   6</t>
  </si>
  <si>
    <t xml:space="preserve"> 5- 3- 8</t>
  </si>
  <si>
    <t xml:space="preserve">GENERAL ADMINSTRATIVE EXPENSES          </t>
  </si>
  <si>
    <t xml:space="preserve"> 5- 3- 8-   2</t>
  </si>
  <si>
    <t xml:space="preserve">EXTERNAL AUDITOR                        </t>
  </si>
  <si>
    <t xml:space="preserve"> 5- 3- 8-   3</t>
  </si>
  <si>
    <t xml:space="preserve">TAXES                                   </t>
  </si>
  <si>
    <t xml:space="preserve"> 5- 3- 8-   5</t>
  </si>
  <si>
    <t xml:space="preserve"> 5- 3- 8-   6</t>
  </si>
  <si>
    <t xml:space="preserve"> 5- 3- 8-   7</t>
  </si>
  <si>
    <t xml:space="preserve">AFFILIATION FEE                         </t>
  </si>
  <si>
    <t xml:space="preserve"> 5- 3- 8-   8</t>
  </si>
  <si>
    <t xml:space="preserve"> 5- 3- 8-   9</t>
  </si>
  <si>
    <t xml:space="preserve"> 5- 3- 8-  11</t>
  </si>
  <si>
    <t xml:space="preserve"> 5- 3- 8-  12</t>
  </si>
  <si>
    <t xml:space="preserve">WATER AND SEWERAGE EXPENSES             </t>
  </si>
  <si>
    <t xml:space="preserve"> 5- 3- 8-  13</t>
  </si>
  <si>
    <t xml:space="preserve"> 5- 3- 8-  14</t>
  </si>
  <si>
    <t xml:space="preserve">INTERNATIONAL TRANSPORTATION            </t>
  </si>
  <si>
    <t xml:space="preserve"> 5- 3- 8-  15</t>
  </si>
  <si>
    <t xml:space="preserve">INTERNATIONAL PERDIEM/LODGING           </t>
  </si>
  <si>
    <t xml:space="preserve"> 5- 3- 8-  16</t>
  </si>
  <si>
    <t xml:space="preserve">STATIONARY COSTS VILLAGE BANK           </t>
  </si>
  <si>
    <t xml:space="preserve"> 5- 3- 8-  17</t>
  </si>
  <si>
    <t xml:space="preserve"> 5- 3- 8-  18</t>
  </si>
  <si>
    <t xml:space="preserve"> 5- 3- 8-  19</t>
  </si>
  <si>
    <t xml:space="preserve"> 5- 3- 8-  20</t>
  </si>
  <si>
    <t xml:space="preserve">CASH SHORTAGES AND OVERAGES             </t>
  </si>
  <si>
    <t xml:space="preserve"> 5- 3- 8-  23</t>
  </si>
  <si>
    <t xml:space="preserve">PROFESSIONAL SERVICES                   </t>
  </si>
  <si>
    <t xml:space="preserve"> 5- 3- 8-  24</t>
  </si>
  <si>
    <t xml:space="preserve">NEWSPAPER AND SUBSCRIPTIONS             </t>
  </si>
  <si>
    <t xml:space="preserve"> 5- 3- 8-  25</t>
  </si>
  <si>
    <t xml:space="preserve"> 5- 3- 8-  26</t>
  </si>
  <si>
    <t xml:space="preserve">F/I PSO EXPENSES                        </t>
  </si>
  <si>
    <t xml:space="preserve"> 5- 3- 8-  28</t>
  </si>
  <si>
    <t xml:space="preserve">PSO RENT EXPENSES                       </t>
  </si>
  <si>
    <t xml:space="preserve"> 5- 3- 8-  30</t>
  </si>
  <si>
    <t xml:space="preserve">SOFTWARE-LICENSE FEES                   </t>
  </si>
  <si>
    <t xml:space="preserve"> 5- 3- 8-  32</t>
  </si>
  <si>
    <t xml:space="preserve"> 5- 3- 8-  33</t>
  </si>
  <si>
    <t xml:space="preserve">REBASING EFFECTS ACCOUNT                </t>
  </si>
  <si>
    <t xml:space="preserve"> 5- 3- 8-  34</t>
  </si>
  <si>
    <t xml:space="preserve">FAISCLQ FEES                            </t>
  </si>
  <si>
    <t xml:space="preserve"> 5- 3-12</t>
  </si>
  <si>
    <t xml:space="preserve"> 5- 3-12-   1</t>
  </si>
  <si>
    <t xml:space="preserve">DEPRECIATION OF OFFICE EQUIPMENT        </t>
  </si>
  <si>
    <t xml:space="preserve"> 5- 3-12-   2</t>
  </si>
  <si>
    <t xml:space="preserve"> 5- 3-12-   4</t>
  </si>
  <si>
    <t xml:space="preserve"> 5- 3-12-   6</t>
  </si>
  <si>
    <t xml:space="preserve">DEPRECIATION OF OTHER FIXED ASSET       </t>
  </si>
  <si>
    <t xml:space="preserve"> 5- 4</t>
  </si>
  <si>
    <t xml:space="preserve">INTERNAL AUDIT                          </t>
  </si>
  <si>
    <t xml:space="preserve"> 5- 4- 2</t>
  </si>
  <si>
    <t xml:space="preserve">INTERNAL AUDIT EXPENSES                 </t>
  </si>
  <si>
    <t xml:space="preserve"> 5- 4- 2-   9</t>
  </si>
  <si>
    <t xml:space="preserve"> 5- 4- 2-  10</t>
  </si>
  <si>
    <t xml:space="preserve">INTERNAL PERDIEM/LODGING                </t>
  </si>
  <si>
    <t xml:space="preserve"> 5- 4- 3</t>
  </si>
  <si>
    <t xml:space="preserve">NATIONAL TRANSPORTATION                 </t>
  </si>
  <si>
    <t xml:space="preserve"> 5- 4- 3-   3</t>
  </si>
  <si>
    <t xml:space="preserve"> 5-10</t>
  </si>
  <si>
    <t xml:space="preserve">EXTRAORDINARY EXPENSES                  </t>
  </si>
  <si>
    <t xml:space="preserve"> 5-10- 1</t>
  </si>
  <si>
    <t xml:space="preserve">LOSSES ON SALE OF ASSETS                </t>
  </si>
  <si>
    <t xml:space="preserve"> 5-10- 1-   2</t>
  </si>
  <si>
    <t xml:space="preserve">EXCEPTIONAL EXPENSES/LOSSES             </t>
  </si>
  <si>
    <t xml:space="preserve"> 5-10- 2</t>
  </si>
  <si>
    <t xml:space="preserve">EXCHANGE RATE EXPENSES                  </t>
  </si>
  <si>
    <t xml:space="preserve"> 5-10- 2-   1</t>
  </si>
  <si>
    <t xml:space="preserve">DEBITS OFF BALANCE ACCOUNTS             </t>
  </si>
  <si>
    <t xml:space="preserve"> 6- 1</t>
  </si>
  <si>
    <t xml:space="preserve">INTEREST RECEIVABLE                     </t>
  </si>
  <si>
    <t xml:space="preserve"> 6- 1- 1</t>
  </si>
  <si>
    <t xml:space="preserve">INTEREST RECEIVABLE IN LOCAL CURRENCY   </t>
  </si>
  <si>
    <t xml:space="preserve"> 6- 1- 1-   1</t>
  </si>
  <si>
    <t xml:space="preserve"> 6- 1- 1-   2</t>
  </si>
  <si>
    <t xml:space="preserve">MICROENTERPRISE                         </t>
  </si>
  <si>
    <t xml:space="preserve"> 6- 1- 1-   5</t>
  </si>
  <si>
    <t xml:space="preserve">TOP-UP LOANS                            </t>
  </si>
  <si>
    <t xml:space="preserve"> 6- 2</t>
  </si>
  <si>
    <t xml:space="preserve">PORTFOLIO WRITE OFF                     </t>
  </si>
  <si>
    <t xml:space="preserve"> 6- 2- 1</t>
  </si>
  <si>
    <t xml:space="preserve">PORTFOLIO WRITE OFF LOCAL CURRENCY      </t>
  </si>
  <si>
    <t xml:space="preserve"> 6- 2- 1-   1</t>
  </si>
  <si>
    <t xml:space="preserve"> 6- 2- 1-   2</t>
  </si>
  <si>
    <t xml:space="preserve">CREDITS OFF BALANCE ACCOUNTS            </t>
  </si>
  <si>
    <t xml:space="preserve"> 7- 1</t>
  </si>
  <si>
    <t xml:space="preserve"> 7- 1- 1</t>
  </si>
  <si>
    <t xml:space="preserve"> 7- 1- 1-   1</t>
  </si>
  <si>
    <t xml:space="preserve"> 7- 1- 1-   2</t>
  </si>
  <si>
    <t xml:space="preserve"> 7- 1- 1-   5</t>
  </si>
  <si>
    <t xml:space="preserve"> 7- 2</t>
  </si>
  <si>
    <t xml:space="preserve"> 7- 2- 1</t>
  </si>
  <si>
    <t xml:space="preserve"> 7- 2- 1-   1</t>
  </si>
  <si>
    <t xml:space="preserve"> 7- 2- 1-   2</t>
  </si>
  <si>
    <t>Profit for the Year</t>
  </si>
  <si>
    <t xml:space="preserve"> 2-11- 3-  16</t>
  </si>
  <si>
    <t xml:space="preserve"> 2-11- 3-  17</t>
  </si>
  <si>
    <t>Blue Orchard</t>
  </si>
  <si>
    <t>Triodos Oct 2013</t>
  </si>
  <si>
    <t xml:space="preserve"> 2- 8- 1-  20</t>
  </si>
  <si>
    <t>INTEREST PAYABLE ON TRIODOS</t>
  </si>
  <si>
    <t>INCOME FROM FINCA FLEX - ACTIVITY FEE</t>
  </si>
  <si>
    <t xml:space="preserve"> 4- 2- 1-   8</t>
  </si>
  <si>
    <t>Fees and commission income</t>
  </si>
  <si>
    <t>SHARE CAPITAL</t>
  </si>
  <si>
    <t>FINCA Zambia Limited</t>
  </si>
  <si>
    <t>Fair value measurements</t>
  </si>
  <si>
    <t>The information set out below provides information about how the Company determines fair values of various financial assets and financial liabilities.</t>
  </si>
  <si>
    <t>Fair value of financial assets and financial liabilities that are not measured at fair value on a recurring basis (but fair value disclosures are required)</t>
  </si>
  <si>
    <t>Except as detailed in the following table, the directors consider that the carrying amounts of financial assets and financial liabilities recognised in the financial statements approximate their fair values.</t>
  </si>
  <si>
    <t>Carrying amount</t>
  </si>
  <si>
    <t>Fair value</t>
  </si>
  <si>
    <t>Loans and receivables:</t>
  </si>
  <si>
    <t xml:space="preserve">Financial liabilities held at </t>
  </si>
  <si>
    <t xml:space="preserve">  amortised cost:</t>
  </si>
  <si>
    <t>Level 1</t>
  </si>
  <si>
    <t>Level 2</t>
  </si>
  <si>
    <t>Level 3</t>
  </si>
  <si>
    <t xml:space="preserve">The fair values of the financial assets and financial liabilities included in the level 2 and level 3 categories above have been determined in accordance with generally accepted pricing models based on a discounted cash flow analysis, with the most significant inputs being the discount rate that reflects the credit risk of counterparties. </t>
  </si>
  <si>
    <t>Depreciation and armotisation</t>
  </si>
  <si>
    <t xml:space="preserve">Year end balances </t>
  </si>
  <si>
    <t>K</t>
  </si>
  <si>
    <t>Amount</t>
  </si>
  <si>
    <t>In accordance with Section 64(2) of the Banking and Financial Services Act, 1994 (as amended), we report that in our opinion:</t>
  </si>
  <si>
    <t>We have obtained all the information and explanations which to the best of our knowledge and belief were necessary for the purposes of our audit;</t>
  </si>
  <si>
    <t>Net interest income</t>
  </si>
  <si>
    <t>Other operating income</t>
  </si>
  <si>
    <t>Total operating income</t>
  </si>
  <si>
    <t>CASH AND CASH EQUIVALENTS</t>
  </si>
  <si>
    <t>(i)</t>
  </si>
  <si>
    <t>Cash and cash equivalents</t>
  </si>
  <si>
    <t>EVENTS AFTER THE REPORTING DATE</t>
  </si>
  <si>
    <t>Less: Cash and cash equivalents</t>
  </si>
  <si>
    <t xml:space="preserve">     – loans and receivables</t>
  </si>
  <si>
    <t xml:space="preserve">     – other receivables</t>
  </si>
  <si>
    <t xml:space="preserve">     – borrowings</t>
  </si>
  <si>
    <t>Authorised, issued and fully paid:</t>
  </si>
  <si>
    <t>Other expenses</t>
  </si>
  <si>
    <t>Opinion</t>
  </si>
  <si>
    <t>Capital management</t>
  </si>
  <si>
    <t>The Company manages liquidity risk by maintaining adequate reserves and banking facilities and by continuously monitoring forecast and actual cash flows and matching the maturity profile of financial assets and liabilities. The liquidity risk of the financial liabilities at the reporting date is as detailed below.</t>
  </si>
  <si>
    <t>The following table detail the Company's remaining contractual maturity for its non-derivate financial assets and liabilities. The table below has been drawn up based on the undiscounted contractual maturities of the financial assets and liabilities.</t>
  </si>
  <si>
    <t>The Company is a subsidiary of FINCA Microfinance Cooperatief UA. The ultimate parent company is FINCA Micro Finance LLC (''FMH'') incorporated in the United States of America.</t>
  </si>
  <si>
    <t>PETTY CASH</t>
  </si>
  <si>
    <t>CASH IN VAULT</t>
  </si>
  <si>
    <t>DEPOT CASH ACCOUNT</t>
  </si>
  <si>
    <t>ZANACO-NORTHMEAD-078051-000000-6560</t>
  </si>
  <si>
    <t>ZANACO-CHOMA-059051-000000-3262</t>
  </si>
  <si>
    <t>ZANACO-K_MPONSHI-061051-000000-1474</t>
  </si>
  <si>
    <t>ZANACO-MONZE-057051-000000-3721</t>
  </si>
  <si>
    <t>ZANACO-MUFULIRA-043051-000000-7885</t>
  </si>
  <si>
    <t>ZANACO-LUANSHYA-063051-000000-5953</t>
  </si>
  <si>
    <t>ZANACO-CENTRE INVESTMENT-052001-000</t>
  </si>
  <si>
    <t>STANCHART-ZMW-01001-114247-00</t>
  </si>
  <si>
    <t>STANCHART-USD-87002-114247-00</t>
  </si>
  <si>
    <t>STANBIC-ZMW-0140006460601</t>
  </si>
  <si>
    <t>STANBIC-USD-0240006460601</t>
  </si>
  <si>
    <t>FINANCE-KALOMO-10010-1643018</t>
  </si>
  <si>
    <t>TREASURY BILLS 92-182 DAYS</t>
  </si>
  <si>
    <t>PRINCIPLE INVESTMENTS AND PLACEMENT</t>
  </si>
  <si>
    <t>PORTFOLIO STAFF LOAN</t>
  </si>
  <si>
    <t>PORTFOLIO VILLAGE BANKING LOAN</t>
  </si>
  <si>
    <t>PORTFOLIO VILLAGE BANKING EXPRESS</t>
  </si>
  <si>
    <t>PORTFOLIO SMALL GROUP LOAN</t>
  </si>
  <si>
    <t>PORTFOLIO EXPRESS LOAN</t>
  </si>
  <si>
    <t>PORTFOLIO INDIVIDUAL LOAN</t>
  </si>
  <si>
    <t>PORTFOLIO SMALL ENTERPRISE LOANS</t>
  </si>
  <si>
    <t>FLEX</t>
  </si>
  <si>
    <t>FINCA BANJA OVERDRAFTS</t>
  </si>
  <si>
    <t>BAD LN ESTIMATE SPEFIC-SMALL GRP LN</t>
  </si>
  <si>
    <t>BAD LOAN ESTIMATE SPESIFIC-INDIVIDU</t>
  </si>
  <si>
    <t>BAD LN ESTMAT SPESFIC-STAF LN</t>
  </si>
  <si>
    <t>COUPON SECURITIES-AVAILABLE FOR SAL</t>
  </si>
  <si>
    <t>GRANTS AND DONATIONS RECEIVABLE</t>
  </si>
  <si>
    <t>PRPYMNTSTO GVMNT AND GVMNT AGENCIES</t>
  </si>
  <si>
    <t>WITHHOLDING TAX ON  BANK INTEREST</t>
  </si>
  <si>
    <t>PREPAID RENT-BANK OCCUPIED</t>
  </si>
  <si>
    <t>PREPAID OTHER CONTRACT</t>
  </si>
  <si>
    <t>EMPLOYEE TRVL ADVNCS TRNST/PEDIEM</t>
  </si>
  <si>
    <t>STAFF LOAN CLEARING ACCOUNT</t>
  </si>
  <si>
    <t>STAFF SALARY ADVANCE</t>
  </si>
  <si>
    <t>VILLAGE BANKING EXPRESS</t>
  </si>
  <si>
    <t>INTEREST ACCRUED-VILLAGE BANKING LN</t>
  </si>
  <si>
    <t>INTEREST ACCRUED ON VB EXPRESS LN</t>
  </si>
  <si>
    <t>INTEREST ACCRUED-SMALL GROUP LN</t>
  </si>
  <si>
    <t>INT. ACCR-INDIVIDUAL EXPRESS LN</t>
  </si>
  <si>
    <t>INTEREST ACCRUED ON INDIVIDUAL LOAN</t>
  </si>
  <si>
    <t>INTEREST ACCRUED ON STAFF LOANS</t>
  </si>
  <si>
    <t>INT. ACCR-SMALL ENTERPRISE LN</t>
  </si>
  <si>
    <t>INT.RECVBL ON VILLAGE BANKING LOANS</t>
  </si>
  <si>
    <t>INT. RECVBL ON VB EXPRESS LN</t>
  </si>
  <si>
    <t>INT.RECVBL ON SMALL GROUP LN</t>
  </si>
  <si>
    <t>INT.RECVBL ON INDIVIDUAL EXPRESS LN</t>
  </si>
  <si>
    <t>INT.RECVBL ON INDIVIDUAL LN</t>
  </si>
  <si>
    <t>INTEREST RECEIVABLE ON STAFF LOANS</t>
  </si>
  <si>
    <t>INT.RECVBL-SMALL ENTERPRISE LN</t>
  </si>
  <si>
    <t>SUSP ACCR INT-VILLAGE BANKING LN</t>
  </si>
  <si>
    <t>SUSP ACCR INT-SMALL GROUP LN</t>
  </si>
  <si>
    <t>SUSP ACCR INT-INDIVIDUAL EXPRESS LN</t>
  </si>
  <si>
    <t>SUSP ACCR INT-INDIVIDUAL LN</t>
  </si>
  <si>
    <t>SUSPENDED ACCRUED INTEREST-STAFF LN</t>
  </si>
  <si>
    <t>SUSP ACCR INT-SMALL ENTERPRISE LN</t>
  </si>
  <si>
    <t>SUSP ACCR INT RECVBL-VB LN</t>
  </si>
  <si>
    <t>SUSP ACCR INT RECVBL-SMALL GROUP LN</t>
  </si>
  <si>
    <t>SUSP ACCR INT RECVBL-EXPRESS LN</t>
  </si>
  <si>
    <t>SUSP ACCR INT RECVBL-INDIVIDUAL LN</t>
  </si>
  <si>
    <t>SUSP ACCR INT RECVBL-STAFF LN</t>
  </si>
  <si>
    <t>SUSP ACCR INT RECVBL-SE LN</t>
  </si>
  <si>
    <t>INTEREST DUE-SHORT TERM INVESTMENT</t>
  </si>
  <si>
    <t>FINCA BANJA OVERDRAFT</t>
  </si>
  <si>
    <t>VILLAGE BANKING</t>
  </si>
  <si>
    <t>SMALL GROUP LOAN</t>
  </si>
  <si>
    <t>INDIVIDUAL  EXPRESS LOAN</t>
  </si>
  <si>
    <t>INDIVIDUAL  LOAN</t>
  </si>
  <si>
    <t>STAFF LOAN</t>
  </si>
  <si>
    <t>SMALL ENTERPRISE</t>
  </si>
  <si>
    <t>PREPAID MOTOR VEHICLE INSURANCE</t>
  </si>
  <si>
    <t>PREPAID FIRE AND BURGLARY INSURANCE</t>
  </si>
  <si>
    <t>PREPAID ELECTRONIC EQUIPMENT INSURA</t>
  </si>
  <si>
    <t>PREPAID FIDELITY INSURANCE</t>
  </si>
  <si>
    <t>PREPAID GROUP MEDICAL INSURANCE</t>
  </si>
  <si>
    <t>PREPAID MONEY INSURANCE</t>
  </si>
  <si>
    <t>PREPAID PUBLIC LIABILITY INSURANCE</t>
  </si>
  <si>
    <t>DEFERRED TAX ASSET</t>
  </si>
  <si>
    <t>PREPAID TELEPHONE</t>
  </si>
  <si>
    <t>LONG TERM PREPAID RENT BANK OFFICE</t>
  </si>
  <si>
    <t>RECEIVABLE FROM OTHER AFFILIATES</t>
  </si>
  <si>
    <t>REAL LCY/FCY SUSPENSE GL</t>
  </si>
  <si>
    <t>DEBIT SUSPENSE ACCOUNT</t>
  </si>
  <si>
    <t>CHEQUE CLEARING SUSPENSE ACCOUNT</t>
  </si>
  <si>
    <t>TELLER CASH SHORTAGE</t>
  </si>
  <si>
    <t>GEFU SUSPENSE DEBIT</t>
  </si>
  <si>
    <t>GEFU SUSPENSE CREDIT</t>
  </si>
  <si>
    <t>MISCELLANEOUS LOAN DEBIT</t>
  </si>
  <si>
    <t>CLOSED LOAN ACCOUNTS SUSPENSE</t>
  </si>
  <si>
    <t>CONVERSION ASSETS BALANCES</t>
  </si>
  <si>
    <t>CONVERSION TRANSITORY  BALANCES</t>
  </si>
  <si>
    <t>PREPAYMENT FEES ON TRIODOS</t>
  </si>
  <si>
    <t>PREPAYMENT FEES ON BLUE ORCHAD 2013</t>
  </si>
  <si>
    <t>PREPAYMENT FEES ON SYMBIOTIC 2013</t>
  </si>
  <si>
    <t>PREP FEES ON TRIODOS -USD 1000K</t>
  </si>
  <si>
    <t>PREP.FEES ON BLU ORCHAD 2014 2M USD</t>
  </si>
  <si>
    <t>PREPAYMENT FEES ON MICROVEST LOAN</t>
  </si>
  <si>
    <t>PREPAYMNT FEES ON TRIODOS LOAN 2014</t>
  </si>
  <si>
    <t>PREPAID UPFRONT ON SYMBIOTIC LOAN</t>
  </si>
  <si>
    <t>INTER-BRANCH SETTLEMENTS</t>
  </si>
  <si>
    <t>OFFICE FURNITURE AND FIXT AT COST</t>
  </si>
  <si>
    <t>OFFICE EQUIPMENTS AT COST</t>
  </si>
  <si>
    <t>BANK  VEHICLES AT COST</t>
  </si>
  <si>
    <t>LEASEHOLD IMPROVEMENT AT COST</t>
  </si>
  <si>
    <t>WORK IN PROGRESS-FIXED ASSETS</t>
  </si>
  <si>
    <t>OTHER FIXED ASSETS AT COST</t>
  </si>
  <si>
    <t>SOFTWARE AND ACCESSORIES AT COST</t>
  </si>
  <si>
    <t>FLEXCUBE IMPLEMENTATION AT COST</t>
  </si>
  <si>
    <t>FURNITURE AND FIXTURES-ACCU DEPN</t>
  </si>
  <si>
    <t>OFFICE EQUIPMENTS-ACCU DEPN</t>
  </si>
  <si>
    <t>MOTOR VEHICLES-ACCU DEPN</t>
  </si>
  <si>
    <t>LEASEHOLD IMPROVEMENTS</t>
  </si>
  <si>
    <t>OTHER FIXED ASSETS-ACCU DEPN</t>
  </si>
  <si>
    <t>SOFTWARE AND ACCESSORIES-ACCU DEPN</t>
  </si>
  <si>
    <t>SAVER</t>
  </si>
  <si>
    <t>SIEM MIGRATED   CASH COLLATERAL</t>
  </si>
  <si>
    <t>BANJA</t>
  </si>
  <si>
    <t>CORPORATE</t>
  </si>
  <si>
    <t>FIXED  TERM DEPOSIT</t>
  </si>
  <si>
    <t>FIXED TERM DEPOSIT  INSTITUTIONAL</t>
  </si>
  <si>
    <t>MIGRATED TERM DEPOSIT</t>
  </si>
  <si>
    <t>MIGRATED INTEREST ON TERM DEPOSIT</t>
  </si>
  <si>
    <t>OVERDRAFT POS AGENT</t>
  </si>
  <si>
    <t>ROYALITY FEES</t>
  </si>
  <si>
    <t>AFFILATIONS FEES PAYABLE</t>
  </si>
  <si>
    <t>REIMBURSABLE EXPENSES PAYABLE -F/I</t>
  </si>
  <si>
    <t>MANAGEMENT SERVICES AGREEMENT</t>
  </si>
  <si>
    <t>FINCA INTERNATINOANL LOAN</t>
  </si>
  <si>
    <t>FMO LOAN</t>
  </si>
  <si>
    <t>SYMBIOTIC</t>
  </si>
  <si>
    <t>TRIODOS LOAN 2012</t>
  </si>
  <si>
    <t>SYMBIOTIC 2012</t>
  </si>
  <si>
    <t>BLUE ORCHARD LOAN 2013</t>
  </si>
  <si>
    <t>BLUE ORCHARD LOAN 2013 1M USD</t>
  </si>
  <si>
    <t>SYMBIOTIC 2013</t>
  </si>
  <si>
    <t>RESPONSIBILITY DEBT FACILITY</t>
  </si>
  <si>
    <t>RESPONSIBILITY 2013 400K USD</t>
  </si>
  <si>
    <t>RESPONSIBILITY 2013 600K USD</t>
  </si>
  <si>
    <t>BLUE ORCHARD LOAN 2013 2M USD</t>
  </si>
  <si>
    <t>TRIODOS LOAN 2013 USD 1000K</t>
  </si>
  <si>
    <t>BLUE ORCHARD LOAN 2014 2M USD</t>
  </si>
  <si>
    <t>SYMBIOTIC NEW LOAN</t>
  </si>
  <si>
    <t>MICROVEST LOAN</t>
  </si>
  <si>
    <t>TRIODOS LOAN 2014 USD 1,000,000</t>
  </si>
  <si>
    <t>SYMBIOTIC LOAN 2014 USD $1,000,000</t>
  </si>
  <si>
    <t>INTEREST PAYABLE ON FMO</t>
  </si>
  <si>
    <t>INTEREST PAYABLE ON SYMBIOTIC</t>
  </si>
  <si>
    <t>INTEREST PAYABLE ON TRIODOS 2012</t>
  </si>
  <si>
    <t>INTEREST PAYABLE ON SYMBIOTIC-2012</t>
  </si>
  <si>
    <t>INT. PAYABLE ON BLUE ORCHARD-2013</t>
  </si>
  <si>
    <t>INT PYBLE ON BLU ORCHRD-2013 1M USD</t>
  </si>
  <si>
    <t>INTEREST PAYABLE ON SYMBIOTIC-2013</t>
  </si>
  <si>
    <t>INT PAYABLE ON RESPONSABILIY DEBT</t>
  </si>
  <si>
    <t>INT PYBLE ON RESPONSABILIY 400K USD</t>
  </si>
  <si>
    <t>INT PYBLE ON RESPONSABILIY 600K USD</t>
  </si>
  <si>
    <t>INTREST  P/BLE ON RESPONSABILTY USD</t>
  </si>
  <si>
    <t>INTREST PAYABLE ON BLUE ORCHARD-USD</t>
  </si>
  <si>
    <t>INTREST P/BLE TRIODOS-USD 1000K</t>
  </si>
  <si>
    <t>INT. P/BLE BLUE OCHARD-2014 2M USD</t>
  </si>
  <si>
    <t>INTEREST PAYABLE ON FMH 2013 1M USD</t>
  </si>
  <si>
    <t>INTEREST PAYABLE ON MICROVEST LOAN</t>
  </si>
  <si>
    <t>INTREST PYABLE ON TRIODOS LOAN 2014</t>
  </si>
  <si>
    <t>INTEREST PAYABLE ON SYMBIOTIC LOAN</t>
  </si>
  <si>
    <t>INTEREST ACCRUED ON FTD</t>
  </si>
  <si>
    <t>INTERST ACCRUED ON FTD INSTITUTIONL</t>
  </si>
  <si>
    <t>SUSPENDED INTEREST INCOME FRM VB</t>
  </si>
  <si>
    <t>SUSP INTEREST INCOME FROM SGL</t>
  </si>
  <si>
    <t>SUSP INTRST INCOM FRM INDIVD EXP LN</t>
  </si>
  <si>
    <t>SUSP INTRST INCOM FRM INDIVIDUAL LN</t>
  </si>
  <si>
    <t>SUSP INTEREST INCOME FRM STAF LNS</t>
  </si>
  <si>
    <t>SUSP INTRST INCOM FRM SMALL ENTERPR</t>
  </si>
  <si>
    <t>SUSP. CREDIT LIFE,INSU. FEE-VB</t>
  </si>
  <si>
    <t>SUSP.CREDIT,LIFE INSUR. FEE-VB EXP</t>
  </si>
  <si>
    <t>SUSP. CREDIT LIFE INSURANCE FEE-SGL</t>
  </si>
  <si>
    <t>SUSP. CREDIT LIFE INSURANCE FEE-EL</t>
  </si>
  <si>
    <t>SUSP. CREDIT LIFE INSURANCE FEE-BL</t>
  </si>
  <si>
    <t>SUSP. CREDIT LIFE INSURANCE FEE-SE</t>
  </si>
  <si>
    <t>CREDIT LIFE INSU.FEE ON STAFF LOANS</t>
  </si>
  <si>
    <t>PROVISIONS FOR VILLAGE BANKING</t>
  </si>
  <si>
    <t>PROVISIONS FOR VB EXPRESS</t>
  </si>
  <si>
    <t>PROVISIONS FOR SMALL GROUP LOAN</t>
  </si>
  <si>
    <t>PROVISION FOR INDIVIDUAL EXPRESS LN</t>
  </si>
  <si>
    <t>PROVISIONS FOR INDIDUAL LOAN</t>
  </si>
  <si>
    <t>PROVISIONS FOR STAFF LOANS</t>
  </si>
  <si>
    <t>PROVISIONS FOR SMALL ENTERPRISE</t>
  </si>
  <si>
    <t>INT COMPOUNDED FIXED  TERM DEPOSIT</t>
  </si>
  <si>
    <t>INTER-BRANCH  ACCOUNT</t>
  </si>
  <si>
    <t>CORPORATE TAX PAYABLE</t>
  </si>
  <si>
    <t>WITHHOLDING TAX PAYABLE ON RENT</t>
  </si>
  <si>
    <t>PAYE</t>
  </si>
  <si>
    <t>WITHHOLDING TAX PAYABLE ON FTD</t>
  </si>
  <si>
    <t>WITHHOLDING TAX ON CONSULTANCY</t>
  </si>
  <si>
    <t>CREDIT LIFE INSURANCE PAYBLE</t>
  </si>
  <si>
    <t>CREDIT LIFE CLAIMS PAYABLE</t>
  </si>
  <si>
    <t>PROVISION FOR EXTERNAL AUDIT FEE</t>
  </si>
  <si>
    <t>PROVISION FOR FAISCL/IT SERVICE</t>
  </si>
  <si>
    <t>OTHER ACCOUNTS PAYABLES</t>
  </si>
  <si>
    <t>LOANS PAYABLES</t>
  </si>
  <si>
    <t>SALARIES PAYABLE</t>
  </si>
  <si>
    <t>NAPSA</t>
  </si>
  <si>
    <t>PETTY CASH PAYABLE</t>
  </si>
  <si>
    <t>GRATUITY PAYABLE</t>
  </si>
  <si>
    <t>PERSONAL LEVY</t>
  </si>
  <si>
    <t>ACCOUNTS PAYABLE</t>
  </si>
  <si>
    <t>SUSPENSE CREDIT</t>
  </si>
  <si>
    <t>SAVING SUSPENSE ACCOUNT</t>
  </si>
  <si>
    <t>PAYMENT GL</t>
  </si>
  <si>
    <t>CASH OVERAGE</t>
  </si>
  <si>
    <t>OUT GOING PAYABLE</t>
  </si>
  <si>
    <t>FIXED TERM DEP INST REDEMPT PAYBLE</t>
  </si>
  <si>
    <t>MIGRATED TD REDEMPTION PAYABLE</t>
  </si>
  <si>
    <t>ARRANGEMENT FEES ON VB</t>
  </si>
  <si>
    <t>INSURANCE ADMINI FEE ON VB</t>
  </si>
  <si>
    <t>ARANGMNT FEES ON VB EXPRES</t>
  </si>
  <si>
    <t>INSURANCE ADMINI FEE ON VB EXPRES</t>
  </si>
  <si>
    <t>ARANGEMENT FEE ON SGL</t>
  </si>
  <si>
    <t>INSURANCE ADMINI FEE ON SGL</t>
  </si>
  <si>
    <t>ARANGMNT FEE ON EXPRES LOAN</t>
  </si>
  <si>
    <t>INSURANCE ADMIN FEE ON EXPRESS LN</t>
  </si>
  <si>
    <t>ARRANGEMENT FEES ON INDIVIDUAL LOAN</t>
  </si>
  <si>
    <t>INSURANCE ADMIN FEE ON INDIVIDUL LN</t>
  </si>
  <si>
    <t>ARRANGEMENT FEES ON SMALL ENTERPRIS</t>
  </si>
  <si>
    <t>INSURANCE ADMINFEE ON SMALL ENTPRS</t>
  </si>
  <si>
    <t>INSURANCE ADMN FEE ON STAFF LOANS</t>
  </si>
  <si>
    <t>DEFFERRED FEES</t>
  </si>
  <si>
    <t>MIGRATED SUSPENSE</t>
  </si>
  <si>
    <t>MIGRATED COLLATERAL SAVINGS</t>
  </si>
  <si>
    <t>MIGRATED UNAPPLIED</t>
  </si>
  <si>
    <t>MIGRATED OVERPAYMENT</t>
  </si>
  <si>
    <t>MIGRATED OTHER PAYABLES</t>
  </si>
  <si>
    <t>SUBORDINATE DEBT - FI/FINCA HOLDCO</t>
  </si>
  <si>
    <t>GENERAL RISK RESERVE</t>
  </si>
  <si>
    <t>UNDISTRIBUTABLE RESERVES</t>
  </si>
  <si>
    <t>RETAINED EARNINGS -CREDIT RISK</t>
  </si>
  <si>
    <t>YEAR END SURPLUS /LOSS</t>
  </si>
  <si>
    <t>REG.INTRST INCOME ON VB</t>
  </si>
  <si>
    <t>REG.INTEREST INCOME ON IL</t>
  </si>
  <si>
    <t>INTEREST INCOME ON BANJA OD</t>
  </si>
  <si>
    <t>INTEREST SMALL GROUP LOAN</t>
  </si>
  <si>
    <t>ARREARS VILLAGE BANKING</t>
  </si>
  <si>
    <t>ASSET INSPECTION ON VILLAGE BANKIN</t>
  </si>
  <si>
    <t>ASSET INSPECTION ON VB EXPRESS</t>
  </si>
  <si>
    <t>ARRANGEMENT FEES ON SGL</t>
  </si>
  <si>
    <t>ASSET INSPECTION ON SMALL GROUP</t>
  </si>
  <si>
    <t>ARRANGEMENT FEES ON EXPRESS LOAN</t>
  </si>
  <si>
    <t>ASSET INSPECTION ON EXPRESS LOAN</t>
  </si>
  <si>
    <t>CRB SEARCH ON EXPRESS LOAN</t>
  </si>
  <si>
    <t>LEGAL FEES ON EXPRESS LOAN</t>
  </si>
  <si>
    <t>ADMINISTRATION FEE INCOME</t>
  </si>
  <si>
    <t>ASSET INSPECTION FEE INCOME</t>
  </si>
  <si>
    <t>CRB SEARCH ON INDIVIDUAL  LOAN</t>
  </si>
  <si>
    <t>LEGAL FEES ON INDIVIDUAL LOAN</t>
  </si>
  <si>
    <t>ASSET INSPECTION ON SMALL ENTERPRI</t>
  </si>
  <si>
    <t>CRB SEARCH ON SMALL ENTERPRISE</t>
  </si>
  <si>
    <t>LEGAL FEES ON SMALL ENTERPRISE</t>
  </si>
  <si>
    <t>CRB SEARCH FEE ON SGL</t>
  </si>
  <si>
    <t>DEPOSIT FEES</t>
  </si>
  <si>
    <t>INTRST INCOM FRM COMMBNK PLCEMNT-FD</t>
  </si>
  <si>
    <t>INTEREST INCOME FROM TREASURY BILLS</t>
  </si>
  <si>
    <t>INCOME FROM BANKS ON DEPOSITS</t>
  </si>
  <si>
    <t>FINANCIAL INCOME ON SAVINGS</t>
  </si>
  <si>
    <t>FEE ON OPENING FLEX ACCOUNT</t>
  </si>
  <si>
    <t>MAINTANANCE FEE ON FLEX ACCOUNT</t>
  </si>
  <si>
    <t>DISBURSMENT  FEE ON FLEX ACCOUNT</t>
  </si>
  <si>
    <t>SLRY TRANSFER FEE ON CORPORATE A/C</t>
  </si>
  <si>
    <t>PROFIT ON REVALUATION</t>
  </si>
  <si>
    <t>RESULTS ON FIN. INCOME FAIR VALUE</t>
  </si>
  <si>
    <t>PROFIT FROM DISPOSAL OF FIXED ASSET</t>
  </si>
  <si>
    <t>OTHER INCOME</t>
  </si>
  <si>
    <t>INCOME FROM  WRITEN OFF LOAN ON VB</t>
  </si>
  <si>
    <t>INCOME FROM  W/OFF LN ON SGL</t>
  </si>
  <si>
    <t>INCOM FROM W/OFF LN,INDIVIDUAL EXP</t>
  </si>
  <si>
    <t>INCOM FROM W/OFF LN ON INDIVIDUAL</t>
  </si>
  <si>
    <t>FINCA INTERNATIONAL</t>
  </si>
  <si>
    <t>EXCHANGE RATE GAIN</t>
  </si>
  <si>
    <t>FINCA SAVER</t>
  </si>
  <si>
    <t>FINCA BANJA</t>
  </si>
  <si>
    <t>INTEREST WAIVER EXPENSES</t>
  </si>
  <si>
    <t>INTEREST EXPENSE FIXED TERM DEPOSIT</t>
  </si>
  <si>
    <t>INTEREST EXPENSE FTD  INSTITUTION</t>
  </si>
  <si>
    <t>INTEREST EXPENSES ON VBCF</t>
  </si>
  <si>
    <t>INTEREST EXPENSES ON FMO</t>
  </si>
  <si>
    <t>INTEREST EXPENSES ON SYMBIOTIC</t>
  </si>
  <si>
    <t>INT.EXPENSES ON BLUE ORCHARD 2012</t>
  </si>
  <si>
    <t>INTEREST EXPENSES ON TRIODOS 2012</t>
  </si>
  <si>
    <t>INTEREST EXPENSES ON SYMBIOTIC 2012</t>
  </si>
  <si>
    <t>INT.EXPENSES ON BLUE ORCHARD 2013</t>
  </si>
  <si>
    <t>INT.EXP ON BLUE ORCHARD 2013 1M USD</t>
  </si>
  <si>
    <t>INT.EXPENSES ON FMH 2013 1M USD</t>
  </si>
  <si>
    <t>INTEREST EXPENSES ON SYMBIOTIC 2013</t>
  </si>
  <si>
    <t>INT.EXPENSES ON RESPOSIBILITY DEBT</t>
  </si>
  <si>
    <t>INT.EXP.ON RESPOSIBILITY 400 K USD</t>
  </si>
  <si>
    <t>INT.EXP ON RESPOSIBILITY 600 K USD</t>
  </si>
  <si>
    <t>INT.EXP ON RENSAPOSIBILITY USD</t>
  </si>
  <si>
    <t>INT.EXP ON BLUE ORCHARD 2013 2M USD</t>
  </si>
  <si>
    <t>INT.EXPENSE ON TRIODOS USD 1000K</t>
  </si>
  <si>
    <t>INT.PAID ON BLUE ORCHAD 2014 2M USD</t>
  </si>
  <si>
    <t>INTEREST PAID ON MICROVEST LOAN</t>
  </si>
  <si>
    <t>INTEREST EXP ON TRIODOS LOAN 2014</t>
  </si>
  <si>
    <t>INEREST EXPENSE ON SYMBIOTIC LOAN</t>
  </si>
  <si>
    <t>UPFRONT FEE BLUE OCHARD LOAN</t>
  </si>
  <si>
    <t>UPFRONT FEE BLUE ORCHARD-2014 2M</t>
  </si>
  <si>
    <t>UPFRONT FEE ON MICROVEST LOAN</t>
  </si>
  <si>
    <t>UPFRONT FEES ON TRIODOS LOAN 2014</t>
  </si>
  <si>
    <t>UPFRONT FEES ON SYMBIOTIC LOAN</t>
  </si>
  <si>
    <t>BANK CHARGES ON MAINTANANCE COST</t>
  </si>
  <si>
    <t>CASH IN TRANSIT SERVICE FEE</t>
  </si>
  <si>
    <t>BANK CHARGES ON TRANSACTION COST</t>
  </si>
  <si>
    <t>BANK CHARGES ON REMITTANCE COST</t>
  </si>
  <si>
    <t>STAFF LOANS</t>
  </si>
  <si>
    <t>ROYALITY FEE</t>
  </si>
  <si>
    <t>AFFILIATION FEES</t>
  </si>
  <si>
    <t>MSA FEES</t>
  </si>
  <si>
    <t>F/I  PSO REIMBURSABLE EXPENSES</t>
  </si>
  <si>
    <t>REGULAR SALARIES AND WAGES EXPENSES</t>
  </si>
  <si>
    <t>EMPLOYEE BONUS</t>
  </si>
  <si>
    <t>OVER TIME  AND ACTING ALLOWANCES</t>
  </si>
  <si>
    <t>EMPLOYEE VACATIONS</t>
  </si>
  <si>
    <t>STAFF BENEFITS</t>
  </si>
  <si>
    <t>NAPSA EMPLOYERS CONTRIBUTIONS</t>
  </si>
  <si>
    <t>MEDICAL EXPENSES</t>
  </si>
  <si>
    <t>TRANSPORT AND FUEL ALLOWANCE</t>
  </si>
  <si>
    <t>OTHER BENEFITS</t>
  </si>
  <si>
    <t>PERDIEM AND TRANSPORT-INT.TRAINING</t>
  </si>
  <si>
    <t>MEALS-INTERNAL TRAINING</t>
  </si>
  <si>
    <t>OTHR TRAININ EXP(PHOTCPY,STATNRY)</t>
  </si>
  <si>
    <t>MEALS FOR EXTERNAL TRAINING</t>
  </si>
  <si>
    <t>PERDIEM AND LODGING-IN COUNTRY</t>
  </si>
  <si>
    <t>INTERNAL TRANSPORTATION-IN COUNTRY</t>
  </si>
  <si>
    <t>INTERNATIONAL TRANSPORT</t>
  </si>
  <si>
    <t>PERDIEM AND LODGING-INTERNATIONAL</t>
  </si>
  <si>
    <t>CONSUTANCY FEES</t>
  </si>
  <si>
    <t>EXTERNAL AUDIT FEE</t>
  </si>
  <si>
    <t>LEGAL EXPENSES FEE</t>
  </si>
  <si>
    <t>FEES ON IS SERVICES</t>
  </si>
  <si>
    <t>PROFESSIONAL FEES</t>
  </si>
  <si>
    <t>BANK OFFICE RENT</t>
  </si>
  <si>
    <t>OFFICE WATER AND SEWERAGE</t>
  </si>
  <si>
    <t>OFFICE ELECTRICITY</t>
  </si>
  <si>
    <t>OFFICE SECURITY GUARDS</t>
  </si>
  <si>
    <t>VEHICLE FUEL-PETROL AND DIESEL</t>
  </si>
  <si>
    <t>VEHICLE EXPENSES</t>
  </si>
  <si>
    <t>MOTOR VEHICLE INSURANCE</t>
  </si>
  <si>
    <t>OTHER REPAIRS AND MAINTANANCE</t>
  </si>
  <si>
    <t>MARKETING EXPENSES</t>
  </si>
  <si>
    <t>MAINT/REPAR COMU INFRASTRU/SYS</t>
  </si>
  <si>
    <t>IS EQUIPMENT ACCESSORIES</t>
  </si>
  <si>
    <t>LICENCE FEES ON SUPPORT</t>
  </si>
  <si>
    <t>OTHER TAXES</t>
  </si>
  <si>
    <t>SMALL OFFICE EQUIP</t>
  </si>
  <si>
    <t>POST BOX MAIL / COURRIER</t>
  </si>
  <si>
    <t>OFFICE TELEPHONE / FAX</t>
  </si>
  <si>
    <t>STAFF REFRESHMENTS</t>
  </si>
  <si>
    <t>OFFICE PRINTER</t>
  </si>
  <si>
    <t>REPAIR/ MAINT OFFICE  BUILDING</t>
  </si>
  <si>
    <t>REPAR/MAINT FUNITUR/ FITING</t>
  </si>
  <si>
    <t>PROPERTY AND EQUIPMENT MAINTENANCE</t>
  </si>
  <si>
    <t>GARBAGE COLLECTION-OFFICE MAINT.</t>
  </si>
  <si>
    <t>MOVING / RELOCATION EXPENSES</t>
  </si>
  <si>
    <t>RECRUITMENT EXPENSES</t>
  </si>
  <si>
    <t>MONEY INSURANCE EXPENSE</t>
  </si>
  <si>
    <t>FIDELITY INSURANCE</t>
  </si>
  <si>
    <t>INSURANCE FOR ALL RISK</t>
  </si>
  <si>
    <t>OFFICE STATIONERY</t>
  </si>
  <si>
    <t>CLIENT STATIONERY - CREDIT</t>
  </si>
  <si>
    <t>PHOTOGRAPHS</t>
  </si>
  <si>
    <t>MEALS-MEETING AND CONF AND  ENTMENT</t>
  </si>
  <si>
    <t>OTHER MEETING EXPENSES</t>
  </si>
  <si>
    <t>BANKING/MFI LICENCES</t>
  </si>
  <si>
    <t>SIEM MIGRATED  REBASING BALANCE</t>
  </si>
  <si>
    <t>SHORTAGE AND OVERAGE ACCOUNT</t>
  </si>
  <si>
    <t>DEPRECI- COMPUTER/ COMMUNICA EQUIP</t>
  </si>
  <si>
    <t>DEPRECIATION FOR OTHER EQUIPMENT</t>
  </si>
  <si>
    <t>DEPRECIATION- FURNITURE/ FIXTURES</t>
  </si>
  <si>
    <t>DEPRECIATION FOR LEASEHOLD</t>
  </si>
  <si>
    <t>DEPRECIATION OF SOFTWARE</t>
  </si>
  <si>
    <t>DEPRECIATION FOR OTHER FIXED ASSTS</t>
  </si>
  <si>
    <t>CORPORATE TAX</t>
  </si>
  <si>
    <t>EXCEPTIONAL LOSS AND EXPENSES</t>
  </si>
  <si>
    <t>LOSS ON REVALUATION</t>
  </si>
  <si>
    <t>PRINCIPAL LN AMT OF LN RECIEVABLES</t>
  </si>
  <si>
    <t>PRVSN FO PRNCPL AMT(BAD DEBT ESTMT)</t>
  </si>
  <si>
    <t>2014</t>
  </si>
  <si>
    <t>FN021-Trial Balance (including EOY)</t>
  </si>
  <si>
    <t>GL Type</t>
  </si>
  <si>
    <t>Parent GL</t>
  </si>
  <si>
    <t>GL CODE</t>
  </si>
  <si>
    <t>GL Description</t>
  </si>
  <si>
    <t>CCY</t>
  </si>
  <si>
    <t>Branch</t>
  </si>
  <si>
    <t>Opening Bal LCY</t>
  </si>
  <si>
    <t>DR T/Over LCY</t>
  </si>
  <si>
    <t>CR T/Over LCY</t>
  </si>
  <si>
    <t>Closing Bal LCY</t>
  </si>
  <si>
    <t>101011000</t>
  </si>
  <si>
    <t>101011002</t>
  </si>
  <si>
    <t>ZMW</t>
  </si>
  <si>
    <t>1</t>
  </si>
  <si>
    <t>2</t>
  </si>
  <si>
    <t>3</t>
  </si>
  <si>
    <t>4</t>
  </si>
  <si>
    <t>5</t>
  </si>
  <si>
    <t>6</t>
  </si>
  <si>
    <t>7</t>
  </si>
  <si>
    <t>8</t>
  </si>
  <si>
    <t>9</t>
  </si>
  <si>
    <t>10</t>
  </si>
  <si>
    <t>11</t>
  </si>
  <si>
    <t>13</t>
  </si>
  <si>
    <t>999</t>
  </si>
  <si>
    <t>101021000</t>
  </si>
  <si>
    <t>101021001</t>
  </si>
  <si>
    <t>USD</t>
  </si>
  <si>
    <t>101031000</t>
  </si>
  <si>
    <t>101031001</t>
  </si>
  <si>
    <t>103016000</t>
  </si>
  <si>
    <t>103016001</t>
  </si>
  <si>
    <t>103016002</t>
  </si>
  <si>
    <t>103016003</t>
  </si>
  <si>
    <t>103016004</t>
  </si>
  <si>
    <t>103016005</t>
  </si>
  <si>
    <t>103016006</t>
  </si>
  <si>
    <t>103016007</t>
  </si>
  <si>
    <t>103016008</t>
  </si>
  <si>
    <t>103016009</t>
  </si>
  <si>
    <t>103016010</t>
  </si>
  <si>
    <t>103016011</t>
  </si>
  <si>
    <t>103016012</t>
  </si>
  <si>
    <t>103036000</t>
  </si>
  <si>
    <t>103036002</t>
  </si>
  <si>
    <t>103046000</t>
  </si>
  <si>
    <t>103046001</t>
  </si>
  <si>
    <t>104012000</t>
  </si>
  <si>
    <t>104012202</t>
  </si>
  <si>
    <t>104022000</t>
  </si>
  <si>
    <t>104022202</t>
  </si>
  <si>
    <t xml:space="preserve">PORTFOLIO STAFF LOAN </t>
  </si>
  <si>
    <t>105012000</t>
  </si>
  <si>
    <t>105012100</t>
  </si>
  <si>
    <t>105012101</t>
  </si>
  <si>
    <t>105012102</t>
  </si>
  <si>
    <t>105012200</t>
  </si>
  <si>
    <t>105012201</t>
  </si>
  <si>
    <t>105012203</t>
  </si>
  <si>
    <t>105022000</t>
  </si>
  <si>
    <t>105022100</t>
  </si>
  <si>
    <t xml:space="preserve">PORTFOLIO VILLAGE BANKING LOAN </t>
  </si>
  <si>
    <t>105022102</t>
  </si>
  <si>
    <t xml:space="preserve">PORTFOLIO SMALL GROUP LOAN </t>
  </si>
  <si>
    <t>105022200</t>
  </si>
  <si>
    <t>105022201</t>
  </si>
  <si>
    <t xml:space="preserve">PORTFOLIO INDIVIDUAL LOAN </t>
  </si>
  <si>
    <t>105022203</t>
  </si>
  <si>
    <t>105033000</t>
  </si>
  <si>
    <t>105033500</t>
  </si>
  <si>
    <t>105033701</t>
  </si>
  <si>
    <t>108022000</t>
  </si>
  <si>
    <t>108022100</t>
  </si>
  <si>
    <t xml:space="preserve">BAD LOAN ESTIMATE SPESIFIC-VILLAGE </t>
  </si>
  <si>
    <t>108022102</t>
  </si>
  <si>
    <t>108022201</t>
  </si>
  <si>
    <t>108022202</t>
  </si>
  <si>
    <t>109031000</t>
  </si>
  <si>
    <t>109031002</t>
  </si>
  <si>
    <t>110016000</t>
  </si>
  <si>
    <t>110016001</t>
  </si>
  <si>
    <t>110016005</t>
  </si>
  <si>
    <t>110026000</t>
  </si>
  <si>
    <t>110026001</t>
  </si>
  <si>
    <t>110036000</t>
  </si>
  <si>
    <t>110036001</t>
  </si>
  <si>
    <t>110036004</t>
  </si>
  <si>
    <t>PREPAID OTHER - RENT</t>
  </si>
  <si>
    <t>110036009</t>
  </si>
  <si>
    <t>110046000</t>
  </si>
  <si>
    <t>110046004</t>
  </si>
  <si>
    <t>110046007</t>
  </si>
  <si>
    <t>110046008</t>
  </si>
  <si>
    <t>110052000</t>
  </si>
  <si>
    <t>110052101</t>
  </si>
  <si>
    <t>111012000</t>
  </si>
  <si>
    <t>111012100</t>
  </si>
  <si>
    <t>111012101</t>
  </si>
  <si>
    <t>111012102</t>
  </si>
  <si>
    <t>111012200</t>
  </si>
  <si>
    <t>111012201</t>
  </si>
  <si>
    <t>111012202</t>
  </si>
  <si>
    <t>111012203</t>
  </si>
  <si>
    <t>111022000</t>
  </si>
  <si>
    <t>111022100</t>
  </si>
  <si>
    <t>111022101</t>
  </si>
  <si>
    <t>111022102</t>
  </si>
  <si>
    <t>111022200</t>
  </si>
  <si>
    <t>111022201</t>
  </si>
  <si>
    <t>111022202</t>
  </si>
  <si>
    <t>111022203</t>
  </si>
  <si>
    <t>111042000</t>
  </si>
  <si>
    <t>111042100</t>
  </si>
  <si>
    <t>111042102</t>
  </si>
  <si>
    <t>111042200</t>
  </si>
  <si>
    <t>111042201</t>
  </si>
  <si>
    <t>111042202</t>
  </si>
  <si>
    <t>111042203</t>
  </si>
  <si>
    <t>111052000</t>
  </si>
  <si>
    <t>111052100</t>
  </si>
  <si>
    <t>111052102</t>
  </si>
  <si>
    <t>111052200</t>
  </si>
  <si>
    <t>111052201</t>
  </si>
  <si>
    <t>111052202</t>
  </si>
  <si>
    <t>111052203</t>
  </si>
  <si>
    <t>111066000</t>
  </si>
  <si>
    <t>111066001</t>
  </si>
  <si>
    <t>111093000</t>
  </si>
  <si>
    <t>111093701</t>
  </si>
  <si>
    <t>112082000</t>
  </si>
  <si>
    <t>112082100</t>
  </si>
  <si>
    <t xml:space="preserve">VILLAGE BANKING </t>
  </si>
  <si>
    <t>112082102</t>
  </si>
  <si>
    <t>112082200</t>
  </si>
  <si>
    <t xml:space="preserve"> INDIVIDUAL  EXPRESS LOAN </t>
  </si>
  <si>
    <t>112082201</t>
  </si>
  <si>
    <t>112082202</t>
  </si>
  <si>
    <t>112082203</t>
  </si>
  <si>
    <t>112122000</t>
  </si>
  <si>
    <t>112122100</t>
  </si>
  <si>
    <t>112122102</t>
  </si>
  <si>
    <t>112122200</t>
  </si>
  <si>
    <t>112122201</t>
  </si>
  <si>
    <t xml:space="preserve">INDIVIDUAL  LOAN </t>
  </si>
  <si>
    <t>112122202</t>
  </si>
  <si>
    <t>112122203</t>
  </si>
  <si>
    <t>112162000</t>
  </si>
  <si>
    <t>112162100</t>
  </si>
  <si>
    <t>112162102</t>
  </si>
  <si>
    <t>112162200</t>
  </si>
  <si>
    <t>112162201</t>
  </si>
  <si>
    <t>112162202</t>
  </si>
  <si>
    <t>112202000</t>
  </si>
  <si>
    <t>112202100</t>
  </si>
  <si>
    <t>112202102</t>
  </si>
  <si>
    <t>112202200</t>
  </si>
  <si>
    <t>112202201</t>
  </si>
  <si>
    <t>112202202</t>
  </si>
  <si>
    <t>114016000</t>
  </si>
  <si>
    <t>114016002</t>
  </si>
  <si>
    <t>114016003</t>
  </si>
  <si>
    <t>114016006</t>
  </si>
  <si>
    <t>114016007</t>
  </si>
  <si>
    <t>114016009</t>
  </si>
  <si>
    <t>114016011</t>
  </si>
  <si>
    <t>114016013</t>
  </si>
  <si>
    <t>114026000</t>
  </si>
  <si>
    <t>114026001</t>
  </si>
  <si>
    <t>114036000</t>
  </si>
  <si>
    <t>114036001</t>
  </si>
  <si>
    <t>114036002</t>
  </si>
  <si>
    <t>114066000</t>
  </si>
  <si>
    <t>114066005</t>
  </si>
  <si>
    <t>114081000</t>
  </si>
  <si>
    <t>114081001</t>
  </si>
  <si>
    <t>114081003</t>
  </si>
  <si>
    <t>114081004</t>
  </si>
  <si>
    <t>114081006</t>
  </si>
  <si>
    <t>114081009</t>
  </si>
  <si>
    <t>114081010</t>
  </si>
  <si>
    <t>114081011</t>
  </si>
  <si>
    <t>114081012</t>
  </si>
  <si>
    <t>114116000</t>
  </si>
  <si>
    <t>114116001</t>
  </si>
  <si>
    <t>114116002</t>
  </si>
  <si>
    <t>114126000</t>
  </si>
  <si>
    <t>114126001</t>
  </si>
  <si>
    <t>114126003</t>
  </si>
  <si>
    <t>114126004</t>
  </si>
  <si>
    <t>114126006</t>
  </si>
  <si>
    <t>114126007</t>
  </si>
  <si>
    <t>114126008</t>
  </si>
  <si>
    <t>114126009</t>
  </si>
  <si>
    <t>114126010</t>
  </si>
  <si>
    <t>115011000</t>
  </si>
  <si>
    <t>115011001</t>
  </si>
  <si>
    <t>116036000</t>
  </si>
  <si>
    <t>116036001</t>
  </si>
  <si>
    <t>116056000</t>
  </si>
  <si>
    <t>116056001</t>
  </si>
  <si>
    <t>116066000</t>
  </si>
  <si>
    <t>116066001</t>
  </si>
  <si>
    <t>116086000</t>
  </si>
  <si>
    <t>116086101</t>
  </si>
  <si>
    <t>116096000</t>
  </si>
  <si>
    <t>116096001</t>
  </si>
  <si>
    <t>116096002</t>
  </si>
  <si>
    <t>117016000</t>
  </si>
  <si>
    <t>117016009</t>
  </si>
  <si>
    <t>117016010</t>
  </si>
  <si>
    <t>118036000</t>
  </si>
  <si>
    <t>118036001</t>
  </si>
  <si>
    <t>118056000</t>
  </si>
  <si>
    <t>118056001</t>
  </si>
  <si>
    <t>118066000</t>
  </si>
  <si>
    <t>118066001</t>
  </si>
  <si>
    <t>118086000</t>
  </si>
  <si>
    <t>118086001</t>
  </si>
  <si>
    <t>118096000</t>
  </si>
  <si>
    <t>118096001</t>
  </si>
  <si>
    <t>119016000</t>
  </si>
  <si>
    <t>119016008</t>
  </si>
  <si>
    <t>EXPENSE</t>
  </si>
  <si>
    <t>501013000</t>
  </si>
  <si>
    <t>501013501</t>
  </si>
  <si>
    <t>501013701</t>
  </si>
  <si>
    <t>501026000</t>
  </si>
  <si>
    <t>501026004</t>
  </si>
  <si>
    <t>501034000</t>
  </si>
  <si>
    <t>501034001</t>
  </si>
  <si>
    <t>501034002</t>
  </si>
  <si>
    <t>501034005</t>
  </si>
  <si>
    <t>501046000</t>
  </si>
  <si>
    <t>501046002</t>
  </si>
  <si>
    <t>501046003</t>
  </si>
  <si>
    <t>501046006</t>
  </si>
  <si>
    <t>501046007</t>
  </si>
  <si>
    <t>501046008</t>
  </si>
  <si>
    <t>501046009</t>
  </si>
  <si>
    <t>501046010</t>
  </si>
  <si>
    <t>501046011</t>
  </si>
  <si>
    <t>501046012</t>
  </si>
  <si>
    <t>501046013</t>
  </si>
  <si>
    <t>501046014</t>
  </si>
  <si>
    <t>501046015</t>
  </si>
  <si>
    <t>501046016</t>
  </si>
  <si>
    <t>501046017</t>
  </si>
  <si>
    <t>501046018</t>
  </si>
  <si>
    <t>501046019</t>
  </si>
  <si>
    <t>501046020</t>
  </si>
  <si>
    <t xml:space="preserve">INTEREST EXPENSES ON SYMBIOTIC </t>
  </si>
  <si>
    <t>501046021</t>
  </si>
  <si>
    <t>501046022</t>
  </si>
  <si>
    <t>501046023</t>
  </si>
  <si>
    <t>501046024</t>
  </si>
  <si>
    <t>502016000</t>
  </si>
  <si>
    <t>502016003</t>
  </si>
  <si>
    <t>502016004</t>
  </si>
  <si>
    <t>502016005</t>
  </si>
  <si>
    <t>502016006</t>
  </si>
  <si>
    <t>502016007</t>
  </si>
  <si>
    <t>502026000</t>
  </si>
  <si>
    <t>502026001</t>
  </si>
  <si>
    <t>502026004</t>
  </si>
  <si>
    <t>502026007</t>
  </si>
  <si>
    <t>502026008</t>
  </si>
  <si>
    <t>503052000</t>
  </si>
  <si>
    <t>503052100</t>
  </si>
  <si>
    <t>503052101</t>
  </si>
  <si>
    <t>503052102</t>
  </si>
  <si>
    <t>503052200</t>
  </si>
  <si>
    <t>503052201</t>
  </si>
  <si>
    <t>503052202</t>
  </si>
  <si>
    <t>503052203</t>
  </si>
  <si>
    <t>506016000</t>
  </si>
  <si>
    <t>506016001</t>
  </si>
  <si>
    <t>506036000</t>
  </si>
  <si>
    <t>506036001</t>
  </si>
  <si>
    <t>506036002</t>
  </si>
  <si>
    <t>506036003</t>
  </si>
  <si>
    <t xml:space="preserve">            FAISCLQ FEES           </t>
  </si>
  <si>
    <t>506036004</t>
  </si>
  <si>
    <t>507016000</t>
  </si>
  <si>
    <t>507016001</t>
  </si>
  <si>
    <t>507016002</t>
  </si>
  <si>
    <t>507016003</t>
  </si>
  <si>
    <t>507016004</t>
  </si>
  <si>
    <t>507026000</t>
  </si>
  <si>
    <t>507026001</t>
  </si>
  <si>
    <t>507026002</t>
  </si>
  <si>
    <t>507026003</t>
  </si>
  <si>
    <t>507026004</t>
  </si>
  <si>
    <t>507026009</t>
  </si>
  <si>
    <t>508016000</t>
  </si>
  <si>
    <t>508016002</t>
  </si>
  <si>
    <t>508016003</t>
  </si>
  <si>
    <t>508016005</t>
  </si>
  <si>
    <t>508026000</t>
  </si>
  <si>
    <t>508026003</t>
  </si>
  <si>
    <t>509016000</t>
  </si>
  <si>
    <t>509016001</t>
  </si>
  <si>
    <t>509016002</t>
  </si>
  <si>
    <t>509026000</t>
  </si>
  <si>
    <t>509026001</t>
  </si>
  <si>
    <t>509026002</t>
  </si>
  <si>
    <t>510016000</t>
  </si>
  <si>
    <t>510016001</t>
  </si>
  <si>
    <t>510026000</t>
  </si>
  <si>
    <t>510026001</t>
  </si>
  <si>
    <t>510036000</t>
  </si>
  <si>
    <t>510036001</t>
  </si>
  <si>
    <t>510046000</t>
  </si>
  <si>
    <t>510046001</t>
  </si>
  <si>
    <t>510056000</t>
  </si>
  <si>
    <t>510056001</t>
  </si>
  <si>
    <t>511016000</t>
  </si>
  <si>
    <t>511016001</t>
  </si>
  <si>
    <t>512016000</t>
  </si>
  <si>
    <t>512016001</t>
  </si>
  <si>
    <t>512026000</t>
  </si>
  <si>
    <t>512026001</t>
  </si>
  <si>
    <t>513026000</t>
  </si>
  <si>
    <t>513026001</t>
  </si>
  <si>
    <t>514016000</t>
  </si>
  <si>
    <t>514016001</t>
  </si>
  <si>
    <t>514026000</t>
  </si>
  <si>
    <t>514026001</t>
  </si>
  <si>
    <t>514036000</t>
  </si>
  <si>
    <t>514036003</t>
  </si>
  <si>
    <t>515016000</t>
  </si>
  <si>
    <t>515016002</t>
  </si>
  <si>
    <t xml:space="preserve"> FUEL  FOR GENERATOR</t>
  </si>
  <si>
    <t>515026000</t>
  </si>
  <si>
    <t>515026003</t>
  </si>
  <si>
    <t>516016000</t>
  </si>
  <si>
    <t>516016006</t>
  </si>
  <si>
    <t>517016000</t>
  </si>
  <si>
    <t>517016002</t>
  </si>
  <si>
    <t>517016003</t>
  </si>
  <si>
    <t>517026000</t>
  </si>
  <si>
    <t>517026001</t>
  </si>
  <si>
    <t>517026003</t>
  </si>
  <si>
    <t>517026005</t>
  </si>
  <si>
    <t>FLEXCUBE LICENCE INTEREST EXPENSES</t>
  </si>
  <si>
    <t>518016000</t>
  </si>
  <si>
    <t>518016001</t>
  </si>
  <si>
    <t>518016003</t>
  </si>
  <si>
    <t>518016004</t>
  </si>
  <si>
    <t>518016006</t>
  </si>
  <si>
    <t>518016007</t>
  </si>
  <si>
    <t>518026000</t>
  </si>
  <si>
    <t>518026001</t>
  </si>
  <si>
    <t>518026002</t>
  </si>
  <si>
    <t>518026003</t>
  </si>
  <si>
    <t>518026004</t>
  </si>
  <si>
    <t>518036000</t>
  </si>
  <si>
    <t>518036001</t>
  </si>
  <si>
    <t>518036002</t>
  </si>
  <si>
    <t>518046000</t>
  </si>
  <si>
    <t>518046004</t>
  </si>
  <si>
    <t>518046006</t>
  </si>
  <si>
    <t>518046007</t>
  </si>
  <si>
    <t>518056000</t>
  </si>
  <si>
    <t>518056001</t>
  </si>
  <si>
    <t>518056003</t>
  </si>
  <si>
    <t>518056005</t>
  </si>
  <si>
    <t>518066000</t>
  </si>
  <si>
    <t>518066002</t>
  </si>
  <si>
    <t>518066003</t>
  </si>
  <si>
    <t>518076000</t>
  </si>
  <si>
    <t>518076002</t>
  </si>
  <si>
    <t>518096000</t>
  </si>
  <si>
    <t>518096004</t>
  </si>
  <si>
    <t>518096005</t>
  </si>
  <si>
    <t>519016000</t>
  </si>
  <si>
    <t>519016001</t>
  </si>
  <si>
    <t>519016002</t>
  </si>
  <si>
    <t>519016003</t>
  </si>
  <si>
    <t>519016005</t>
  </si>
  <si>
    <t>519016006</t>
  </si>
  <si>
    <t>519016007</t>
  </si>
  <si>
    <t>520016000</t>
  </si>
  <si>
    <t>520016003</t>
  </si>
  <si>
    <t>521016000</t>
  </si>
  <si>
    <t>521016004</t>
  </si>
  <si>
    <t>521016008</t>
  </si>
  <si>
    <t>INCOME</t>
  </si>
  <si>
    <t>401011000</t>
  </si>
  <si>
    <t>401011202</t>
  </si>
  <si>
    <t xml:space="preserve"> REG. INTRST INCOME ON STAFF LOAN</t>
  </si>
  <si>
    <t>401022000</t>
  </si>
  <si>
    <t>401022100</t>
  </si>
  <si>
    <t>401022101</t>
  </si>
  <si>
    <t xml:space="preserve"> REG. INTRST INCOME ON VB EXPRESS </t>
  </si>
  <si>
    <t>401022102</t>
  </si>
  <si>
    <t xml:space="preserve"> REG. INTRST INCOME ON SGL</t>
  </si>
  <si>
    <t>401022200</t>
  </si>
  <si>
    <t xml:space="preserve"> REG.INTRST INCOME ON IL EXPRESS  </t>
  </si>
  <si>
    <t>401022201</t>
  </si>
  <si>
    <t>401022203</t>
  </si>
  <si>
    <t xml:space="preserve"> REG.INTEREST INCOME ON SE LOAN</t>
  </si>
  <si>
    <t>401043000</t>
  </si>
  <si>
    <t>401043701</t>
  </si>
  <si>
    <t>401062000</t>
  </si>
  <si>
    <t>401062100</t>
  </si>
  <si>
    <t xml:space="preserve"> INTEREST VILLAGE BANKING  INTEREST</t>
  </si>
  <si>
    <t>401062102</t>
  </si>
  <si>
    <t>401062200</t>
  </si>
  <si>
    <t xml:space="preserve"> INTEREST INDIVIDUAL EXPRES LN</t>
  </si>
  <si>
    <t>401062201</t>
  </si>
  <si>
    <t xml:space="preserve"> INTEREST INDIVIDUAL  LOAN </t>
  </si>
  <si>
    <t>401062202</t>
  </si>
  <si>
    <t xml:space="preserve"> INTEREST STAFF LOAN</t>
  </si>
  <si>
    <t>401072000</t>
  </si>
  <si>
    <t>401072100</t>
  </si>
  <si>
    <t xml:space="preserve"> INTEREST VILLAGE BANKING </t>
  </si>
  <si>
    <t>401072102</t>
  </si>
  <si>
    <t>401072200</t>
  </si>
  <si>
    <t xml:space="preserve"> INTREST INDIVIDUAL EXPRES LN</t>
  </si>
  <si>
    <t>401072201</t>
  </si>
  <si>
    <t>401072202</t>
  </si>
  <si>
    <t>402012000</t>
  </si>
  <si>
    <t>402012100</t>
  </si>
  <si>
    <t>402042000</t>
  </si>
  <si>
    <t>402042100</t>
  </si>
  <si>
    <t>402042102</t>
  </si>
  <si>
    <t>402042200</t>
  </si>
  <si>
    <t xml:space="preserve"> INTEREST INDIVIDUAL EXPRESS  LOAN </t>
  </si>
  <si>
    <t>402042201</t>
  </si>
  <si>
    <t>402042202</t>
  </si>
  <si>
    <t>402042203</t>
  </si>
  <si>
    <t xml:space="preserve"> INTEREST SMALL ENTERPRISE</t>
  </si>
  <si>
    <t>403012000</t>
  </si>
  <si>
    <t>403012097</t>
  </si>
  <si>
    <t>403012101</t>
  </si>
  <si>
    <t>403012102</t>
  </si>
  <si>
    <t>403012105</t>
  </si>
  <si>
    <t>403012106</t>
  </si>
  <si>
    <t>403012109</t>
  </si>
  <si>
    <t>403012110</t>
  </si>
  <si>
    <t>403012111</t>
  </si>
  <si>
    <t>403012112</t>
  </si>
  <si>
    <t>403012113</t>
  </si>
  <si>
    <t>403012115</t>
  </si>
  <si>
    <t>403012116</t>
  </si>
  <si>
    <t>403012117</t>
  </si>
  <si>
    <t>403012121</t>
  </si>
  <si>
    <t>403012122</t>
  </si>
  <si>
    <t>403012123</t>
  </si>
  <si>
    <t>403012136</t>
  </si>
  <si>
    <t>403022000</t>
  </si>
  <si>
    <t>403022102</t>
  </si>
  <si>
    <t>404016000</t>
  </si>
  <si>
    <t>404016001</t>
  </si>
  <si>
    <t>404016002</t>
  </si>
  <si>
    <t>404030000</t>
  </si>
  <si>
    <t>404036001</t>
  </si>
  <si>
    <t>404036000</t>
  </si>
  <si>
    <t>404036002</t>
  </si>
  <si>
    <t>405013000</t>
  </si>
  <si>
    <t>405013124</t>
  </si>
  <si>
    <t>405013125</t>
  </si>
  <si>
    <t>405013127</t>
  </si>
  <si>
    <t>405013129</t>
  </si>
  <si>
    <t>405013130</t>
  </si>
  <si>
    <t xml:space="preserve">MAINTANANCE FEE ON FLEX  CORP. A/C </t>
  </si>
  <si>
    <t>407016000</t>
  </si>
  <si>
    <t>407016001</t>
  </si>
  <si>
    <t>407056000</t>
  </si>
  <si>
    <t>407056001</t>
  </si>
  <si>
    <t>408026000</t>
  </si>
  <si>
    <t>408026001</t>
  </si>
  <si>
    <t>408036000</t>
  </si>
  <si>
    <t>408036006</t>
  </si>
  <si>
    <t>408046000</t>
  </si>
  <si>
    <t>408046100</t>
  </si>
  <si>
    <t>408046102</t>
  </si>
  <si>
    <t>408046200</t>
  </si>
  <si>
    <t>408046201</t>
  </si>
  <si>
    <t>409016000</t>
  </si>
  <si>
    <t>409016002</t>
  </si>
  <si>
    <t>411016000</t>
  </si>
  <si>
    <t>411016001</t>
  </si>
  <si>
    <t>202013000</t>
  </si>
  <si>
    <t>202013500</t>
  </si>
  <si>
    <t>202013501</t>
  </si>
  <si>
    <t>202013502</t>
  </si>
  <si>
    <t>202013701</t>
  </si>
  <si>
    <t>202013702</t>
  </si>
  <si>
    <t>202024000</t>
  </si>
  <si>
    <t>202024900</t>
  </si>
  <si>
    <t>202024901</t>
  </si>
  <si>
    <t>202024902</t>
  </si>
  <si>
    <t>202024903</t>
  </si>
  <si>
    <t>202063000</t>
  </si>
  <si>
    <t>202063700</t>
  </si>
  <si>
    <t>204016000</t>
  </si>
  <si>
    <t>204016001</t>
  </si>
  <si>
    <t>204016002</t>
  </si>
  <si>
    <t>204016003</t>
  </si>
  <si>
    <t>204016004</t>
  </si>
  <si>
    <t>204016005</t>
  </si>
  <si>
    <t>FLEXCUBE LICENCE COST PAYABLE</t>
  </si>
  <si>
    <t>204036000</t>
  </si>
  <si>
    <t>204036003</t>
  </si>
  <si>
    <t>FLEXCUBE LICENCE INTEREST PAYABLE</t>
  </si>
  <si>
    <t>205016000</t>
  </si>
  <si>
    <t>205016003</t>
  </si>
  <si>
    <t>205016004</t>
  </si>
  <si>
    <t>205016005</t>
  </si>
  <si>
    <t>205016006</t>
  </si>
  <si>
    <t>205016007</t>
  </si>
  <si>
    <t>205016008</t>
  </si>
  <si>
    <t>205016009</t>
  </si>
  <si>
    <t>205016010</t>
  </si>
  <si>
    <t>205016011</t>
  </si>
  <si>
    <t>205016012</t>
  </si>
  <si>
    <t>205016013</t>
  </si>
  <si>
    <t>205016015</t>
  </si>
  <si>
    <t>205016016</t>
  </si>
  <si>
    <t>205016017</t>
  </si>
  <si>
    <t>205016018</t>
  </si>
  <si>
    <t>205016019</t>
  </si>
  <si>
    <t>205016020</t>
  </si>
  <si>
    <t>205016021</t>
  </si>
  <si>
    <t>206026000</t>
  </si>
  <si>
    <t>206026002</t>
  </si>
  <si>
    <t>206026003</t>
  </si>
  <si>
    <t>206026005</t>
  </si>
  <si>
    <t>206026006</t>
  </si>
  <si>
    <t>206026007</t>
  </si>
  <si>
    <t>206026008</t>
  </si>
  <si>
    <t>206026009</t>
  </si>
  <si>
    <t>206026010</t>
  </si>
  <si>
    <t>206026011</t>
  </si>
  <si>
    <t>206026012</t>
  </si>
  <si>
    <t>206026013</t>
  </si>
  <si>
    <t>206026014</t>
  </si>
  <si>
    <t>206026015</t>
  </si>
  <si>
    <t>206026016</t>
  </si>
  <si>
    <t>206026017</t>
  </si>
  <si>
    <t>206026018</t>
  </si>
  <si>
    <t>206026019</t>
  </si>
  <si>
    <t>206026020</t>
  </si>
  <si>
    <t>206026021</t>
  </si>
  <si>
    <t>206043000</t>
  </si>
  <si>
    <t>206043500</t>
  </si>
  <si>
    <t>206043701</t>
  </si>
  <si>
    <t>206054000</t>
  </si>
  <si>
    <t>206054902</t>
  </si>
  <si>
    <t>206074000</t>
  </si>
  <si>
    <t>206074900</t>
  </si>
  <si>
    <t>206074901</t>
  </si>
  <si>
    <t>206074902</t>
  </si>
  <si>
    <t>206074903</t>
  </si>
  <si>
    <t>207012000</t>
  </si>
  <si>
    <t>207012100</t>
  </si>
  <si>
    <t>207012102</t>
  </si>
  <si>
    <t>207012200</t>
  </si>
  <si>
    <t>207012201</t>
  </si>
  <si>
    <t>207012202</t>
  </si>
  <si>
    <t>207012203</t>
  </si>
  <si>
    <t>207022000</t>
  </si>
  <si>
    <t>207022095</t>
  </si>
  <si>
    <t>207022099</t>
  </si>
  <si>
    <t>207022103</t>
  </si>
  <si>
    <t>207022107</t>
  </si>
  <si>
    <t>207022114</t>
  </si>
  <si>
    <t>207022120</t>
  </si>
  <si>
    <t>207022140</t>
  </si>
  <si>
    <t>207032000</t>
  </si>
  <si>
    <t>207032100</t>
  </si>
  <si>
    <t>207032101</t>
  </si>
  <si>
    <t>207032102</t>
  </si>
  <si>
    <t>207032200</t>
  </si>
  <si>
    <t>207032201</t>
  </si>
  <si>
    <t>207032202</t>
  </si>
  <si>
    <t>207032203</t>
  </si>
  <si>
    <t>207054000</t>
  </si>
  <si>
    <t>207054003</t>
  </si>
  <si>
    <t>207072000</t>
  </si>
  <si>
    <t>207072100</t>
  </si>
  <si>
    <t>207072102</t>
  </si>
  <si>
    <t>207072200</t>
  </si>
  <si>
    <t>207072201</t>
  </si>
  <si>
    <t>207072202</t>
  </si>
  <si>
    <t>209011000</t>
  </si>
  <si>
    <t>209011001</t>
  </si>
  <si>
    <t>211011000</t>
  </si>
  <si>
    <t>211011001</t>
  </si>
  <si>
    <t>211011002</t>
  </si>
  <si>
    <t>211011003</t>
  </si>
  <si>
    <t>211011007</t>
  </si>
  <si>
    <t>211011009</t>
  </si>
  <si>
    <t>211036000</t>
  </si>
  <si>
    <t>211036001</t>
  </si>
  <si>
    <t>211036003</t>
  </si>
  <si>
    <t>211036004</t>
  </si>
  <si>
    <t>211036006</t>
  </si>
  <si>
    <t>211036007</t>
  </si>
  <si>
    <t>211036010</t>
  </si>
  <si>
    <t>211046000</t>
  </si>
  <si>
    <t>211046002</t>
  </si>
  <si>
    <t>211046004</t>
  </si>
  <si>
    <t>211046009</t>
  </si>
  <si>
    <t>211046010</t>
  </si>
  <si>
    <t>211046013</t>
  </si>
  <si>
    <t>211046014</t>
  </si>
  <si>
    <t>211051000</t>
  </si>
  <si>
    <t>211051001</t>
  </si>
  <si>
    <t>211051002</t>
  </si>
  <si>
    <t>211051004</t>
  </si>
  <si>
    <t>211051008</t>
  </si>
  <si>
    <t>211051009</t>
  </si>
  <si>
    <t>211051013</t>
  </si>
  <si>
    <t>211051014</t>
  </si>
  <si>
    <t>211062000</t>
  </si>
  <si>
    <t>211062094</t>
  </si>
  <si>
    <t>211062096</t>
  </si>
  <si>
    <t>211062098</t>
  </si>
  <si>
    <t>211062100</t>
  </si>
  <si>
    <t>211062102</t>
  </si>
  <si>
    <t>211062104</t>
  </si>
  <si>
    <t>211062106</t>
  </si>
  <si>
    <t>211062108</t>
  </si>
  <si>
    <t>211062112</t>
  </si>
  <si>
    <t>211062113</t>
  </si>
  <si>
    <t>211062118</t>
  </si>
  <si>
    <t>211062119</t>
  </si>
  <si>
    <t>211062139</t>
  </si>
  <si>
    <t>211066000</t>
  </si>
  <si>
    <t>211066002</t>
  </si>
  <si>
    <t>211086000</t>
  </si>
  <si>
    <t>211086001</t>
  </si>
  <si>
    <t>211086002</t>
  </si>
  <si>
    <t>211086003</t>
  </si>
  <si>
    <t>211086004</t>
  </si>
  <si>
    <t>211086005</t>
  </si>
  <si>
    <t>211086006</t>
  </si>
  <si>
    <t>216016000</t>
  </si>
  <si>
    <t>216016001</t>
  </si>
  <si>
    <t>217012000</t>
  </si>
  <si>
    <t>217012100</t>
  </si>
  <si>
    <t>217012101</t>
  </si>
  <si>
    <t>217012102</t>
  </si>
  <si>
    <t>217012200</t>
  </si>
  <si>
    <t>217012201</t>
  </si>
  <si>
    <t>217012202</t>
  </si>
  <si>
    <t>217012203</t>
  </si>
  <si>
    <t>301016000</t>
  </si>
  <si>
    <t>301016001</t>
  </si>
  <si>
    <t>302016000</t>
  </si>
  <si>
    <t>302016002</t>
  </si>
  <si>
    <t>302016003</t>
  </si>
  <si>
    <t>302016004</t>
  </si>
  <si>
    <t>302031000</t>
  </si>
  <si>
    <t>302031001</t>
  </si>
  <si>
    <t>MEMO</t>
  </si>
  <si>
    <t>602011000</t>
  </si>
  <si>
    <t>602011001</t>
  </si>
  <si>
    <t>702021000</t>
  </si>
  <si>
    <t>702021001</t>
  </si>
  <si>
    <t>Faisql SSBV expenses</t>
  </si>
  <si>
    <t>variable Foreign</t>
  </si>
  <si>
    <t>Adjustment for credit life payable</t>
  </si>
  <si>
    <t>Other Accounts payable</t>
  </si>
  <si>
    <t>Credit life insurance payable</t>
  </si>
  <si>
    <t>Credit life claims payable</t>
  </si>
  <si>
    <t>Being write off on Credit life insurance and claims payable  accounts for fee income duplicated in prior years</t>
  </si>
  <si>
    <t>Prepared By Susan Chibanga</t>
  </si>
  <si>
    <t>Checked By Cecilia Ketani</t>
  </si>
  <si>
    <t>Approved By Philip Odei Asare</t>
  </si>
  <si>
    <t>PMI</t>
  </si>
  <si>
    <t>LOAN LOSS</t>
  </si>
  <si>
    <t>SAVINGS INT PAYABLE</t>
  </si>
  <si>
    <t>Reverse VAT on MSA and Royalties</t>
  </si>
  <si>
    <t>VAT  ON MSA &amp; ROYALTIES</t>
  </si>
  <si>
    <t>Accounts Payable</t>
  </si>
  <si>
    <t>Exceptional expense</t>
  </si>
  <si>
    <t>Royalties expense</t>
  </si>
  <si>
    <t>MSA fees expense</t>
  </si>
  <si>
    <t>VAT payable on MSA and Royalties</t>
  </si>
  <si>
    <t>Approved by Cecilia Ketani</t>
  </si>
  <si>
    <t>Prepared by Susan Chibanga</t>
  </si>
  <si>
    <t>Write offs approved by board</t>
  </si>
  <si>
    <t>Notes to the Financial Statements</t>
  </si>
  <si>
    <t>DEFERRED TAXATION</t>
  </si>
  <si>
    <t>Net Balance at</t>
  </si>
  <si>
    <t xml:space="preserve">Recognised </t>
  </si>
  <si>
    <t>Balance</t>
  </si>
  <si>
    <t xml:space="preserve">Deferred </t>
  </si>
  <si>
    <t>Movement in temporary differences during the year</t>
  </si>
  <si>
    <t>1 Jan 14</t>
  </si>
  <si>
    <t>in income</t>
  </si>
  <si>
    <t>in OCI</t>
  </si>
  <si>
    <t>31 Dec 14</t>
  </si>
  <si>
    <t>tax assets</t>
  </si>
  <si>
    <t>tax liabilites</t>
  </si>
  <si>
    <t>Temporary differences on fixed assets</t>
  </si>
  <si>
    <t>Gratuity Provision</t>
  </si>
  <si>
    <t>Bonus Provision</t>
  </si>
  <si>
    <t>Leave Provision</t>
  </si>
  <si>
    <t>Provision for other expenses</t>
  </si>
  <si>
    <t>Tax losses</t>
  </si>
  <si>
    <t>1 Jan  13</t>
  </si>
  <si>
    <t>31 Dec 2013</t>
  </si>
  <si>
    <t>For The Year Ended 31 December 2014</t>
  </si>
  <si>
    <t>The Company complied with the provisions of this Act and the regulations, guidelines and prescriptions under this Act.</t>
  </si>
  <si>
    <t>NOTES TO THE FINANCIAL STATEMENTS (CONTINUED)</t>
  </si>
  <si>
    <t>FINANCIAL INSTRUMENTS (CONTINUED)</t>
  </si>
  <si>
    <t>26.</t>
  </si>
  <si>
    <t>MSA, royalty fees, affiliation</t>
  </si>
  <si>
    <t>LOSS BEFORE TAX</t>
  </si>
  <si>
    <t>Operating cash flows before changes</t>
  </si>
  <si>
    <t xml:space="preserve">   in working funds</t>
  </si>
  <si>
    <t>Depreciation and amortisation of</t>
  </si>
  <si>
    <t xml:space="preserve">   non-current assets</t>
  </si>
  <si>
    <t>Net cash and cash equivalents</t>
  </si>
  <si>
    <t xml:space="preserve">  at beginning of the year</t>
  </si>
  <si>
    <t xml:space="preserve">   at end of the year</t>
  </si>
  <si>
    <t>Report on the financial statements</t>
  </si>
  <si>
    <t>The Company made available all necessary information to enable us to comply with the requirements of this Act;</t>
  </si>
  <si>
    <t>We are not aware of any transaction that has not been within the powers of the Company or which was contrary to the Act; and</t>
  </si>
  <si>
    <t>Deferred income</t>
  </si>
  <si>
    <t>Loan terms for each of the above stated loans are as follows:</t>
  </si>
  <si>
    <t>(iii)</t>
  </si>
  <si>
    <t>Sundry and other payables</t>
  </si>
  <si>
    <t>Accrued interest on borrowings</t>
  </si>
  <si>
    <t>2015</t>
  </si>
  <si>
    <t>GL DESC</t>
  </si>
  <si>
    <t>103016013</t>
  </si>
  <si>
    <t>STANBIC ZMW CLEARING-0140006460602</t>
  </si>
  <si>
    <t>104012204</t>
  </si>
  <si>
    <t>PORTFOLIO EMMERGENCY S/LOAN</t>
  </si>
  <si>
    <t>105022101</t>
  </si>
  <si>
    <t>105033501</t>
  </si>
  <si>
    <t>105033702</t>
  </si>
  <si>
    <t>CORPORATE OVERDRAFTS</t>
  </si>
  <si>
    <t>111042101</t>
  </si>
  <si>
    <t>SUSP ACCR INT-VB EXPRESS LN</t>
  </si>
  <si>
    <t>111052101</t>
  </si>
  <si>
    <t>SUSP ACCR INT RECVBL-VB EXPRESS LN</t>
  </si>
  <si>
    <t>112082101</t>
  </si>
  <si>
    <t>112112100</t>
  </si>
  <si>
    <t>112112101</t>
  </si>
  <si>
    <t>112112102</t>
  </si>
  <si>
    <t>112112200</t>
  </si>
  <si>
    <t>112112201</t>
  </si>
  <si>
    <t>112112202</t>
  </si>
  <si>
    <t>112112203</t>
  </si>
  <si>
    <t>112122101</t>
  </si>
  <si>
    <t>112162101</t>
  </si>
  <si>
    <t>112162203</t>
  </si>
  <si>
    <t>112192100</t>
  </si>
  <si>
    <t>112192101</t>
  </si>
  <si>
    <t>112192102</t>
  </si>
  <si>
    <t>112192200</t>
  </si>
  <si>
    <t>112192201</t>
  </si>
  <si>
    <t>112192202</t>
  </si>
  <si>
    <t>112192203</t>
  </si>
  <si>
    <t>112202101</t>
  </si>
  <si>
    <t>112202203</t>
  </si>
  <si>
    <t>114126005</t>
  </si>
  <si>
    <t>PREP.FEES ON SYMBIOTIC 2013 1M USD</t>
  </si>
  <si>
    <t>114126011</t>
  </si>
  <si>
    <t>UPFRONT FEES SYMBIOTIC LOAN 2015</t>
  </si>
  <si>
    <t>114126012</t>
  </si>
  <si>
    <t>UPFRONT FEES ON MICROVEST 2015</t>
  </si>
  <si>
    <t>114126013</t>
  </si>
  <si>
    <t>PREPAID UPFRONT ON FMH 2015 LOAN</t>
  </si>
  <si>
    <t>114126014</t>
  </si>
  <si>
    <t>MFX SOLUTIONS UPFRONT FEES</t>
  </si>
  <si>
    <t>114126015</t>
  </si>
  <si>
    <t>UPFRONT FEES ON SYMBIOTIC LOAN 2015</t>
  </si>
  <si>
    <t>114126016</t>
  </si>
  <si>
    <t>114126017</t>
  </si>
  <si>
    <t>PREPAID UPFRONT FEES ON FMH 3 2015</t>
  </si>
  <si>
    <t>117016003</t>
  </si>
  <si>
    <t>HUMAN RSOURCE INFORMATION SYS-ARUTI</t>
  </si>
  <si>
    <t>119016010</t>
  </si>
  <si>
    <t>ACCUMULATED DEPRECIATION FLEXCUBE</t>
  </si>
  <si>
    <t>202013700</t>
  </si>
  <si>
    <t>202063500</t>
  </si>
  <si>
    <t>202063501</t>
  </si>
  <si>
    <t>202063701</t>
  </si>
  <si>
    <t>202063702</t>
  </si>
  <si>
    <t>205016022</t>
  </si>
  <si>
    <t>SYMBIOTIC LOAN 2015</t>
  </si>
  <si>
    <t>205016023</t>
  </si>
  <si>
    <t>MICROVEST LOAN 2015</t>
  </si>
  <si>
    <t>205016024</t>
  </si>
  <si>
    <t>FMH LOAN 2015</t>
  </si>
  <si>
    <t>205016025</t>
  </si>
  <si>
    <t>FMH 2 LOAN 2015</t>
  </si>
  <si>
    <t>205016026</t>
  </si>
  <si>
    <t>MFX SOLUTIONS LOAN</t>
  </si>
  <si>
    <t>205016027</t>
  </si>
  <si>
    <t>SYMBIOTIC LOAN 2015 USD 1,400,000</t>
  </si>
  <si>
    <t>205016028</t>
  </si>
  <si>
    <t>SYMBIOTIC LOAN 2015 USD 500,000</t>
  </si>
  <si>
    <t>205016029</t>
  </si>
  <si>
    <t>FMH 3 LOAN - 2015</t>
  </si>
  <si>
    <t>206026022</t>
  </si>
  <si>
    <t>INT PAYABLE SYMBIOTIC LOAN 2015</t>
  </si>
  <si>
    <t>206026023</t>
  </si>
  <si>
    <t>206026024</t>
  </si>
  <si>
    <t>INTEREST PAYABLE ON FMH LOAN 2015</t>
  </si>
  <si>
    <t>206026025</t>
  </si>
  <si>
    <t>INTEREST PAYABLE ON FMH 2015</t>
  </si>
  <si>
    <t>206026026</t>
  </si>
  <si>
    <t>MFX SOLUTIONS INTEREST PAYABLE</t>
  </si>
  <si>
    <t>206026027</t>
  </si>
  <si>
    <t>INT PAYABLE 0N SYMBIOTIC LOAN USD</t>
  </si>
  <si>
    <t>206026028</t>
  </si>
  <si>
    <t>INT PAYABLE ON SYMBIOTIC LOAN</t>
  </si>
  <si>
    <t>206026029</t>
  </si>
  <si>
    <t>INTEREST PAYABLE ON FMH 3- 2015</t>
  </si>
  <si>
    <t>206054900</t>
  </si>
  <si>
    <t>FIXD   TERM DEPOSIT INT PAYBL</t>
  </si>
  <si>
    <t>206054901</t>
  </si>
  <si>
    <t>FIX TEM DEPSIT INSTIT INTRST PAYBL</t>
  </si>
  <si>
    <t>207012101</t>
  </si>
  <si>
    <t>SUSP  INTEREST INCOME FRM VB EXPRES</t>
  </si>
  <si>
    <t>207022142</t>
  </si>
  <si>
    <t>CREDIT LIFE INSU.ON EMM.STAFF LOAN</t>
  </si>
  <si>
    <t>207054004</t>
  </si>
  <si>
    <t>INT COMPOUNDED FIXED  TERM DEP INST</t>
  </si>
  <si>
    <t>207062100</t>
  </si>
  <si>
    <t>207062101</t>
  </si>
  <si>
    <t>207062102</t>
  </si>
  <si>
    <t>207062200</t>
  </si>
  <si>
    <t>207062201</t>
  </si>
  <si>
    <t>207062202</t>
  </si>
  <si>
    <t>207062203</t>
  </si>
  <si>
    <t>207072101</t>
  </si>
  <si>
    <t>207072203</t>
  </si>
  <si>
    <t>211011011</t>
  </si>
  <si>
    <t>VAT PAYABLE ON MSA AND ROYALTIES</t>
  </si>
  <si>
    <t>OFSS ANNUAL RENTAL PAYBLES</t>
  </si>
  <si>
    <t>211036009</t>
  </si>
  <si>
    <t>FRAUD PROVISION</t>
  </si>
  <si>
    <t>211036011</t>
  </si>
  <si>
    <t>MICRO ENSURE PAYABLE</t>
  </si>
  <si>
    <t>211051010</t>
  </si>
  <si>
    <t>FIXED TERM DEP REDEMPT PAYBLE</t>
  </si>
  <si>
    <t>211051016</t>
  </si>
  <si>
    <t>UNCLAIMED FUNDS PAYABLE</t>
  </si>
  <si>
    <t>211062141</t>
  </si>
  <si>
    <t>INSU.ADMIN FEE ON EMM. STAFF LOAN</t>
  </si>
  <si>
    <t>217012204</t>
  </si>
  <si>
    <t>EMMERGENCY STAFF LOAN</t>
  </si>
  <si>
    <t>REG. INTRST INCOME ON VB EXPRESS</t>
  </si>
  <si>
    <t>REG. INTRST INCOME ON SGL</t>
  </si>
  <si>
    <t>REG.INTRST INCOME ON IL EXPRESS</t>
  </si>
  <si>
    <t>REG.INTEREST INCOME ON SE LOAN</t>
  </si>
  <si>
    <t>401043500</t>
  </si>
  <si>
    <t>INT. INCOME-FLEX</t>
  </si>
  <si>
    <t>401043501</t>
  </si>
  <si>
    <t>INT. INCOME-SAVER</t>
  </si>
  <si>
    <t>INTEREST VILLAGE BANKING  INTEREST</t>
  </si>
  <si>
    <t>401062101</t>
  </si>
  <si>
    <t>INTREST VILAGE EXPRES BANKING</t>
  </si>
  <si>
    <t>INTEREST INDIVIDUAL  LOAN</t>
  </si>
  <si>
    <t>INTEREST STAFF LOAN</t>
  </si>
  <si>
    <t>401062203</t>
  </si>
  <si>
    <t>401072101</t>
  </si>
  <si>
    <t>401072203</t>
  </si>
  <si>
    <t>401092100</t>
  </si>
  <si>
    <t>401092101</t>
  </si>
  <si>
    <t>401092102</t>
  </si>
  <si>
    <t>401092200</t>
  </si>
  <si>
    <t>401092201</t>
  </si>
  <si>
    <t>401092203</t>
  </si>
  <si>
    <t>402012101</t>
  </si>
  <si>
    <t>ARREARS  VILLAGE EXPRESS BANKING</t>
  </si>
  <si>
    <t>402012102</t>
  </si>
  <si>
    <t>ARREARS  SMALL GROUP LOAN</t>
  </si>
  <si>
    <t>402012200</t>
  </si>
  <si>
    <t>ARREARS  INDIVIDUAL EXPRESS  LOAN</t>
  </si>
  <si>
    <t>402012201</t>
  </si>
  <si>
    <t>ARREARS  INDIVIDUAL  LOAN</t>
  </si>
  <si>
    <t>402012202</t>
  </si>
  <si>
    <t>ARREARS STAFF LOAN</t>
  </si>
  <si>
    <t>402012203</t>
  </si>
  <si>
    <t>ARREARS  SMALL ENTERPRISE</t>
  </si>
  <si>
    <t>402042101</t>
  </si>
  <si>
    <t>403012094</t>
  </si>
  <si>
    <t>ARRANGEMENT FEES ON VILLAGE BANKING</t>
  </si>
  <si>
    <t>403012096</t>
  </si>
  <si>
    <t>INSURANCE ADMINISTRATION FEE ON VB</t>
  </si>
  <si>
    <t>403012104</t>
  </si>
  <si>
    <t>INSURANCE ADM. FEE ON SMALL GROUP</t>
  </si>
  <si>
    <t>403012108</t>
  </si>
  <si>
    <t>INSURANCE ADM. FEE ON EXPRESS LOAN</t>
  </si>
  <si>
    <t>403012118</t>
  </si>
  <si>
    <t>ARRANGEMENT FEES ON SE</t>
  </si>
  <si>
    <t>403012119</t>
  </si>
  <si>
    <t>INSURANCE ADMINISTRATION FEE ON SE</t>
  </si>
  <si>
    <t>403012137</t>
  </si>
  <si>
    <t>LEGAL FEES ON SGL</t>
  </si>
  <si>
    <t>405013126</t>
  </si>
  <si>
    <t>INTER-ACCOUNT TRANSFER FEE</t>
  </si>
  <si>
    <t>MAINTANANCE FEE ON FLEX  CORP. A/C</t>
  </si>
  <si>
    <t>405013133</t>
  </si>
  <si>
    <t>SI TRANSACTION FEE</t>
  </si>
  <si>
    <t>405013134</t>
  </si>
  <si>
    <t>STANDING FAILURE FEE</t>
  </si>
  <si>
    <t>405013149</t>
  </si>
  <si>
    <t>INTER BANK FUNDS TRANSFER FEE</t>
  </si>
  <si>
    <t>405013150</t>
  </si>
  <si>
    <t>STATEMENT INQUIRY FEE</t>
  </si>
  <si>
    <t>405013151</t>
  </si>
  <si>
    <t>CHEQUE DEPOSIT FEE</t>
  </si>
  <si>
    <t>405013152</t>
  </si>
  <si>
    <t>405026003</t>
  </si>
  <si>
    <t>408046101</t>
  </si>
  <si>
    <t>INCOME FROM  W/OFF LN ON VB EXPRESS</t>
  </si>
  <si>
    <t>501046025</t>
  </si>
  <si>
    <t>INT EXPENSE ON SYMBIOTIC LOAN 2015</t>
  </si>
  <si>
    <t>501046026</t>
  </si>
  <si>
    <t>INTEREST EXP ON MICROVEST 2015</t>
  </si>
  <si>
    <t>501046027</t>
  </si>
  <si>
    <t>INTEREST EXPENSE ON FMH LOAN 2015</t>
  </si>
  <si>
    <t>501046028</t>
  </si>
  <si>
    <t>INTEREST EXPENSE ON FMH 2015</t>
  </si>
  <si>
    <t>501046029</t>
  </si>
  <si>
    <t>INTEREST EXPENSE ON MFX SOLUTIONS</t>
  </si>
  <si>
    <t>501046030</t>
  </si>
  <si>
    <t>501046031</t>
  </si>
  <si>
    <t>501046032</t>
  </si>
  <si>
    <t>INTEREST EXPENSE ON FMH 3 2015</t>
  </si>
  <si>
    <t>502016008</t>
  </si>
  <si>
    <t>UPFRONT FEE ON SYMBIOTIC LOAN 2015</t>
  </si>
  <si>
    <t>502016009</t>
  </si>
  <si>
    <t>502016010</t>
  </si>
  <si>
    <t>UPFRONT FEE ON FMH 2015</t>
  </si>
  <si>
    <t>502016011</t>
  </si>
  <si>
    <t>UPFRONT FEES ON FMX SOLUTIONS</t>
  </si>
  <si>
    <t>502016012</t>
  </si>
  <si>
    <t>502016013</t>
  </si>
  <si>
    <t>502016014</t>
  </si>
  <si>
    <t>UPFRONT FEE ON FMH 3 2015</t>
  </si>
  <si>
    <t>502026009</t>
  </si>
  <si>
    <t>COMMISSION ON POS AGENTS</t>
  </si>
  <si>
    <t>508026005</t>
  </si>
  <si>
    <t>OTHR TRANING EXP (PHOTCPY, STATNRY)</t>
  </si>
  <si>
    <t>510046002</t>
  </si>
  <si>
    <t>REIMBURSABLES ON SI SERVICES</t>
  </si>
  <si>
    <t>511016003</t>
  </si>
  <si>
    <t>OTHER RENTS</t>
  </si>
  <si>
    <t>513016002</t>
  </si>
  <si>
    <t>CASH IN TRANSIT-GUARDS</t>
  </si>
  <si>
    <t>513036001</t>
  </si>
  <si>
    <t>RESIDENTIAL SECURITY GUARDS</t>
  </si>
  <si>
    <t>514026002</t>
  </si>
  <si>
    <t>VEHICLE MAINTANANCE</t>
  </si>
  <si>
    <t>515026002</t>
  </si>
  <si>
    <t>MAINTANANCE GENERATOR</t>
  </si>
  <si>
    <t>516016001</t>
  </si>
  <si>
    <t>TV / RADIO ADVERTS / PROMO</t>
  </si>
  <si>
    <t>516016004</t>
  </si>
  <si>
    <t>CLIENT GIVE AWAYS</t>
  </si>
  <si>
    <t>516016005</t>
  </si>
  <si>
    <t>OTHER PROMOTIONAL ITEMS</t>
  </si>
  <si>
    <t>516036002</t>
  </si>
  <si>
    <t>PRINTING / RELATED EXP</t>
  </si>
  <si>
    <t>516036003</t>
  </si>
  <si>
    <t>CORPORATE EVENTS</t>
  </si>
  <si>
    <t>516046003</t>
  </si>
  <si>
    <t>DONATIONS</t>
  </si>
  <si>
    <t>517016001</t>
  </si>
  <si>
    <t>MAINTE/REPAIR COMPUTERS/IS EQUIP</t>
  </si>
  <si>
    <t>517026006</t>
  </si>
  <si>
    <t>OFFS ANNUAL RENTAL EXPENSE</t>
  </si>
  <si>
    <t>517036001</t>
  </si>
  <si>
    <t>INTERNET SERVICE</t>
  </si>
  <si>
    <t>517036003</t>
  </si>
  <si>
    <t>DATA COMMUNICATION</t>
  </si>
  <si>
    <t>518016002</t>
  </si>
  <si>
    <t>CLEANING MATERIALS AND TOILETRIES</t>
  </si>
  <si>
    <t>518016005</t>
  </si>
  <si>
    <t>NEWS PAPER SUSCRIPTIONS</t>
  </si>
  <si>
    <t>518046001</t>
  </si>
  <si>
    <t>CREDIT LIFE INSURANCE</t>
  </si>
  <si>
    <t>518056002</t>
  </si>
  <si>
    <t>PHOTOCOPYING</t>
  </si>
  <si>
    <t>518056004</t>
  </si>
  <si>
    <t>CLIENT STATIONRY-BANKING OPS</t>
  </si>
  <si>
    <t>518066004</t>
  </si>
  <si>
    <t>BOARD EXPENSES</t>
  </si>
  <si>
    <t>518096002</t>
  </si>
  <si>
    <t>SMALL BALANCE WAIVER</t>
  </si>
  <si>
    <t>519026005</t>
  </si>
  <si>
    <t>DEPRECIATION FOR FLEXCUBE</t>
  </si>
  <si>
    <t>Year ended 31 December 2015</t>
  </si>
  <si>
    <t>ACCOUNT TYPE</t>
  </si>
  <si>
    <t>PARENT GL</t>
  </si>
  <si>
    <t>OPENING BAL</t>
  </si>
  <si>
    <t>DR TURNOVER</t>
  </si>
  <si>
    <t>CR TURNOVER</t>
  </si>
  <si>
    <t>CLOSING BAL</t>
  </si>
  <si>
    <t>112112000</t>
  </si>
  <si>
    <t>112192000</t>
  </si>
  <si>
    <t xml:space="preserve">INTEREST PAYABLE ON MICROVEST 2015 </t>
  </si>
  <si>
    <t>207062000</t>
  </si>
  <si>
    <t xml:space="preserve"> INTREST VILAGE EXPRES BANKING</t>
  </si>
  <si>
    <t xml:space="preserve"> INTREST VILAGE EXPRSS BANKING</t>
  </si>
  <si>
    <t>401092000</t>
  </si>
  <si>
    <t xml:space="preserve"> INTEREST INDIVIDUAL EXPRESS  LN </t>
  </si>
  <si>
    <t xml:space="preserve"> INTEREST VILLAGE EXPRESS BANKING</t>
  </si>
  <si>
    <t xml:space="preserve">INCOME FROM DORMANT ACCOUNT </t>
  </si>
  <si>
    <t>405026000</t>
  </si>
  <si>
    <t xml:space="preserve"> (EFT)/(RTGS) CHARGES </t>
  </si>
  <si>
    <t>513016000</t>
  </si>
  <si>
    <t>513036000</t>
  </si>
  <si>
    <t>516036000</t>
  </si>
  <si>
    <t>516046000</t>
  </si>
  <si>
    <t>517036000</t>
  </si>
  <si>
    <t>519026000</t>
  </si>
  <si>
    <t>ALICE JERE TEMBO</t>
  </si>
  <si>
    <t>AUDIT PARTNER</t>
  </si>
  <si>
    <t>Report on other legal and regulatory requirements</t>
  </si>
  <si>
    <t>Arrangement and deposit fees</t>
  </si>
  <si>
    <t>Insurance administration fee</t>
  </si>
  <si>
    <t>Legal and asset inspection fees</t>
  </si>
  <si>
    <t>INCOME FROM DORMANT ACCOUNT</t>
  </si>
  <si>
    <t>(EFT)/(RTGS) CHARGES</t>
  </si>
  <si>
    <t>Account maintance fees</t>
  </si>
  <si>
    <t>Credit related fees</t>
  </si>
  <si>
    <t>Net interest income after impairment</t>
  </si>
  <si>
    <t xml:space="preserve">  charges for credit losses</t>
  </si>
  <si>
    <t>Operating expenses</t>
  </si>
  <si>
    <t>27.</t>
  </si>
  <si>
    <t>Interest expense recognised in profit or loss</t>
  </si>
  <si>
    <t>Voluntary savings</t>
  </si>
  <si>
    <t>Collateral savings deposits</t>
  </si>
  <si>
    <t>Repayments</t>
  </si>
  <si>
    <t>The Company has balances arising from transactions with:</t>
  </si>
  <si>
    <t xml:space="preserve">The net effect of related party transactions on the results for the year are as follows: </t>
  </si>
  <si>
    <t>FINCA Microfinance Holdings LLC (FMH), the company's parent company.</t>
  </si>
  <si>
    <t>Loans received</t>
  </si>
  <si>
    <t>Total equity and   liabilities</t>
  </si>
  <si>
    <t>Market risks -  sensitivity analysis (Continued)</t>
  </si>
  <si>
    <t>Fair value of financial assets and financial liabilities that are not measured at fair value on a recurring basis (but fair value disclosures are required) (Continued)</t>
  </si>
  <si>
    <t>Liquidity risk management (Continued)</t>
  </si>
  <si>
    <t>Bank and cash   balances</t>
  </si>
  <si>
    <t xml:space="preserve"> Bank and cash balances</t>
  </si>
  <si>
    <t xml:space="preserve">The Directors are responsible for the preparation and presentation of these financial statements that give a true and fair view in accordance with International Financial Reporting Standards, and in the manner required by the Companies' Act, 1994 (as amended) and the Banking and Financial Services Act, 1994 (as amended), and for such internal control as management determines is necessary to enable the preparation of financial statements that are free from material misstatement, whether due to fraud or error. </t>
  </si>
  <si>
    <t>Interest income</t>
  </si>
  <si>
    <t>Impairment charges for credit losses</t>
  </si>
  <si>
    <t>EQUITY</t>
  </si>
  <si>
    <t>Deposits from customers</t>
  </si>
  <si>
    <t>Other financial liabilities</t>
  </si>
  <si>
    <t>General</t>
  </si>
  <si>
    <t xml:space="preserve">Retained </t>
  </si>
  <si>
    <t>DEPOSITS FROM CUSTOMERS</t>
  </si>
  <si>
    <t>Deposits from customers consist of customers' collateral savings and voluntary savings.</t>
  </si>
  <si>
    <t>OTHER FINANCIAL LIABILITIES</t>
  </si>
  <si>
    <t>The Directors consider that the carrying amounts of liabilities approximate their fair values.</t>
  </si>
  <si>
    <t>Regional MSME Investment Fund for Sub-Saharan Africa S.A, SICAV-SIF Symbiotics</t>
  </si>
  <si>
    <t>Amounts due to  related parties</t>
  </si>
  <si>
    <t xml:space="preserve">     – deposits from customers</t>
  </si>
  <si>
    <t xml:space="preserve">     – other financial liabilities</t>
  </si>
  <si>
    <t xml:space="preserve">     – amounts due to related parties</t>
  </si>
  <si>
    <t>Fee and commission income</t>
  </si>
  <si>
    <t>In our opinion, the financial statements give a true and fair view of the financial position of Finca Zambia Limited as at 31 December 2015, and of its financial performance and cash flows for the year then ended in accordance with International Financial Reporting Standards and in the manner required by the Companies Act, 1994 (as amended) and the Banking and Financial Services Acts, 1994 (as amended).</t>
  </si>
  <si>
    <t>Loans and advances to customers</t>
  </si>
  <si>
    <t>GENERAL RESERVE</t>
  </si>
  <si>
    <t>Derivative financial assets</t>
  </si>
  <si>
    <t>28.</t>
  </si>
  <si>
    <t>29.</t>
  </si>
  <si>
    <t xml:space="preserve">     – Derivative financial assets</t>
  </si>
  <si>
    <t>PC NO.: AUD/F000433</t>
  </si>
  <si>
    <t>Total other income</t>
  </si>
  <si>
    <t>FINCA Network Support Services</t>
  </si>
  <si>
    <t>FINCA Microfinance Holding Company LLC (FMH)</t>
  </si>
  <si>
    <t>for the year ended 31 December 2016</t>
  </si>
  <si>
    <t>●</t>
  </si>
  <si>
    <r>
      <t>We have audited the accompanying financial statements of</t>
    </r>
    <r>
      <rPr>
        <b/>
        <sz val="10"/>
        <rFont val="Verdana"/>
        <family val="2"/>
      </rPr>
      <t xml:space="preserve"> </t>
    </r>
    <r>
      <rPr>
        <sz val="10"/>
        <rFont val="Verdana"/>
        <family val="2"/>
      </rPr>
      <t xml:space="preserve">FINCA Zambia Limited set out on pages 7 to 50, which comprise the statement of financial position as at 31 December 2016, and the statement of profit or loss and other comprehensive income, statement of changes in equity and statement of cash flows for the year then ended, and a summary of significant accounting policies and other explanatory information. </t>
    </r>
  </si>
  <si>
    <t>2016</t>
  </si>
  <si>
    <r>
      <t>FINANCIAL PERIOD FROM:</t>
    </r>
    <r>
      <rPr>
        <sz val="12"/>
        <color rgb="FF000000"/>
        <rFont val="Arial"/>
        <family val="2"/>
      </rPr>
      <t xml:space="preserve"> FY2016-001 </t>
    </r>
    <r>
      <rPr>
        <b/>
        <sz val="12"/>
        <color rgb="FF000000"/>
        <rFont val="Arial"/>
        <family val="2"/>
      </rPr>
      <t xml:space="preserve">TO: </t>
    </r>
    <r>
      <rPr>
        <sz val="12"/>
        <color rgb="FF000000"/>
        <rFont val="Arial"/>
        <family val="2"/>
      </rPr>
      <t xml:space="preserve">FY2016-012
</t>
    </r>
    <r>
      <rPr>
        <b/>
        <sz val="12"/>
        <color rgb="FF000000"/>
        <rFont val="Arial"/>
        <family val="2"/>
      </rPr>
      <t>BRANCH:</t>
    </r>
    <r>
      <rPr>
        <sz val="12"/>
        <color rgb="FF000000"/>
        <rFont val="Arial"/>
        <family val="2"/>
      </rPr>
      <t xml:space="preserve"> All</t>
    </r>
  </si>
  <si>
    <t>105012103</t>
  </si>
  <si>
    <t>PORTFOLIO GROUP LOANS</t>
  </si>
  <si>
    <t>105033700</t>
  </si>
  <si>
    <t>109021000</t>
  </si>
  <si>
    <t>109021001</t>
  </si>
  <si>
    <t>DEBT INSTRUMENT FNANCI ASSETS FVTPL</t>
  </si>
  <si>
    <t>COUPON SECURITIES</t>
  </si>
  <si>
    <t>110046005</t>
  </si>
  <si>
    <t>EMPLYE TRVL ADVNCS TRNSPT/PDIEM INT</t>
  </si>
  <si>
    <t>110046006</t>
  </si>
  <si>
    <t>STAFF DEBTORS</t>
  </si>
  <si>
    <t>110046010</t>
  </si>
  <si>
    <t>STAFF TRANSPORT ADVANCE</t>
  </si>
  <si>
    <t>111012103</t>
  </si>
  <si>
    <t>INT.ACCR GROUP LOANS</t>
  </si>
  <si>
    <t>111022103</t>
  </si>
  <si>
    <t>INTEREST RECEIVABLE GROUP LOANS</t>
  </si>
  <si>
    <t>112112103</t>
  </si>
  <si>
    <t>GROUP LOANS</t>
  </si>
  <si>
    <t>114026002</t>
  </si>
  <si>
    <t>CURRENT TAX ASSET</t>
  </si>
  <si>
    <t>UPFRONT FEES ON OIKOCREDIT LOAN</t>
  </si>
  <si>
    <t>114126018</t>
  </si>
  <si>
    <t>116016000</t>
  </si>
  <si>
    <t>116016001</t>
  </si>
  <si>
    <t>DISPOSAL OF FIXED ASSETS</t>
  </si>
  <si>
    <t>INT. PAYABLE ON OIKOCREDIT LOAN</t>
  </si>
  <si>
    <t>OIKOCREDIT LOAN $550,000</t>
  </si>
  <si>
    <t>202013704</t>
  </si>
  <si>
    <t>BILL PAYMENT</t>
  </si>
  <si>
    <t>202013705</t>
  </si>
  <si>
    <t>MOBILE BANKING</t>
  </si>
  <si>
    <t>202034000</t>
  </si>
  <si>
    <t>202034900</t>
  </si>
  <si>
    <t>202034902</t>
  </si>
  <si>
    <t>202063502</t>
  </si>
  <si>
    <t>MIGRATED CASH COLLATERAL</t>
  </si>
  <si>
    <t>205016030</t>
  </si>
  <si>
    <t>206026030</t>
  </si>
  <si>
    <t>206026031</t>
  </si>
  <si>
    <t>INT.PAYABLE OIKOCREDIT LOAN 2</t>
  </si>
  <si>
    <t>206043700</t>
  </si>
  <si>
    <t>207022162</t>
  </si>
  <si>
    <t>INSUR.CREDIT LIFE FEE GROUP LOANS</t>
  </si>
  <si>
    <t>207032103</t>
  </si>
  <si>
    <t>PROVISION FOR GROUP LOANS</t>
  </si>
  <si>
    <t>207032204</t>
  </si>
  <si>
    <t>PROVISIONS FOR EMM. STAFF LOAN</t>
  </si>
  <si>
    <t>208016000</t>
  </si>
  <si>
    <t>208016001</t>
  </si>
  <si>
    <t>DEFERRED GRANT INCOME-FI</t>
  </si>
  <si>
    <t>208016002</t>
  </si>
  <si>
    <t>DEFERRED GRANT INCOME- OTHERS</t>
  </si>
  <si>
    <t>211011005</t>
  </si>
  <si>
    <t>INSURANCE PREMIUM LEY PAYABLE</t>
  </si>
  <si>
    <t>211011166</t>
  </si>
  <si>
    <t>WHT ON AUTOMATED POS COMISSION</t>
  </si>
  <si>
    <t>211036012</t>
  </si>
  <si>
    <t>PAYABLE ON UNILUS</t>
  </si>
  <si>
    <t>211036013</t>
  </si>
  <si>
    <t>IFRS PROVISION ADJUSTMENTS ON LLP</t>
  </si>
  <si>
    <t>211046015</t>
  </si>
  <si>
    <t>PAYABLES ON FSG</t>
  </si>
  <si>
    <t>211046016</t>
  </si>
  <si>
    <t>STAFF TRANSPORT PAYABLE</t>
  </si>
  <si>
    <t>211062161</t>
  </si>
  <si>
    <t>ARRANGEMENT FEE GROUP LOANS</t>
  </si>
  <si>
    <t>211062163</t>
  </si>
  <si>
    <t>INSU. ADMIN FEE GROUP LOANS</t>
  </si>
  <si>
    <t>DEFFERRED TAX LIABILITY</t>
  </si>
  <si>
    <t>212042000</t>
  </si>
  <si>
    <t>212042001</t>
  </si>
  <si>
    <t>THIRD PARTY PAYROLL PAYABLE</t>
  </si>
  <si>
    <t>217012103</t>
  </si>
  <si>
    <t>RPA GROUP LOANS</t>
  </si>
  <si>
    <t>401022103</t>
  </si>
  <si>
    <t>REG. INT INCOME GROUP LOANS</t>
  </si>
  <si>
    <t>401092202</t>
  </si>
  <si>
    <t>402012103</t>
  </si>
  <si>
    <t>403012155</t>
  </si>
  <si>
    <t>ESTABLISHMENT FEE VB</t>
  </si>
  <si>
    <t>403012156</t>
  </si>
  <si>
    <t>ESTABLISHMENT FEE SGL</t>
  </si>
  <si>
    <t>403012157</t>
  </si>
  <si>
    <t>ESTABLISHMENT FEE IL EXPRESS</t>
  </si>
  <si>
    <t>403012158</t>
  </si>
  <si>
    <t>ESTABLISHMENT FEES IL MICRO</t>
  </si>
  <si>
    <t>403012159</t>
  </si>
  <si>
    <t>ESTABLISHMENT FEE SE</t>
  </si>
  <si>
    <t>403012164</t>
  </si>
  <si>
    <t>ESTABLISHMENT FEE GROUP LOANS</t>
  </si>
  <si>
    <t>405013160</t>
  </si>
  <si>
    <t>OTC CHARGES</t>
  </si>
  <si>
    <t>RESULTS ON FIN. INCOME FV FIN ASSET</t>
  </si>
  <si>
    <t>408036003</t>
  </si>
  <si>
    <t>SMALL BALANCE FORFEITURE</t>
  </si>
  <si>
    <t>408046203</t>
  </si>
  <si>
    <t>INCOM FROM WRITEN OFF LOAN ON  SE</t>
  </si>
  <si>
    <t>GRANNT INCOME-FI</t>
  </si>
  <si>
    <t>409016003</t>
  </si>
  <si>
    <t>GRANT INCOME- OTHERS</t>
  </si>
  <si>
    <t>501013700</t>
  </si>
  <si>
    <t>501046033</t>
  </si>
  <si>
    <t>INT. EXPENSE ON OIKOCREDIT LOAN</t>
  </si>
  <si>
    <t>501046034</t>
  </si>
  <si>
    <t>INT EXPENSE OIKOCREDIT LOAN 2</t>
  </si>
  <si>
    <t>502016015</t>
  </si>
  <si>
    <t>UPFRONT FEE ON OIKOCREDIT LOAN</t>
  </si>
  <si>
    <t>502026165</t>
  </si>
  <si>
    <t>AUTOMATED COMISSION ON POS AGNT A/C</t>
  </si>
  <si>
    <t>503052103</t>
  </si>
  <si>
    <t xml:space="preserve">LOAN WRITE OFF -GROUP LOANS </t>
  </si>
  <si>
    <t>503052204</t>
  </si>
  <si>
    <t>EMMERGENCY STAFF LOANS</t>
  </si>
  <si>
    <t>GRATUITY EXPENSES</t>
  </si>
  <si>
    <t>508026001</t>
  </si>
  <si>
    <t>HIRE OF VENUE-EXTERNAL TRAINING</t>
  </si>
  <si>
    <t>510026003</t>
  </si>
  <si>
    <t>TAXES ON AUDIT</t>
  </si>
  <si>
    <t>516016003</t>
  </si>
  <si>
    <t>FLIERS,BANERS/OTHR PRINTD MATRL</t>
  </si>
  <si>
    <t>517016004</t>
  </si>
  <si>
    <t>UPGRADE OF IS SYSTEM</t>
  </si>
  <si>
    <t>517016005</t>
  </si>
  <si>
    <t>IT EXPENSES</t>
  </si>
  <si>
    <t>518066001</t>
  </si>
  <si>
    <t>MEETING AND CONFERENCES</t>
  </si>
  <si>
    <t>STAFF WELFARE</t>
  </si>
  <si>
    <t>518096006</t>
  </si>
  <si>
    <t>FRAUD AND MISAPPROPRIATIONS</t>
  </si>
  <si>
    <t>518096007</t>
  </si>
  <si>
    <t>IFRS ADJUSTMENTS ON LLP</t>
  </si>
  <si>
    <t>519000000</t>
  </si>
  <si>
    <t>519016008</t>
  </si>
  <si>
    <t>IMPAIRMENT ON FIXED ASSETS</t>
  </si>
  <si>
    <t>oiko</t>
  </si>
  <si>
    <t>micro</t>
  </si>
  <si>
    <t>fmh</t>
  </si>
  <si>
    <t>sy</t>
  </si>
  <si>
    <t>tr</t>
  </si>
  <si>
    <t>Ecumenical Development Cooperative Society UA - Oikocredit</t>
  </si>
  <si>
    <t>Year ended 31 December 2016</t>
  </si>
  <si>
    <t>The table below sets out the impact on current profit before taxation of an incremental 10% parallel fall or rise in all yield curves at the beginning of the current financial year beginning on 1 January 2016:</t>
  </si>
  <si>
    <t>Profit before tax</t>
  </si>
  <si>
    <t>Fair value hierarchy as at 31 December 2016</t>
  </si>
  <si>
    <t>RELATED PARTY TRANSACTIONS (CONTINUED)</t>
  </si>
  <si>
    <t>(a)    Amounts due to related parties</t>
  </si>
  <si>
    <t xml:space="preserve">(b) </t>
  </si>
  <si>
    <t>b) Foreign Exchange risks - Appreciation/ Depreciation of USD by 11%</t>
  </si>
  <si>
    <t>The foreign exchange risks sensitivity analysis is based on an incremental 11% parallel fall or rise in the US Dollar exchange rate during the year ended 31 December 2016.</t>
  </si>
  <si>
    <t>b) Foreign Exchange risks - Appreciation/ Depreciation of USD by 11% (Continued)</t>
  </si>
  <si>
    <r>
      <t xml:space="preserve">Assuming no management action, a rise would decrease net interest income for 2016 by </t>
    </r>
    <r>
      <rPr>
        <b/>
        <sz val="10"/>
        <rFont val="Verdana"/>
        <family val="2"/>
      </rPr>
      <t>K2,487,551</t>
    </r>
    <r>
      <rPr>
        <sz val="10"/>
        <rFont val="Verdana"/>
        <family val="2"/>
      </rPr>
      <t xml:space="preserve"> (2015: K 1,978,552), while a fall would increase net interest income by the same amount.</t>
    </r>
  </si>
  <si>
    <t xml:space="preserve">11% increase </t>
  </si>
  <si>
    <t>11% decrease</t>
  </si>
  <si>
    <r>
      <t xml:space="preserve">Assuming no management action, a rise would decrease net  income for 2016 by </t>
    </r>
    <r>
      <rPr>
        <b/>
        <sz val="10"/>
        <rFont val="Verdana"/>
        <family val="2"/>
      </rPr>
      <t>K706,068</t>
    </r>
    <r>
      <rPr>
        <sz val="10"/>
        <rFont val="Verdana"/>
        <family val="2"/>
      </rPr>
      <t xml:space="preserve"> (2015:K971,343), while a fall would increase net interest income by the same amount.</t>
    </r>
  </si>
  <si>
    <t>FINANCIAL RISK AND CAPITAL MANAGEMENT</t>
  </si>
  <si>
    <t>1010101</t>
  </si>
  <si>
    <t>1010201</t>
  </si>
  <si>
    <t>VAULT CASH</t>
  </si>
  <si>
    <t>1010301</t>
  </si>
  <si>
    <t>1010803</t>
  </si>
  <si>
    <t>TELLER DRAWER CASH 1</t>
  </si>
  <si>
    <t>1020101</t>
  </si>
  <si>
    <t>CASH COLLATERAL BANK ACCOUNTS</t>
  </si>
  <si>
    <t>1030101</t>
  </si>
  <si>
    <t>1030102</t>
  </si>
  <si>
    <t>1030103</t>
  </si>
  <si>
    <t>1030104</t>
  </si>
  <si>
    <t>1030105</t>
  </si>
  <si>
    <t>1030106</t>
  </si>
  <si>
    <t>1030107</t>
  </si>
  <si>
    <t>1040101</t>
  </si>
  <si>
    <t>PORTFOLIO STAFF LOAN (REGULAR CONSUMPTION)</t>
  </si>
  <si>
    <t>1040102</t>
  </si>
  <si>
    <t>PORTFOLIO EMERGENCY STAFF LOANS (REGULAR CONSUMPTION)</t>
  </si>
  <si>
    <t>1040201</t>
  </si>
  <si>
    <t>PORTFOLIO STAFF LOAN (suspended consumption)</t>
  </si>
  <si>
    <t>1040205</t>
  </si>
  <si>
    <t>PORTFOLIO STAFF LOAN (Bad debt)</t>
  </si>
  <si>
    <t>1050102</t>
  </si>
  <si>
    <t>PORTFOLIO SMALL GROUP LOAN(Non consumption regular)</t>
  </si>
  <si>
    <t>1050103</t>
  </si>
  <si>
    <t>PORTFOLIO GROUP LOANS(Non consumption regular)</t>
  </si>
  <si>
    <t>1050104</t>
  </si>
  <si>
    <t>PORTFOLIO EXPRESS LOAN(Non consumption regular)</t>
  </si>
  <si>
    <t>1050105</t>
  </si>
  <si>
    <t>PORTFOLIO INDIVIDUAL LOAN (Non consumption regular)</t>
  </si>
  <si>
    <t>1050106</t>
  </si>
  <si>
    <t>PORTFOLIO SMALL ENTERPRISE LOANS(Non consumption regular)</t>
  </si>
  <si>
    <t>1050203</t>
  </si>
  <si>
    <t>PORTFOLIO GROUP LOANS(Non consumption suspended</t>
  </si>
  <si>
    <t>1050204</t>
  </si>
  <si>
    <t>PORTFOLIO EXPRESS LOAN(Non consumption suspended)</t>
  </si>
  <si>
    <t>1050205</t>
  </si>
  <si>
    <t>PORTFOLIO INDIVIDUAL LOAN(Non consumption suspended)</t>
  </si>
  <si>
    <t>1050206</t>
  </si>
  <si>
    <t>PORTFOLIO SMALL ENTERPRISE LOANS(Non consumption suspended)</t>
  </si>
  <si>
    <t>1050208</t>
  </si>
  <si>
    <t>PORTFOLIO SMALL GROUP LOAN(Deliquent)</t>
  </si>
  <si>
    <t>1050209</t>
  </si>
  <si>
    <t>PORTFOLIO GROUP LOANS(Deliquent)</t>
  </si>
  <si>
    <t>1050210</t>
  </si>
  <si>
    <t>PORTFOLIO EXPRESS LOAN(Deliquent)</t>
  </si>
  <si>
    <t>1050211</t>
  </si>
  <si>
    <t>PORTFOLIO INDIVIDUAL LOAN(Deliquent)</t>
  </si>
  <si>
    <t>1050213</t>
  </si>
  <si>
    <t>PORTFOLIO VILLAGE BANKING LOAN(Bad debt)</t>
  </si>
  <si>
    <t>1050214</t>
  </si>
  <si>
    <t>PORTFOLIO SMALL GROUP LOAN(Bad debt)</t>
  </si>
  <si>
    <t>1050215</t>
  </si>
  <si>
    <t>PORTFOLIO GROUP LOANS(Bad debt)</t>
  </si>
  <si>
    <t>1050216</t>
  </si>
  <si>
    <t>PORTFOLIO EXPRESS LOAN(Bad debt)</t>
  </si>
  <si>
    <t>1050217</t>
  </si>
  <si>
    <t>PORTFOLIO INDIVIDUAL LOAN(Bad debt)</t>
  </si>
  <si>
    <t>1050218</t>
  </si>
  <si>
    <t>PORTFOLIO SMALL ENTERPRISE LOANS(Bad debt)</t>
  </si>
  <si>
    <t>6020201</t>
  </si>
  <si>
    <t>7020201</t>
  </si>
  <si>
    <t>CONTINGENT LIABILITIES PRVSN FO PRNCPL AMT(BAD DEBT ESTMT)</t>
  </si>
  <si>
    <t>2060301</t>
  </si>
  <si>
    <t>2060302</t>
  </si>
  <si>
    <t>2060303</t>
  </si>
  <si>
    <t>2060304</t>
  </si>
  <si>
    <t>2060305</t>
  </si>
  <si>
    <t>2060306</t>
  </si>
  <si>
    <t>PROVISIONS FOR INDIVIDUAL LOAN</t>
  </si>
  <si>
    <t>2060307</t>
  </si>
  <si>
    <t>2060308</t>
  </si>
  <si>
    <t>2060309</t>
  </si>
  <si>
    <t>2060501</t>
  </si>
  <si>
    <t>1110101</t>
  </si>
  <si>
    <t>INTEREST RECEIVABLE-VILLAGE BANKING LN</t>
  </si>
  <si>
    <t>1110102</t>
  </si>
  <si>
    <t>INTEREST RECEIVABLE ON VB EXPRESS LN</t>
  </si>
  <si>
    <t>1110103</t>
  </si>
  <si>
    <t>INTEREST RECEIVABLE-SMALL GROUP LN</t>
  </si>
  <si>
    <t>1110104</t>
  </si>
  <si>
    <t>1110105</t>
  </si>
  <si>
    <t>INTEREST RECEIVABLE-INDIVIDUAL EXPRESS LN</t>
  </si>
  <si>
    <t>1110106</t>
  </si>
  <si>
    <t>INTEREST RECEIVABLE ON INDIVIDUAL LOANS</t>
  </si>
  <si>
    <t>1110107</t>
  </si>
  <si>
    <t>1110108</t>
  </si>
  <si>
    <t>INT RECEIVABLE SMALL ENTERPRISE LOANS</t>
  </si>
  <si>
    <t>1110601</t>
  </si>
  <si>
    <t>FINCA BANJA OVERDRAFT INTEREST RECEIVABLE</t>
  </si>
  <si>
    <t>1120101</t>
  </si>
  <si>
    <t>PENALTY ARREARS RECEIVABLE VILLAGE BANKING</t>
  </si>
  <si>
    <t>1120103</t>
  </si>
  <si>
    <t>PENALTY ARREARS RECEIVABLE SMALL GROUP LOAN</t>
  </si>
  <si>
    <t>1120104</t>
  </si>
  <si>
    <t>PENALTY ARREARS RECEIVABLE GROUP LOANS</t>
  </si>
  <si>
    <t>1120105</t>
  </si>
  <si>
    <t>PENALTY ARREARS RECEIVABLE INDIVIDUAL EXPRESS LOAN</t>
  </si>
  <si>
    <t>1120106</t>
  </si>
  <si>
    <t>PENALTY ARREARS RECEIVABLE INDIVIDUAL LOAN</t>
  </si>
  <si>
    <t>1120107</t>
  </si>
  <si>
    <t>PENALTY ARREARS RECEIVABLE STAFF LOAN</t>
  </si>
  <si>
    <t>1120108</t>
  </si>
  <si>
    <t>PENALTY ARREARS RECEIVABLE SMALL ENTERPRISE</t>
  </si>
  <si>
    <t>1120201</t>
  </si>
  <si>
    <t>SUSPENDED PENALTY ARREARS INT RECEIVABLE VILLAGE BANKING</t>
  </si>
  <si>
    <t>1120202</t>
  </si>
  <si>
    <t>SUSPENDED PENALTY ARREARS INTEREST RECEIVABLE VILLAGE BANKING EXPRESS</t>
  </si>
  <si>
    <t>1120203</t>
  </si>
  <si>
    <t>SUSPENDED PENALTY ARREARS INTEREST RECEIVABLE SMALL GROUP LOAN</t>
  </si>
  <si>
    <t>1120204</t>
  </si>
  <si>
    <t>SUSPENDED PENALTY ARREARS INTEREST RECEIVABLE GROUP LOANS</t>
  </si>
  <si>
    <t>1120205</t>
  </si>
  <si>
    <t>SUSPENDED PENALTY ARREARS INTEREST RECEIVABLE INDIVIDUAL EXPRESS LOAN</t>
  </si>
  <si>
    <t>1120206</t>
  </si>
  <si>
    <t>SUSPENDED PENALTY ARREARS INTEREST RECEIVABLE INDIVIDUAL LOAN</t>
  </si>
  <si>
    <t>1120207</t>
  </si>
  <si>
    <t>SUSPENDED PENALTY ARREARS INTEREST RECEIVABLE STAFF LOAN</t>
  </si>
  <si>
    <t>1120208</t>
  </si>
  <si>
    <t>SUSPENDED PENALTY ARREARS INTEREST RECEIVABLE SMALL ENTERPRISE</t>
  </si>
  <si>
    <t>1090105</t>
  </si>
  <si>
    <t>PREPAYMENTS TO GOVERMENTS AND GOVERMENT AGENCIES</t>
  </si>
  <si>
    <t>1090301</t>
  </si>
  <si>
    <t>PREPAID RENT</t>
  </si>
  <si>
    <t>1090302</t>
  </si>
  <si>
    <t>1090303</t>
  </si>
  <si>
    <t>1090306</t>
  </si>
  <si>
    <t>1090307</t>
  </si>
  <si>
    <t>1090308</t>
  </si>
  <si>
    <t>1090309</t>
  </si>
  <si>
    <t>1160102</t>
  </si>
  <si>
    <t>1160104</t>
  </si>
  <si>
    <t>PREPAID CASH ON HAND AND INTRANSIT INSURANCE</t>
  </si>
  <si>
    <t>1160105</t>
  </si>
  <si>
    <t>PREPAID ELECTRICAL EQUIPMENT INSURANCE</t>
  </si>
  <si>
    <t>1160106</t>
  </si>
  <si>
    <t>PREPAID GENERAL INSURANCE</t>
  </si>
  <si>
    <t>1160107</t>
  </si>
  <si>
    <t>1160201</t>
  </si>
  <si>
    <t>1090401</t>
  </si>
  <si>
    <t>EMPLOYEE TRVL ADVNCS TRNST OR PEDIEM</t>
  </si>
  <si>
    <t>1090403</t>
  </si>
  <si>
    <t>1090405</t>
  </si>
  <si>
    <t>1090406</t>
  </si>
  <si>
    <t>1080301</t>
  </si>
  <si>
    <t>1090103</t>
  </si>
  <si>
    <t>WITHHOLDING TAX RECEIVABLE</t>
  </si>
  <si>
    <t>1160701</t>
  </si>
  <si>
    <t>RECEIVABLES FROM OTHER AFFILIATES</t>
  </si>
  <si>
    <t>1160901</t>
  </si>
  <si>
    <t>1160902</t>
  </si>
  <si>
    <t>1160903</t>
  </si>
  <si>
    <t>1160904</t>
  </si>
  <si>
    <t>1181001</t>
  </si>
  <si>
    <t>2110901</t>
  </si>
  <si>
    <t>CONVERSION TRANSITORY BALANCES</t>
  </si>
  <si>
    <t>1090101</t>
  </si>
  <si>
    <t>1160301</t>
  </si>
  <si>
    <t>1180301</t>
  </si>
  <si>
    <t>OFFICE FURNITURE AND FIXTURES</t>
  </si>
  <si>
    <t>1180401</t>
  </si>
  <si>
    <t>COMPUTERS AND COMMUNICATION EQUIPMENT</t>
  </si>
  <si>
    <t>1180601</t>
  </si>
  <si>
    <t>FINCA VEHICLES</t>
  </si>
  <si>
    <t>1180801</t>
  </si>
  <si>
    <t>1180901</t>
  </si>
  <si>
    <t>WORK INPROGRESS FIXED ASSETS</t>
  </si>
  <si>
    <t>1180902</t>
  </si>
  <si>
    <t>1180903</t>
  </si>
  <si>
    <t>WORK IN PROGRESS - ORBIT R</t>
  </si>
  <si>
    <t>1200301</t>
  </si>
  <si>
    <t>ACCUMULATED DEPRECIATION ON FURNITURE AND FITTINGS</t>
  </si>
  <si>
    <t>1200401</t>
  </si>
  <si>
    <t>ACCUMULATED DEPRECIATION ON COMPUTERS AND COMMUNICATION EQUIPMENT</t>
  </si>
  <si>
    <t>1200601</t>
  </si>
  <si>
    <t>ACCUMULATED DEPRECIATION ON VEHICLES</t>
  </si>
  <si>
    <t>1200801</t>
  </si>
  <si>
    <t>ACCUMULATED DEPRECIATION ON LEASEHOLD IMPROVEMENTS</t>
  </si>
  <si>
    <t>1200902</t>
  </si>
  <si>
    <t>ACCUMULATED DEPRECIATION ON OTHER FIXED ASSETS AT COST</t>
  </si>
  <si>
    <t>1190101</t>
  </si>
  <si>
    <t>CORE BANKING SYSTEM</t>
  </si>
  <si>
    <t>1190102</t>
  </si>
  <si>
    <t>ARUTI</t>
  </si>
  <si>
    <t>1190103</t>
  </si>
  <si>
    <t>OTHER SOFTWARE</t>
  </si>
  <si>
    <t>1210101</t>
  </si>
  <si>
    <t>ACCUMULATED DEPRECIATION ON CORE BANKING SYSTEM</t>
  </si>
  <si>
    <t>1210103</t>
  </si>
  <si>
    <t>ACCUMULATED DEPRECIATION ON OTHER SOFTWARE</t>
  </si>
  <si>
    <t>1060101</t>
  </si>
  <si>
    <t>FLEX OVERDRAFT</t>
  </si>
  <si>
    <t>1060102</t>
  </si>
  <si>
    <t>OVERDRAFT SAVER</t>
  </si>
  <si>
    <t>1060104</t>
  </si>
  <si>
    <t>2020101</t>
  </si>
  <si>
    <t>2020102</t>
  </si>
  <si>
    <t>2020103</t>
  </si>
  <si>
    <t>SIEM MIGRATED CASH COLLATERAL</t>
  </si>
  <si>
    <t>2020104</t>
  </si>
  <si>
    <t>DIGITAL CHANNELS</t>
  </si>
  <si>
    <t>2020105</t>
  </si>
  <si>
    <t>2020106</t>
  </si>
  <si>
    <t>2020107</t>
  </si>
  <si>
    <t>2020108</t>
  </si>
  <si>
    <t>2020111</t>
  </si>
  <si>
    <t>INVESTMENT ACCOUNT</t>
  </si>
  <si>
    <t>2020201</t>
  </si>
  <si>
    <t>FIXED TERM DEPOSIT</t>
  </si>
  <si>
    <t>2020202</t>
  </si>
  <si>
    <t>FIXED TERM DEPOSIT INSTITUTIONAL</t>
  </si>
  <si>
    <t>2020203</t>
  </si>
  <si>
    <t>2020401</t>
  </si>
  <si>
    <t>UNCLAIMED SAVINGS FLEX</t>
  </si>
  <si>
    <t>2020402</t>
  </si>
  <si>
    <t>UNCLAIMED SAVINGS SAVER</t>
  </si>
  <si>
    <t>2020403</t>
  </si>
  <si>
    <t>2020404</t>
  </si>
  <si>
    <t>2020405</t>
  </si>
  <si>
    <t>UNCLAIMED SAVINGS BANJA</t>
  </si>
  <si>
    <t>2020406</t>
  </si>
  <si>
    <t>UNCLAIMED SAVINGS CORPORATE</t>
  </si>
  <si>
    <t>2020501</t>
  </si>
  <si>
    <t>DORMANT BALANCE FLEX</t>
  </si>
  <si>
    <t>2020502</t>
  </si>
  <si>
    <t>DORMANT BALANCE SAVER</t>
  </si>
  <si>
    <t>2020504</t>
  </si>
  <si>
    <t>DORMANT BALANCE OVERDRAFT POS AGENT</t>
  </si>
  <si>
    <t>2020505</t>
  </si>
  <si>
    <t>DORMANT BALANCE BANJA</t>
  </si>
  <si>
    <t>2020506</t>
  </si>
  <si>
    <t>DORMANT BALANCE CORPORATE</t>
  </si>
  <si>
    <t>2020507</t>
  </si>
  <si>
    <t>DORMANT BALANCE BILL PAYMENT</t>
  </si>
  <si>
    <t>2020601</t>
  </si>
  <si>
    <t>ESCHEATED BALANCE FLEX</t>
  </si>
  <si>
    <t>2020602</t>
  </si>
  <si>
    <t>ESCHEATED BALANCE SAVER</t>
  </si>
  <si>
    <t>2020603</t>
  </si>
  <si>
    <t>ESCHEATED BALANCE SIEM MIGRATED CASH COLLATERAL</t>
  </si>
  <si>
    <t>2020605</t>
  </si>
  <si>
    <t>ESCHEATED BALANCE BANJA</t>
  </si>
  <si>
    <t>2020606</t>
  </si>
  <si>
    <t>ESCHEATED BALANCE CORPORATE</t>
  </si>
  <si>
    <t>2050203</t>
  </si>
  <si>
    <t>INTERST PAYABLE BANJA</t>
  </si>
  <si>
    <t>2070103</t>
  </si>
  <si>
    <t>2070104</t>
  </si>
  <si>
    <t>2070106</t>
  </si>
  <si>
    <t>2070107</t>
  </si>
  <si>
    <t>2070108</t>
  </si>
  <si>
    <t>2070109</t>
  </si>
  <si>
    <t>2070110</t>
  </si>
  <si>
    <t>2110402</t>
  </si>
  <si>
    <t>2040103</t>
  </si>
  <si>
    <t>2050202</t>
  </si>
  <si>
    <t>INTEREST PAYABLE OVERDRAFT POS AGENT</t>
  </si>
  <si>
    <t>2050303</t>
  </si>
  <si>
    <t>MIGRATED INTEREST ON TERM DEPOSIT 1</t>
  </si>
  <si>
    <t>2060101</t>
  </si>
  <si>
    <t>2060102</t>
  </si>
  <si>
    <t>2060103</t>
  </si>
  <si>
    <t>SUSP INT.INCOME FROM GROUP LOANS</t>
  </si>
  <si>
    <t>2060104</t>
  </si>
  <si>
    <t>2060105</t>
  </si>
  <si>
    <t>2060106</t>
  </si>
  <si>
    <t>2060107</t>
  </si>
  <si>
    <t>2060109</t>
  </si>
  <si>
    <t>SUSP INTEREST INCOME FRM VB EXPRES</t>
  </si>
  <si>
    <t>2060203</t>
  </si>
  <si>
    <t>2060204</t>
  </si>
  <si>
    <t>2060205</t>
  </si>
  <si>
    <t>2060206</t>
  </si>
  <si>
    <t>2060207</t>
  </si>
  <si>
    <t>2060601</t>
  </si>
  <si>
    <t>SUSPENDED ARREARS PENALTY INTEREST VILLAGE BANKING</t>
  </si>
  <si>
    <t>2060602</t>
  </si>
  <si>
    <t>SUSPENDED ARREARS PENALTY INTEREST VILLAGE BANKING EXPRESS</t>
  </si>
  <si>
    <t>2060603</t>
  </si>
  <si>
    <t>SUSPENDED ARREARS PENALTY INTEREST SMALL GROUP LOAN</t>
  </si>
  <si>
    <t>2060604</t>
  </si>
  <si>
    <t>SUSPENDED ARREARS PENALTY INTEREST GROUP LOANS</t>
  </si>
  <si>
    <t>2060605</t>
  </si>
  <si>
    <t>SUSPENDED ARREARS PENALTY INTEREST INDIVIDUAL EXPRESS LOAN</t>
  </si>
  <si>
    <t>2060606</t>
  </si>
  <si>
    <t>SUSPENDED ARREARS PENALTY INTEREST INDIVIDUAL LOAN</t>
  </si>
  <si>
    <t>2060607</t>
  </si>
  <si>
    <t>SUSPENDED ARREARS PENALTY INTEREST STAFF LOAN</t>
  </si>
  <si>
    <t>2060608</t>
  </si>
  <si>
    <t>SUSPENDED ARREARS PENALTY INTEREST SMALL ENTERPRISE</t>
  </si>
  <si>
    <t>2110102</t>
  </si>
  <si>
    <t>2110103</t>
  </si>
  <si>
    <t>2110105</t>
  </si>
  <si>
    <t>2110106</t>
  </si>
  <si>
    <t>2110107</t>
  </si>
  <si>
    <t>2110108</t>
  </si>
  <si>
    <t>2110109</t>
  </si>
  <si>
    <t>WHT ON FOREIGN LENDERS</t>
  </si>
  <si>
    <t>2110110</t>
  </si>
  <si>
    <t>VAT PAYABLE</t>
  </si>
  <si>
    <t>2110301</t>
  </si>
  <si>
    <t>2110302</t>
  </si>
  <si>
    <t>2110303</t>
  </si>
  <si>
    <t>2110305</t>
  </si>
  <si>
    <t>SUPPLIERS ACCOUNTS PAYABLE</t>
  </si>
  <si>
    <t>2110309</t>
  </si>
  <si>
    <t>COLLATERAL REGISTRATION FEES</t>
  </si>
  <si>
    <t>2110401</t>
  </si>
  <si>
    <t>2110403</t>
  </si>
  <si>
    <t>2110405</t>
  </si>
  <si>
    <t>2110407</t>
  </si>
  <si>
    <t>2110501</t>
  </si>
  <si>
    <t>2110502</t>
  </si>
  <si>
    <t>2110504</t>
  </si>
  <si>
    <t>2110505</t>
  </si>
  <si>
    <t>2110507</t>
  </si>
  <si>
    <t>2110509</t>
  </si>
  <si>
    <t>2110903</t>
  </si>
  <si>
    <t>2110904</t>
  </si>
  <si>
    <t>2110905</t>
  </si>
  <si>
    <t>2110906</t>
  </si>
  <si>
    <t>2111001</t>
  </si>
  <si>
    <t>2111201</t>
  </si>
  <si>
    <t>REPAYMENT PENDING APPROPRIATION VILLAGE BANKING</t>
  </si>
  <si>
    <t>2111205</t>
  </si>
  <si>
    <t>RPA INDIVIDUAL EXPRESS LOAN</t>
  </si>
  <si>
    <t>2111206</t>
  </si>
  <si>
    <t>RPA INDIVIDUAL LOAN</t>
  </si>
  <si>
    <t>2111304</t>
  </si>
  <si>
    <t>UNEARNED INT GROUP LOANS</t>
  </si>
  <si>
    <t>2111305</t>
  </si>
  <si>
    <t>UNEARNED INT INDIVIDUAL EXPRESS LOAN</t>
  </si>
  <si>
    <t>2111306</t>
  </si>
  <si>
    <t>UNEARNED INT INDIVIDUAL LOAN</t>
  </si>
  <si>
    <t>2111307</t>
  </si>
  <si>
    <t>UNEARNED INT STAFF LOAN</t>
  </si>
  <si>
    <t>2111308</t>
  </si>
  <si>
    <t>UNEARNED INT SMALL ENTERPRISE</t>
  </si>
  <si>
    <t>2111403</t>
  </si>
  <si>
    <t>UNAPPLIED FUNDS SMALL GROUP LOAN</t>
  </si>
  <si>
    <t>2050102</t>
  </si>
  <si>
    <t>2050103</t>
  </si>
  <si>
    <t>2050104</t>
  </si>
  <si>
    <t>2050106</t>
  </si>
  <si>
    <t>2050107</t>
  </si>
  <si>
    <t>2050108</t>
  </si>
  <si>
    <t>2050109</t>
  </si>
  <si>
    <t>2050110</t>
  </si>
  <si>
    <t>2050301</t>
  </si>
  <si>
    <t>FIXED TERM DEPOSIT INT PAYABLE</t>
  </si>
  <si>
    <t>2050302</t>
  </si>
  <si>
    <t>FIXED TERM DEPOSIT INSTIT INTRST PAYBL</t>
  </si>
  <si>
    <t>2110602</t>
  </si>
  <si>
    <t>2110604</t>
  </si>
  <si>
    <t>2110605</t>
  </si>
  <si>
    <t>2110606</t>
  </si>
  <si>
    <t>2110612</t>
  </si>
  <si>
    <t>MIGRATED ARRANGEMENT FEE - SGL</t>
  </si>
  <si>
    <t>2110613</t>
  </si>
  <si>
    <t>MIGRATED ARRANGEMENT - EXPRES LOAN</t>
  </si>
  <si>
    <t>2110614</t>
  </si>
  <si>
    <t>MIGRATED ARRANGEMENT FEES - VB EXPRES</t>
  </si>
  <si>
    <t>2110615</t>
  </si>
  <si>
    <t>MIGRATED ARRANGEMENT FEE GROUP LOANS</t>
  </si>
  <si>
    <t>2110616</t>
  </si>
  <si>
    <t>MIGRATED ARRANGEMENT FEES - INDIVIDUAL LOAN</t>
  </si>
  <si>
    <t>2110617</t>
  </si>
  <si>
    <t>MIGRATED ARRANGEMENT FEES - SMALL ENTERPRIS</t>
  </si>
  <si>
    <t>2110618</t>
  </si>
  <si>
    <t>MIGRATED ARRANGEMENT FEES - VB</t>
  </si>
  <si>
    <t>2110701</t>
  </si>
  <si>
    <t>2110702</t>
  </si>
  <si>
    <t>2110703</t>
  </si>
  <si>
    <t>2110704</t>
  </si>
  <si>
    <t>2110705</t>
  </si>
  <si>
    <t>2110709</t>
  </si>
  <si>
    <t>2110714</t>
  </si>
  <si>
    <t>MIGRATED DEFERRED ADMIN FEE GROUP LOANS</t>
  </si>
  <si>
    <t>2110715</t>
  </si>
  <si>
    <t>MIGRATED DEFERRED ADMIN FEE ON EMM. STAFF LOAN</t>
  </si>
  <si>
    <t>2110716</t>
  </si>
  <si>
    <t>MIGRATED DEFERRED ADMIN FEE ON EXPRESS LN</t>
  </si>
  <si>
    <t>2110717</t>
  </si>
  <si>
    <t>MIGRATED DEFERRED ADMIN FEE ON INDIVIDUL LN</t>
  </si>
  <si>
    <t>2110718</t>
  </si>
  <si>
    <t>MIGRATED DEFERRED ADMINFEE ON SMALL ENTPRS</t>
  </si>
  <si>
    <t>2110719</t>
  </si>
  <si>
    <t>MIGRATED DEFERRED ADMIN FEE ON SGL</t>
  </si>
  <si>
    <t>2110720</t>
  </si>
  <si>
    <t>MIGRATED DEFERRED ADMINI FEE ON VB</t>
  </si>
  <si>
    <t>2110721</t>
  </si>
  <si>
    <t>MIGRATED DEFERRED ADMINI FEE ON VB EXPRES</t>
  </si>
  <si>
    <t>2110722</t>
  </si>
  <si>
    <t>MIGRATED DEFERRED ADMN FEE ON STAFF LOANS</t>
  </si>
  <si>
    <t>3010101</t>
  </si>
  <si>
    <t>3020101</t>
  </si>
  <si>
    <t>3020102</t>
  </si>
  <si>
    <t>3020103</t>
  </si>
  <si>
    <t>RETAINED EARNINGS - CREDIT RISK</t>
  </si>
  <si>
    <t>3020201</t>
  </si>
  <si>
    <t>YEAR END SURPLUS/ LOSS</t>
  </si>
  <si>
    <t>2080101</t>
  </si>
  <si>
    <t>2080102</t>
  </si>
  <si>
    <t>2110304</t>
  </si>
  <si>
    <t>4010201</t>
  </si>
  <si>
    <t>REG. INTEREST INCOME ON VB</t>
  </si>
  <si>
    <t>4010202</t>
  </si>
  <si>
    <t>REG. INTEREST INCOME ON VB EXPRESS</t>
  </si>
  <si>
    <t>4010203</t>
  </si>
  <si>
    <t>REG. INTEREST INCOME ON SGL</t>
  </si>
  <si>
    <t>4010204</t>
  </si>
  <si>
    <t>REG. INTEREST INCOME GROUP LOANS</t>
  </si>
  <si>
    <t>4010205</t>
  </si>
  <si>
    <t>REG. INTEREST INCOME ON IL EXPRESS</t>
  </si>
  <si>
    <t>4010206</t>
  </si>
  <si>
    <t>REG. INTEREST INCOME ON IL</t>
  </si>
  <si>
    <t>4010207</t>
  </si>
  <si>
    <t>REG. INTEREST INCOME ON SE LOAN</t>
  </si>
  <si>
    <t>4010301</t>
  </si>
  <si>
    <t>INTEREST VILLAGE BANKING</t>
  </si>
  <si>
    <t>4010302</t>
  </si>
  <si>
    <t>INTEREST VILLAGE EXPRESS BANKING</t>
  </si>
  <si>
    <t>4010303</t>
  </si>
  <si>
    <t>4010304</t>
  </si>
  <si>
    <t>INCOME GROUP LOANS</t>
  </si>
  <si>
    <t>4010305</t>
  </si>
  <si>
    <t>INTEREST INDIVIDUAL EXPRESS LN</t>
  </si>
  <si>
    <t>4010306</t>
  </si>
  <si>
    <t>INTEREST INDIVIDUAL LOAN</t>
  </si>
  <si>
    <t>4010308</t>
  </si>
  <si>
    <t>INTEREST SMALL ENTERPRISE</t>
  </si>
  <si>
    <t>4010313</t>
  </si>
  <si>
    <t>INTEREST ON GROUP LOANS</t>
  </si>
  <si>
    <t>4010801</t>
  </si>
  <si>
    <t>INTEREST INCOME - FLEX</t>
  </si>
  <si>
    <t>4010802</t>
  </si>
  <si>
    <t>INTEREST INCOME - SAVER</t>
  </si>
  <si>
    <t>4010803</t>
  </si>
  <si>
    <t>4010101</t>
  </si>
  <si>
    <t>REG. INTEREST INCOME ON STAFF LOAN</t>
  </si>
  <si>
    <t>4010307</t>
  </si>
  <si>
    <t>4010604</t>
  </si>
  <si>
    <t>4030108</t>
  </si>
  <si>
    <t>4030113</t>
  </si>
  <si>
    <t>4030114</t>
  </si>
  <si>
    <t>ADMINISTRATION FEE INCOME ON IND. MICRO LOAN</t>
  </si>
  <si>
    <t>4030118</t>
  </si>
  <si>
    <t>4030119</t>
  </si>
  <si>
    <t>4030127</t>
  </si>
  <si>
    <t>4030128</t>
  </si>
  <si>
    <t>4030129</t>
  </si>
  <si>
    <t>4030130</t>
  </si>
  <si>
    <t>4030131</t>
  </si>
  <si>
    <t>INSUR. ADMIN FEE ON EMM.STAFF LOAN</t>
  </si>
  <si>
    <t>4030139</t>
  </si>
  <si>
    <t>ARRANGEMENT FEE - GROUP LOANS</t>
  </si>
  <si>
    <t>4030140</t>
  </si>
  <si>
    <t>EARLY PAY-OFF CHARGE – INDIVIDUAL MICRO LOAN</t>
  </si>
  <si>
    <t>4030141</t>
  </si>
  <si>
    <t>ADMIN FEE ON GROUP LOANS</t>
  </si>
  <si>
    <t>4030142</t>
  </si>
  <si>
    <t>ADMIN FEE ON STAFF LOANS</t>
  </si>
  <si>
    <t>4030146</t>
  </si>
  <si>
    <t>MIGRATED ARRANGEMENT FEES ON VILLAGE BANKING</t>
  </si>
  <si>
    <t>4030147</t>
  </si>
  <si>
    <t>MIGRATED ADMINISTRATION FEE ON VILLABE BANKING</t>
  </si>
  <si>
    <t>4030148</t>
  </si>
  <si>
    <t>MIGRATED ARRANGEMENT FEES ON SMALL GROUP LOAN</t>
  </si>
  <si>
    <t>4030149</t>
  </si>
  <si>
    <t>MIGRATED ADMINISTRATION FEE ON SMALL GROUP</t>
  </si>
  <si>
    <t>4030150</t>
  </si>
  <si>
    <t>MIGRATED ARRANGEMENT FEES ON EXPRESS LOAN</t>
  </si>
  <si>
    <t>4030151</t>
  </si>
  <si>
    <t>MIGRATED ADMINISTRATION FEE ON EXPRESS LOAN</t>
  </si>
  <si>
    <t>4030152</t>
  </si>
  <si>
    <t>MIGRATED ARRANGEMENT FEES ON INDIVIDUAL LOAN</t>
  </si>
  <si>
    <t>4030153</t>
  </si>
  <si>
    <t>MIGRATED ADMINISTRATION FEE ON INDIVIDUAL LOAN</t>
  </si>
  <si>
    <t>4030154</t>
  </si>
  <si>
    <t>MIGRATED ARRANGEMENT FEES ON SE</t>
  </si>
  <si>
    <t>4030155</t>
  </si>
  <si>
    <t>MIGRATED ADMIN FEE ON SMALL ENTERPRISE</t>
  </si>
  <si>
    <t>4050101</t>
  </si>
  <si>
    <t>4050102</t>
  </si>
  <si>
    <t>4050103</t>
  </si>
  <si>
    <t>INTER - ACCOUNT TRANSFER FEE</t>
  </si>
  <si>
    <t>4050105</t>
  </si>
  <si>
    <t>SALARY TRANSFER FEE ON CORPORATE A/C</t>
  </si>
  <si>
    <t>4050106</t>
  </si>
  <si>
    <t>MAINTENANCE FEE ON FLEX CORP. A/C</t>
  </si>
  <si>
    <t>4050107</t>
  </si>
  <si>
    <t>4050108</t>
  </si>
  <si>
    <t>4050109</t>
  </si>
  <si>
    <t>4050110</t>
  </si>
  <si>
    <t>4050111</t>
  </si>
  <si>
    <t>4050116</t>
  </si>
  <si>
    <t>MOBILE BANKING COMMISSION</t>
  </si>
  <si>
    <t>4010601</t>
  </si>
  <si>
    <t>4010602</t>
  </si>
  <si>
    <t>ARREARS VILLAGE EXPRESS BANKING</t>
  </si>
  <si>
    <t>4010603</t>
  </si>
  <si>
    <t>ARREARS SMALL GROUP LOAN</t>
  </si>
  <si>
    <t>4010605</t>
  </si>
  <si>
    <t>ARREARS INDIVIDUAL EXPRESS LOAN</t>
  </si>
  <si>
    <t>4010606</t>
  </si>
  <si>
    <t>ARREARS INDIVIDUAL LOAN</t>
  </si>
  <si>
    <t>4010607</t>
  </si>
  <si>
    <t>4010608</t>
  </si>
  <si>
    <t>ARREARS SMALL ENTERPRISE</t>
  </si>
  <si>
    <t>4050113</t>
  </si>
  <si>
    <t>4040101</t>
  </si>
  <si>
    <t>INTEREST INCOME FROM COMMBNK PLCEMNT- FD</t>
  </si>
  <si>
    <t>4040301</t>
  </si>
  <si>
    <t>4090201</t>
  </si>
  <si>
    <t>GRANT INCOME - FI</t>
  </si>
  <si>
    <t>4090202</t>
  </si>
  <si>
    <t>GRANT INCOME - OTHERS</t>
  </si>
  <si>
    <t>4070101</t>
  </si>
  <si>
    <t>RESULTS ON FIN. INCOME FV FIN. ASSET</t>
  </si>
  <si>
    <t>4080201</t>
  </si>
  <si>
    <t>4080302</t>
  </si>
  <si>
    <t>4080401</t>
  </si>
  <si>
    <t>INCOME FROM WRITEN OFF LOAN ON VB</t>
  </si>
  <si>
    <t>4080402</t>
  </si>
  <si>
    <t>INCOME FROM W/OFF LN ON VB EXPRESS</t>
  </si>
  <si>
    <t>4080403</t>
  </si>
  <si>
    <t>INCOME FROM W/OFF LN ON SGL</t>
  </si>
  <si>
    <t>4080404</t>
  </si>
  <si>
    <t>INCOME FROM W/OFF LN, INDIVIDUAL EXP</t>
  </si>
  <si>
    <t>4080405</t>
  </si>
  <si>
    <t>INCOME FROM W/OFF LN ON INDIVIDUAL</t>
  </si>
  <si>
    <t>4080406</t>
  </si>
  <si>
    <t>INCOME FROM WRITENN OFF LOAN ON SE</t>
  </si>
  <si>
    <t>4080411</t>
  </si>
  <si>
    <t>INCOME FROM W/OFF GROUP LOANS</t>
  </si>
  <si>
    <t>4110101</t>
  </si>
  <si>
    <t>REALISED EXCHANGE RATE GAIN</t>
  </si>
  <si>
    <t>5070101</t>
  </si>
  <si>
    <t>5070102</t>
  </si>
  <si>
    <t>5070104</t>
  </si>
  <si>
    <t>5070201</t>
  </si>
  <si>
    <t>5070202</t>
  </si>
  <si>
    <t>5070203</t>
  </si>
  <si>
    <t>5070206</t>
  </si>
  <si>
    <t>5020201</t>
  </si>
  <si>
    <t>5020203</t>
  </si>
  <si>
    <t>5020205</t>
  </si>
  <si>
    <t>5020206</t>
  </si>
  <si>
    <t>5060104</t>
  </si>
  <si>
    <t>FAISCLQ FEES</t>
  </si>
  <si>
    <t>5060105</t>
  </si>
  <si>
    <t>F/I PSO REIMBURSABLE EXPENSES</t>
  </si>
  <si>
    <t>5070205</t>
  </si>
  <si>
    <t>DEVELOPMENT SKILLS LEVY</t>
  </si>
  <si>
    <t>5080101</t>
  </si>
  <si>
    <t>PERDIEM AND TRANSPORT - INT. TRAINING</t>
  </si>
  <si>
    <t>5080103</t>
  </si>
  <si>
    <t>OTHER TRAININ EXP(PHOTCOPY, STATIONERY)</t>
  </si>
  <si>
    <t>5090101</t>
  </si>
  <si>
    <t>PERDIEM AND LODGING - IN COUNTRY</t>
  </si>
  <si>
    <t>5090102</t>
  </si>
  <si>
    <t>INTERNAL TRANSPORTATION - IN COUNTRY</t>
  </si>
  <si>
    <t>5090201</t>
  </si>
  <si>
    <t>5090202</t>
  </si>
  <si>
    <t>PERDIEM AND LODGING - INTERNATIONAL</t>
  </si>
  <si>
    <t>5100101</t>
  </si>
  <si>
    <t>CONSULTANCY FEES</t>
  </si>
  <si>
    <t>5100201</t>
  </si>
  <si>
    <t>5100202</t>
  </si>
  <si>
    <t>5100301</t>
  </si>
  <si>
    <t>5100501</t>
  </si>
  <si>
    <t>5110101</t>
  </si>
  <si>
    <t>5120101</t>
  </si>
  <si>
    <t>5120201</t>
  </si>
  <si>
    <t>5130201</t>
  </si>
  <si>
    <t>5130202</t>
  </si>
  <si>
    <t>OFFICE ALARM SYSTEM</t>
  </si>
  <si>
    <t>5130301</t>
  </si>
  <si>
    <t>5140101</t>
  </si>
  <si>
    <t>5140201</t>
  </si>
  <si>
    <t>5140202</t>
  </si>
  <si>
    <t>5140301</t>
  </si>
  <si>
    <t>5150101</t>
  </si>
  <si>
    <t>FUEL FOR GENERATOR</t>
  </si>
  <si>
    <t>5150201</t>
  </si>
  <si>
    <t>5150202</t>
  </si>
  <si>
    <t>5160101</t>
  </si>
  <si>
    <t>5160103</t>
  </si>
  <si>
    <t>5160105</t>
  </si>
  <si>
    <t>5160301</t>
  </si>
  <si>
    <t>5160401</t>
  </si>
  <si>
    <t>5160402</t>
  </si>
  <si>
    <t>PUBLICITY EXPENSES</t>
  </si>
  <si>
    <t>5170101</t>
  </si>
  <si>
    <t>5170103</t>
  </si>
  <si>
    <t>5170201</t>
  </si>
  <si>
    <t>5170203</t>
  </si>
  <si>
    <t>5170301</t>
  </si>
  <si>
    <t>5170302</t>
  </si>
  <si>
    <t>5180101</t>
  </si>
  <si>
    <t>5180102</t>
  </si>
  <si>
    <t>5180103</t>
  </si>
  <si>
    <t>5180104</t>
  </si>
  <si>
    <t>5180105</t>
  </si>
  <si>
    <t>5180106</t>
  </si>
  <si>
    <t>5180107</t>
  </si>
  <si>
    <t>5180201</t>
  </si>
  <si>
    <t>REPAIR/ MAINT OFFICE BUILDING</t>
  </si>
  <si>
    <t>5180202</t>
  </si>
  <si>
    <t>5180203</t>
  </si>
  <si>
    <t>5180204</t>
  </si>
  <si>
    <t>GARBAGE COLLECTION-OFFICE MAINT</t>
  </si>
  <si>
    <t>5180301</t>
  </si>
  <si>
    <t>5180302</t>
  </si>
  <si>
    <t>5180402</t>
  </si>
  <si>
    <t>5180403</t>
  </si>
  <si>
    <t>5180404</t>
  </si>
  <si>
    <t>5180501</t>
  </si>
  <si>
    <t>5180502</t>
  </si>
  <si>
    <t>5180503</t>
  </si>
  <si>
    <t>5180504</t>
  </si>
  <si>
    <t>5180505</t>
  </si>
  <si>
    <t>5180601</t>
  </si>
  <si>
    <t>5180602</t>
  </si>
  <si>
    <t>5180603</t>
  </si>
  <si>
    <t>5180604</t>
  </si>
  <si>
    <t>5180605</t>
  </si>
  <si>
    <t>DIRECTORS FEES</t>
  </si>
  <si>
    <t>5180606</t>
  </si>
  <si>
    <t>CORPORATE MEETING</t>
  </si>
  <si>
    <t>5180701</t>
  </si>
  <si>
    <t>5180801</t>
  </si>
  <si>
    <t>LEGAL EXPENSES</t>
  </si>
  <si>
    <t>5180903</t>
  </si>
  <si>
    <t>5180904</t>
  </si>
  <si>
    <t>5180906</t>
  </si>
  <si>
    <t>5030101</t>
  </si>
  <si>
    <t>IMPAIRMENT LOSSES ON STAFF LOAN</t>
  </si>
  <si>
    <t>5030102</t>
  </si>
  <si>
    <t>IMPAIRMENT LOSSES ON EMERGENCY STAFF LOAN</t>
  </si>
  <si>
    <t>5030201</t>
  </si>
  <si>
    <t>IMPAIRMENT LOSSES ON VILLAGE BANKING</t>
  </si>
  <si>
    <t>5030202</t>
  </si>
  <si>
    <t>IMPAIREMENT LOSSES ON VILLAGE BANKING EXPRESS</t>
  </si>
  <si>
    <t>5030203</t>
  </si>
  <si>
    <t>IMPAIRMENT LOSSES ON SMALL GROUP LOAN</t>
  </si>
  <si>
    <t>5030204</t>
  </si>
  <si>
    <t>5030205</t>
  </si>
  <si>
    <t>IMPAIRMENT LOSSES ON INDIVIDUAL EXPRESS LOAN</t>
  </si>
  <si>
    <t>5030206</t>
  </si>
  <si>
    <t>IMPAIRMENT LOSSES ON INDIVIDUAL LOAN</t>
  </si>
  <si>
    <t>5030207</t>
  </si>
  <si>
    <t>IMPAIREMENT LOSSES ON SMALL ENTERPRISE</t>
  </si>
  <si>
    <t>5030301</t>
  </si>
  <si>
    <t>5190102</t>
  </si>
  <si>
    <t>5190103</t>
  </si>
  <si>
    <t>5190104</t>
  </si>
  <si>
    <t>5190105</t>
  </si>
  <si>
    <t>5190106</t>
  </si>
  <si>
    <t>5190107</t>
  </si>
  <si>
    <t>DEPRECIATION FOR MOTOR VEHICLES</t>
  </si>
  <si>
    <t>5190201</t>
  </si>
  <si>
    <t>5010101</t>
  </si>
  <si>
    <t>INTEREST EXPENSE FINCA SAVER</t>
  </si>
  <si>
    <t>5010103</t>
  </si>
  <si>
    <t>INTEREST EXPENSE FINCA BANJA</t>
  </si>
  <si>
    <t>5010105</t>
  </si>
  <si>
    <t>5010106</t>
  </si>
  <si>
    <t>INTEREST EXPENSE FTD INSTITUTION</t>
  </si>
  <si>
    <t>5010107</t>
  </si>
  <si>
    <t>5010201</t>
  </si>
  <si>
    <t>INTEREST EXPENSE ON LOANS</t>
  </si>
  <si>
    <t>5020105</t>
  </si>
  <si>
    <t>5020106</t>
  </si>
  <si>
    <t>5020107</t>
  </si>
  <si>
    <t>5020108</t>
  </si>
  <si>
    <t>5020109</t>
  </si>
  <si>
    <t>5020110</t>
  </si>
  <si>
    <t>5020111</t>
  </si>
  <si>
    <t>5020113</t>
  </si>
  <si>
    <t>5200101</t>
  </si>
  <si>
    <t>Consolidated General Ledger Trial Balance - Historical Dates (Value)</t>
  </si>
  <si>
    <t>ReportRef :</t>
  </si>
  <si>
    <t>Report From : 01/01/2017 to : 31/12/2017</t>
  </si>
  <si>
    <t>Report Date:</t>
  </si>
  <si>
    <t>Ledger No</t>
  </si>
  <si>
    <t>Opening Debit Bal</t>
  </si>
  <si>
    <t>Opening Credit Bal</t>
  </si>
  <si>
    <t>DR Movement</t>
  </si>
  <si>
    <t>CR Movement</t>
  </si>
  <si>
    <t>Closing Debit Bal
AL</t>
  </si>
  <si>
    <t>Closing Credit Bal
BAL</t>
  </si>
  <si>
    <t>Net Balance</t>
  </si>
  <si>
    <t>1050201</t>
  </si>
  <si>
    <t>PORTFOLIO VILLAGE BANKING LOAN(Non consumption suspended</t>
  </si>
  <si>
    <t>1050202</t>
  </si>
  <si>
    <t>PORTFOLIO SMALL GROUP LOAN(Non consumption suspended</t>
  </si>
  <si>
    <t>1160101</t>
  </si>
  <si>
    <t>PREPAID GROUP ACCIDENT INSURANCE</t>
  </si>
  <si>
    <t>1170101</t>
  </si>
  <si>
    <t>Sub-Total(ASSETS)</t>
  </si>
  <si>
    <t>LIABILITY</t>
  </si>
  <si>
    <t>2020503</t>
  </si>
  <si>
    <t>2050204</t>
  </si>
  <si>
    <t>INTEREST PAYABLE FINCA SAVER</t>
  </si>
  <si>
    <t>SUSPENDED INTEREST INCOME FROM INDIVIDUAL LN</t>
  </si>
  <si>
    <t>2110104</t>
  </si>
  <si>
    <t>PERSONAL LEVY PAYABLE</t>
  </si>
  <si>
    <t>2111407</t>
  </si>
  <si>
    <t>UNAPPLIED FUNDS STAFF LOAN</t>
  </si>
  <si>
    <t>2111408</t>
  </si>
  <si>
    <t>UNAPPLIED FUNDS SMALL ENTERPRISE</t>
  </si>
  <si>
    <t>Sub-Total(LIABILITY)</t>
  </si>
  <si>
    <t>PENALTY ARREARS GROUP LOANS</t>
  </si>
  <si>
    <t>Sub-Total(INCOME)</t>
  </si>
  <si>
    <t>IMPAIREMTNT LOSSES ON VILLAGE BANKING EXPRESS</t>
  </si>
  <si>
    <t>IMPAIRMENT LOSSES ON VILLAGE BANKING EXPRESS</t>
  </si>
  <si>
    <t>IMPAIRMENT LOSSES VILLAGE BANKING EXPRESS</t>
  </si>
  <si>
    <t>IMPAIREMENT LOSSES ON GROUP LOANS</t>
  </si>
  <si>
    <t>IMPAIRMENT LOSSES ON GROUP LOANS</t>
  </si>
  <si>
    <t>INDIVIDUAL EXPRESS LOAN</t>
  </si>
  <si>
    <t>IMPAIREMENT LOSSES SMALL ENTERPRISE</t>
  </si>
  <si>
    <t>IMPAIREMNET LOSSES ON SMALL ENTERPRISE</t>
  </si>
  <si>
    <t>IMPAIRMENT LOSSES ON SMALL ENTERPRISE</t>
  </si>
  <si>
    <t>IMPAIRMENT LOSSES ON SMALL ENTERPRISE SMALL ENTERPRISE</t>
  </si>
  <si>
    <t>IMPAIRMENT SMALL ENTERPRISE</t>
  </si>
  <si>
    <t>Sub-Total(EXPENSE)</t>
  </si>
  <si>
    <t>CAPITAL</t>
  </si>
  <si>
    <t>Sub-Total(CAPITAL)</t>
  </si>
  <si>
    <t>CONTINGENT ASSET</t>
  </si>
  <si>
    <t>Sub-Total(CONTINGENT ASSET)</t>
  </si>
  <si>
    <t>Sub-Total(CONTINGENT LIABILITIES)</t>
  </si>
  <si>
    <t>Total (ZMW)</t>
  </si>
  <si>
    <t>NET DIFFERENCE</t>
  </si>
  <si>
    <t>Deferred grant income</t>
  </si>
  <si>
    <t>DEPRECIATION FOR FLEXCUBE/ORBIT R</t>
  </si>
  <si>
    <t>Unearned interest income</t>
  </si>
  <si>
    <t xml:space="preserve">Grameen Crédit Agricole Microfinance Foundation </t>
  </si>
  <si>
    <t>MCE Social Capital</t>
  </si>
  <si>
    <t xml:space="preserve">Intangible assets consist of the carrying value of various software programs including the payroll system as well as the software for the Company's core banking system Orbit R. </t>
  </si>
  <si>
    <t xml:space="preserve">At 1 January </t>
  </si>
  <si>
    <t xml:space="preserve">Balance at 31 December </t>
  </si>
  <si>
    <t xml:space="preserve">At 1 January  </t>
  </si>
  <si>
    <t>FINCA Network Support Services B.V a company with common shareholders with holding company FINCA Micro Finance LLC (''FMH'')  and  incorporated in Uganda.</t>
  </si>
  <si>
    <t>Amounts due to FINCA Network Support Services B.V are fees payable for licenses business applications support.</t>
  </si>
  <si>
    <t>Current tax liability</t>
  </si>
  <si>
    <t>The capital structure of the Company consists of debt, which includes the borrowings disclosed in note 21, cash and cash equivalents and equity attributable to equity holders of the Company, comprising issued capital, reserves and retained earnings as disclosed in notes 12 and 23 respectively.</t>
  </si>
  <si>
    <t>Proceeds from issued shares</t>
  </si>
  <si>
    <t>The Company has charged the impairment loss on loans and advances in accordance with IFRS 9. The difference of the charge for impairment on loans and advances based on Statutory Instrument No.142 and the charge based on International Financial Reporting Standards (IFRS 9) has been charged to Statement of Profit or loss because the provisons carried in the books based on Internationational Financial Reporting Standards are higher than the same calculation based on statutory requirements.</t>
  </si>
  <si>
    <t>Debt (i)</t>
  </si>
  <si>
    <t>2019</t>
  </si>
  <si>
    <t xml:space="preserve">PETTY CASH CHINGOLA                   </t>
  </si>
  <si>
    <t xml:space="preserve">PETTY CASH CHAWAMA                   </t>
  </si>
  <si>
    <t xml:space="preserve"> 1- 1- 1-  99</t>
  </si>
  <si>
    <t xml:space="preserve">CASH ON HAND - HEAD OFFICE              </t>
  </si>
  <si>
    <t xml:space="preserve">CASH IN VAULT -NDOLA                   </t>
  </si>
  <si>
    <t xml:space="preserve">CASH IN VAULT - CHINGOLA             </t>
  </si>
  <si>
    <t xml:space="preserve"> 1- 1- 2-   10</t>
  </si>
  <si>
    <t xml:space="preserve">CASH IN VAULT - CHAWAMA               </t>
  </si>
  <si>
    <t xml:space="preserve"> 1- 1- 3-  33</t>
  </si>
  <si>
    <t>KITWE ZNCB 0450510000009254 PMT ACCT (5)</t>
  </si>
  <si>
    <t xml:space="preserve">STANBIC MAIN BRANCH       </t>
  </si>
  <si>
    <t>1- 1-  5-    1</t>
  </si>
  <si>
    <t xml:space="preserve"> 1- 1- 5-   6</t>
  </si>
  <si>
    <t xml:space="preserve">NDOLA INVESTMENT A/C-042051-7581        </t>
  </si>
  <si>
    <t xml:space="preserve">STANBIC MAIN BRANCH USD               </t>
  </si>
  <si>
    <t xml:space="preserve"> 1- 3- 1-   1</t>
  </si>
  <si>
    <t xml:space="preserve">ZANACO NOTICE DEPOSIT 0523460000000863  </t>
  </si>
  <si>
    <t xml:space="preserve"> 1- 7- 1-   2</t>
  </si>
  <si>
    <t xml:space="preserve">PORTFOLIO MICROENTERPRISE               </t>
  </si>
  <si>
    <t xml:space="preserve"> 1-7-  1-   4</t>
  </si>
  <si>
    <t xml:space="preserve"> 1-15- 2-   1</t>
  </si>
  <si>
    <t xml:space="preserve">BURSARY RECEIVABLE                      </t>
  </si>
  <si>
    <t xml:space="preserve"> 1-15- 4-   1</t>
  </si>
  <si>
    <t xml:space="preserve">ASSET PURCHASE ADVANCES                 </t>
  </si>
  <si>
    <t xml:space="preserve"> 1-16- 1-   3</t>
  </si>
  <si>
    <t xml:space="preserve">TRANSITORY ACC TELLER - PORTFOLIO KABWE </t>
  </si>
  <si>
    <t xml:space="preserve"> 1-16-  1-  4</t>
  </si>
  <si>
    <t>TRANSITORY ACC TELLER - PORTFOLIO CHOMA</t>
  </si>
  <si>
    <t xml:space="preserve"> 1-16- 1-   5</t>
  </si>
  <si>
    <t xml:space="preserve">TRANSITORY ACC TELLER - PORTFOLIO KITWE </t>
  </si>
  <si>
    <t xml:space="preserve"> 1-16- 1-   6</t>
  </si>
  <si>
    <t xml:space="preserve">TRANSITORY ACC TELLER - PORTFOLIO NDOLA </t>
  </si>
  <si>
    <t xml:space="preserve"> 1-16- 1-   7</t>
  </si>
  <si>
    <t>TRANSITORY ACC TELLER - PORTFOLIO MATERO</t>
  </si>
  <si>
    <t xml:space="preserve"> 1-16- 1-   9</t>
  </si>
  <si>
    <t xml:space="preserve">TRANSITORY ACC TELLER-PORTFOLIO CHIPATA </t>
  </si>
  <si>
    <t xml:space="preserve"> 1-16- 1-   10</t>
  </si>
  <si>
    <t>TRANSITORY ACC TELLER-PORTFOLIO CHINGOLA</t>
  </si>
  <si>
    <t xml:space="preserve"> 1-16- 1-   11</t>
  </si>
  <si>
    <t>TRANSITORY ACC TELLER-PORTFOLIO CHAWAMA</t>
  </si>
  <si>
    <t xml:space="preserve"> 1-16- 2-   3</t>
  </si>
  <si>
    <t xml:space="preserve">TEMP KABWE TRANS                        </t>
  </si>
  <si>
    <t xml:space="preserve"> 1-20- 2-   1</t>
  </si>
  <si>
    <t xml:space="preserve">REPAIR AND MAINTENANCE                  </t>
  </si>
  <si>
    <t xml:space="preserve"> 1-20- 2-   5</t>
  </si>
  <si>
    <t xml:space="preserve">EDUCATIONAL SUPPORT                     </t>
  </si>
  <si>
    <t xml:space="preserve"> 1-20- 4-   5</t>
  </si>
  <si>
    <t xml:space="preserve">CLIENT REWARDS CHITENGE                 </t>
  </si>
  <si>
    <t xml:space="preserve"> 1-20- 4-   6</t>
  </si>
  <si>
    <t xml:space="preserve">OFFICE SUPPLIES AND STATIONERY          </t>
  </si>
  <si>
    <t xml:space="preserve"> 1-20- 5-  1</t>
  </si>
  <si>
    <t>LOAN UPFRONT FEES - BLUE ORCHARD LOAN 12</t>
  </si>
  <si>
    <t>1-20- 5 -  2</t>
  </si>
  <si>
    <t>1-20- 5-   3</t>
  </si>
  <si>
    <t>SHORT TERM BORR0WERS DEPST IN LOCAL CURR</t>
  </si>
  <si>
    <t>BUSINESS LOANS</t>
  </si>
  <si>
    <t xml:space="preserve"> 2- 8- 1-   2</t>
  </si>
  <si>
    <t>SUBORDINATED DEBT</t>
  </si>
  <si>
    <t xml:space="preserve"> 2- 8- 1-   3</t>
  </si>
  <si>
    <t>INTEREST OBLIGATIONS PAYABLE IN LOCAL CURRENCY</t>
  </si>
  <si>
    <t xml:space="preserve"> 2- 8- 1  -4</t>
  </si>
  <si>
    <t>INTEREST ON FMO LOAN</t>
  </si>
  <si>
    <t>INTEREST ON BLUE ORCHARD</t>
  </si>
  <si>
    <t xml:space="preserve"> 2- 8- 1-   6</t>
  </si>
  <si>
    <t>INTEREST ON TRIPLE JUMP LOAN</t>
  </si>
  <si>
    <t>INTEREST ON SYMBIOTIC LOAN</t>
  </si>
  <si>
    <t>INTEREST ON BLUE ORCHARD 2012</t>
  </si>
  <si>
    <t>INTEREST ON TRIODOS</t>
  </si>
  <si>
    <t xml:space="preserve"> 2- 8- 1-   10</t>
  </si>
  <si>
    <t>INTEREST ON SYMBIOTIC LOAN 2012</t>
  </si>
  <si>
    <t xml:space="preserve"> 2- 9- 1-   3</t>
  </si>
  <si>
    <t xml:space="preserve">ACCOUNTS PAYABLE USAID                  </t>
  </si>
  <si>
    <t xml:space="preserve"> 2- 9- 1-   4</t>
  </si>
  <si>
    <t xml:space="preserve">FINCA INTERNATIONAL'S AFFILIATION FEE   </t>
  </si>
  <si>
    <t xml:space="preserve"> 2- 9- 1-   5</t>
  </si>
  <si>
    <t xml:space="preserve">FINCA INTERNATIONAL - HUB FEES          </t>
  </si>
  <si>
    <t xml:space="preserve"> 2-11- 1- 11</t>
  </si>
  <si>
    <t xml:space="preserve"> 2-11- 1-  13</t>
  </si>
  <si>
    <t xml:space="preserve">STAMP DUTY                              </t>
  </si>
  <si>
    <t xml:space="preserve">DEFERRED LOAN FEES                          </t>
  </si>
  <si>
    <t xml:space="preserve"> 2-11- 2-   1</t>
  </si>
  <si>
    <t xml:space="preserve">FINCA INTERNATIONAL-SUBORDINATED DEBT   </t>
  </si>
  <si>
    <t>2-11- 2-   2</t>
  </si>
  <si>
    <t xml:space="preserve">FINCA INTERNATIONAL-LOAN   </t>
  </si>
  <si>
    <t>2-11- 3-   1</t>
  </si>
  <si>
    <t xml:space="preserve"> 2-11- 3-   2</t>
  </si>
  <si>
    <t xml:space="preserve">BLUE ORCHARD LOAN                       </t>
  </si>
  <si>
    <t xml:space="preserve"> 2-11- 3-   3</t>
  </si>
  <si>
    <t xml:space="preserve">TRIPLE JUMP LOAN                     </t>
  </si>
  <si>
    <t xml:space="preserve">SYMBIOTIC LOAN                     </t>
  </si>
  <si>
    <t xml:space="preserve"> 2-11- 3-   5</t>
  </si>
  <si>
    <t xml:space="preserve">BLUE ORCHARD 2012 LOAN                       </t>
  </si>
  <si>
    <t>SYMBIOTIC LOAN 2012</t>
  </si>
  <si>
    <t xml:space="preserve"> 2-22- 1-   1</t>
  </si>
  <si>
    <t xml:space="preserve"> 2-22- 1-   2</t>
  </si>
  <si>
    <t xml:space="preserve">USAID                                   </t>
  </si>
  <si>
    <t xml:space="preserve"> 3- 3- 3-   2</t>
  </si>
  <si>
    <t>LOAN REVALUATION RESERVE</t>
  </si>
  <si>
    <t xml:space="preserve"> 3- 5- 1-   1</t>
  </si>
  <si>
    <t xml:space="preserve">SURPLUS/(DEFICIT) FISCAL YEAR 2001      </t>
  </si>
  <si>
    <t xml:space="preserve"> 3- 5- 1-   2</t>
  </si>
  <si>
    <t>SURPLUS/(DEFICIT) FISCAL YEAR 2002</t>
  </si>
  <si>
    <t xml:space="preserve"> 3- 5- 1-   3</t>
  </si>
  <si>
    <t xml:space="preserve">SURPLUS/(DEFICIT)FOR FISCAL YEAR 2003   </t>
  </si>
  <si>
    <t xml:space="preserve"> 3- 5- 1-   4</t>
  </si>
  <si>
    <t xml:space="preserve">SURPLUS/(DEFICIT) FOR FISCAL YEAR 2004  </t>
  </si>
  <si>
    <t>3-  5-  1-  5</t>
  </si>
  <si>
    <t xml:space="preserve">SURPLUS/(DEFICIT) FOR FISCAL YEAR 2005  </t>
  </si>
  <si>
    <t>3- 5 -  1-  6</t>
  </si>
  <si>
    <t xml:space="preserve">SURPLUS/(DEFICIT) FOR PERIOD SEPT - DEC 2005  </t>
  </si>
  <si>
    <t>SURPLUS/(DEFICIT) FISCAL YEAR 2011</t>
  </si>
  <si>
    <t xml:space="preserve"> 3- 5- 1-  16</t>
  </si>
  <si>
    <t>SURPLUS/(DEFICIT) FISCAL YEAR 2012</t>
  </si>
  <si>
    <t xml:space="preserve"> 4- 1- 1-   2</t>
  </si>
  <si>
    <t>MICROENTERPRISE CURRENT INTEREST ON LOAN</t>
  </si>
  <si>
    <t>4- 1-  1-   4</t>
  </si>
  <si>
    <t xml:space="preserve"> 4- 1- 1-   5</t>
  </si>
  <si>
    <t xml:space="preserve">TOP-UP LOAN CURRENT INTEREST ON LOANS   </t>
  </si>
  <si>
    <t xml:space="preserve"> 4- 1- 1-   6</t>
  </si>
  <si>
    <t>AGRICULTURE LOAN CURRENT INTEREST ON LOA</t>
  </si>
  <si>
    <t xml:space="preserve"> 4- 1- 2-   2</t>
  </si>
  <si>
    <t>PENALTY ON DELINQUENT MICRO ENTERPRISE L</t>
  </si>
  <si>
    <t xml:space="preserve"> 4- 3- 1-   2</t>
  </si>
  <si>
    <t xml:space="preserve">FINANCIAL INCOME ON SAVING ACCOUNTS     </t>
  </si>
  <si>
    <t xml:space="preserve">ESTABLISHMENT FEES-VILLAGE BANK LOANS   </t>
  </si>
  <si>
    <t>INCOME FROM FIXED ASSETS INSURANCE</t>
  </si>
  <si>
    <t xml:space="preserve"> 4-10- 5-   1</t>
  </si>
  <si>
    <t xml:space="preserve">OVERPROVISIONS RECOVERED                </t>
  </si>
  <si>
    <t xml:space="preserve"> 4-10- 5-   3</t>
  </si>
  <si>
    <t xml:space="preserve"> 5- 1- 1-   2</t>
  </si>
  <si>
    <t>INTEREST OBLIGATIONS IN FOREIGN CURRENCY</t>
  </si>
  <si>
    <t xml:space="preserve"> 5- 1- 1   -4</t>
  </si>
  <si>
    <t>INTEREST PAID ON FMO LOAN</t>
  </si>
  <si>
    <t xml:space="preserve">INTEREST PAID ON TRIPLE JUMP LOAN     </t>
  </si>
  <si>
    <t xml:space="preserve">INTEREST PAID ON SYMBIOTICS LOAN     </t>
  </si>
  <si>
    <t xml:space="preserve"> 5- 1- 1-   10</t>
  </si>
  <si>
    <t xml:space="preserve"> 5- 1- 2-   2</t>
  </si>
  <si>
    <t xml:space="preserve">FEE ON OBLIGATIONS IN FOREIGN CURRENCY  </t>
  </si>
  <si>
    <t>5-   2- 1-  2</t>
  </si>
  <si>
    <t xml:space="preserve">OVERTIME SALARIES                       </t>
  </si>
  <si>
    <t xml:space="preserve"> 5- 2- 2-   5</t>
  </si>
  <si>
    <t xml:space="preserve">EMPLOYEES BREAVEMENT BENEFITS           </t>
  </si>
  <si>
    <t xml:space="preserve"> 5- 2- 2-   7</t>
  </si>
  <si>
    <t xml:space="preserve">TRAINING EMPLOYEE                       </t>
  </si>
  <si>
    <t>5-  2-3-  4</t>
  </si>
  <si>
    <t xml:space="preserve">RENT OF VEHICLE                         </t>
  </si>
  <si>
    <t xml:space="preserve"> 5- 2- 3-   8</t>
  </si>
  <si>
    <t xml:space="preserve">SETTLIN IN ALLOWANCE                    </t>
  </si>
  <si>
    <t xml:space="preserve"> 5- 2- 4-   1</t>
  </si>
  <si>
    <t xml:space="preserve">CREDIT PROMOTION EXPENSES               </t>
  </si>
  <si>
    <t xml:space="preserve"> 5- 2- 4-   4</t>
  </si>
  <si>
    <t xml:space="preserve">CLIENTS TRANSPORTATIONS                 </t>
  </si>
  <si>
    <t>5-  2- 4-   5</t>
  </si>
  <si>
    <t>INTERNAL TRANSPORTATION</t>
  </si>
  <si>
    <t xml:space="preserve"> 5- 2- 4-   6</t>
  </si>
  <si>
    <t xml:space="preserve">CREDIT COPIES AND SUPPLIES              </t>
  </si>
  <si>
    <t xml:space="preserve"> 5- 2- 4-   9</t>
  </si>
  <si>
    <t>CLIENT TRAINING</t>
  </si>
  <si>
    <t xml:space="preserve"> 5- 2- 5-   2</t>
  </si>
  <si>
    <t xml:space="preserve">PARTICIPANTS MEAL                       </t>
  </si>
  <si>
    <t xml:space="preserve"> 5- 2- 6-   2</t>
  </si>
  <si>
    <t xml:space="preserve"> 5- 2- 6-   5</t>
  </si>
  <si>
    <t xml:space="preserve"> 5- 2- 7-   4</t>
  </si>
  <si>
    <t xml:space="preserve">PROPERTY IMPROVEMENT                    </t>
  </si>
  <si>
    <t xml:space="preserve"> 5- 2- 8-   2</t>
  </si>
  <si>
    <t>EXTERNAL AUDITOR</t>
  </si>
  <si>
    <t xml:space="preserve"> 5- 2- 8-   3</t>
  </si>
  <si>
    <t xml:space="preserve">FINCA DAY EXPENSES                      </t>
  </si>
  <si>
    <t>5 - 2-  8 - 4</t>
  </si>
  <si>
    <t xml:space="preserve">TECHNICAL ASSISTANCE                    </t>
  </si>
  <si>
    <t xml:space="preserve"> 5- 2- 8-   7</t>
  </si>
  <si>
    <t>5- 2-  8-  15</t>
  </si>
  <si>
    <t xml:space="preserve"> 5- 2- 8-  23</t>
  </si>
  <si>
    <t xml:space="preserve">PROFESSIONAL EXPENSES                   </t>
  </si>
  <si>
    <t>5- 2- 8-  27</t>
  </si>
  <si>
    <t xml:space="preserve">SETTLING IN ALLOWANCE                   </t>
  </si>
  <si>
    <t xml:space="preserve"> 5- 2- 8-  28</t>
  </si>
  <si>
    <t xml:space="preserve">COMMISSION ON FUNDS TRANSFER            </t>
  </si>
  <si>
    <t xml:space="preserve">DEPRECIATION  OF EQUIPMENT                </t>
  </si>
  <si>
    <t>5-  2-12-   2</t>
  </si>
  <si>
    <t xml:space="preserve"> 5- 2-12-   3</t>
  </si>
  <si>
    <t xml:space="preserve">DEPRECIATION OF MOTOR VEHICLE           </t>
  </si>
  <si>
    <t xml:space="preserve"> 5- 3- 2-   2</t>
  </si>
  <si>
    <t xml:space="preserve"> 5- 3- 2-   4</t>
  </si>
  <si>
    <t xml:space="preserve">EMPLOYEES LEGAL BENEFITS                </t>
  </si>
  <si>
    <t xml:space="preserve"> 5- 3- 2-   6</t>
  </si>
  <si>
    <t xml:space="preserve"> 5- 3- 2-   7</t>
  </si>
  <si>
    <t>ADMINISTRATIVE EMPLOYEE MEDICAL BENEFITS</t>
  </si>
  <si>
    <t xml:space="preserve"> 5- 3- 3-   8</t>
  </si>
  <si>
    <t xml:space="preserve"> 5- 3- 4-   1</t>
  </si>
  <si>
    <t xml:space="preserve">ADMINISTRATIVE EXPENSES                        </t>
  </si>
  <si>
    <t xml:space="preserve"> 5- 3- 4-   3</t>
  </si>
  <si>
    <t xml:space="preserve">STAFF MEALS                             </t>
  </si>
  <si>
    <t xml:space="preserve"> 5- 3- 4-   5</t>
  </si>
  <si>
    <t xml:space="preserve">MARKETING SUPPLIES                      </t>
  </si>
  <si>
    <t>PENALTIES AND FEES</t>
  </si>
  <si>
    <t xml:space="preserve"> 5- 3- 5-   3</t>
  </si>
  <si>
    <t xml:space="preserve">TRAINING SUPPLIES                       </t>
  </si>
  <si>
    <t>INSURANCE -FIDELITY GUARANTEE</t>
  </si>
  <si>
    <t xml:space="preserve"> 5- 3- 6-   6</t>
  </si>
  <si>
    <t xml:space="preserve">INSURANCE VB GPA                        </t>
  </si>
  <si>
    <t>5-  3- 7-   2</t>
  </si>
  <si>
    <t>5-  3- 7-   4</t>
  </si>
  <si>
    <t xml:space="preserve">UTILITIES                               </t>
  </si>
  <si>
    <t xml:space="preserve"> 5- 3- 8-   1</t>
  </si>
  <si>
    <t xml:space="preserve"> 5- 3- 8-   4</t>
  </si>
  <si>
    <t xml:space="preserve">TECHNICAL ASSISTANCE - HUB FEES         </t>
  </si>
  <si>
    <t>5- 3- 8 -7</t>
  </si>
  <si>
    <t xml:space="preserve"> 5- 3- 8-  21</t>
  </si>
  <si>
    <t xml:space="preserve"> 5- 3- 8-  27</t>
  </si>
  <si>
    <t xml:space="preserve">TAX ON CONSULTANCY FEES                 </t>
  </si>
  <si>
    <t xml:space="preserve"> 5- 3- 8-  29</t>
  </si>
  <si>
    <t xml:space="preserve"> 5- 3- 8-  31</t>
  </si>
  <si>
    <t>INSUARANCE CLAIMS RECEIVED</t>
  </si>
  <si>
    <t xml:space="preserve"> 5- 3-12-   3</t>
  </si>
  <si>
    <t xml:space="preserve"> 5- 4- 1-   1</t>
  </si>
  <si>
    <t xml:space="preserve"> 5- 4- 2-   1</t>
  </si>
  <si>
    <t xml:space="preserve"> 5- 4- 2-  15</t>
  </si>
  <si>
    <t xml:space="preserve"> 5- 4- 2-  17</t>
  </si>
  <si>
    <t xml:space="preserve"> 5- 4- 3-  3</t>
  </si>
  <si>
    <t xml:space="preserve"> 5- 4- 3-   5</t>
  </si>
  <si>
    <t xml:space="preserve"> 5-10- 1-   1</t>
  </si>
  <si>
    <t xml:space="preserve"> 5-10- 3-   1</t>
  </si>
  <si>
    <t xml:space="preserve">EXPENSES FROM PREVIOUS FISCAL YEARS     </t>
  </si>
  <si>
    <t>Lease Liabilities</t>
  </si>
  <si>
    <t>Current liabilities</t>
  </si>
  <si>
    <t>Non-current liabilities</t>
  </si>
  <si>
    <t>Loss before tax</t>
  </si>
  <si>
    <t>KFW - Subodinated Debt Principle</t>
  </si>
  <si>
    <t>Accrued interest on Loans</t>
  </si>
  <si>
    <t>Lender</t>
  </si>
  <si>
    <t xml:space="preserve">Covenant limit </t>
  </si>
  <si>
    <t>PAR 30&lt;15%, CAR &gt;15%, Net Un-hedged FX [-50%&lt; x &lt;150%], Uncovered Capital Ratio &lt;25%</t>
  </si>
  <si>
    <t>ROA &gt;0%, CAR &gt;15%, PAR 30&lt;15%, OCP [-20%&gt;X&gt;20%]</t>
  </si>
  <si>
    <t xml:space="preserve">Principal &amp; accrued interest </t>
  </si>
  <si>
    <t>Covenant actual value</t>
  </si>
  <si>
    <t>Waiver received  [Yes/No]</t>
  </si>
  <si>
    <t>Yes</t>
  </si>
  <si>
    <t xml:space="preserve">PAR 30 &lt;10%, CAR &gt;15%, W/off Ratio &lt;5%, Net Un-hedged FX &lt;20%, OSS &gt;95%, Risk Covr Ratio &gt;60%
</t>
  </si>
  <si>
    <t>CAR &gt;15%, PAR 30 &lt;8%, Debt to equity [not greater 8:1], OSS &gt;100%</t>
  </si>
  <si>
    <t>earnings deficit</t>
  </si>
  <si>
    <t>Transfer general reserves</t>
  </si>
  <si>
    <t>Acquisition on intangible assets</t>
  </si>
  <si>
    <t>Lease Payments</t>
  </si>
  <si>
    <t>Net increase in cash and cash equivalents</t>
  </si>
  <si>
    <t>INTANGIBLE ASSETS</t>
  </si>
  <si>
    <t>The Directors consider that the fair value of the intangible assets is at least equal to their carrying values as reflected in the statement of financial position.</t>
  </si>
  <si>
    <t>Amounts to due to local banks</t>
  </si>
  <si>
    <t>The remuneration of key Management and Directors during the year was as follows:</t>
  </si>
  <si>
    <t>Management</t>
  </si>
  <si>
    <t>Directors</t>
  </si>
  <si>
    <t>Exchange loss on valuation of foreign denominated leases</t>
  </si>
  <si>
    <t>BORROWINGS  (CONTINUED)</t>
  </si>
  <si>
    <t>23.</t>
  </si>
  <si>
    <t>Transfer to retained earnings</t>
  </si>
  <si>
    <t>Gratuity and Leave Provisions</t>
  </si>
  <si>
    <t>Finance cost</t>
  </si>
  <si>
    <t>Finance cost recognised in profit or loss</t>
  </si>
  <si>
    <t>Lease repayments</t>
  </si>
  <si>
    <t>Deficit in reserves</t>
  </si>
  <si>
    <t xml:space="preserve">To safeguard the Company’s ability to continue as a going concern so that it can continue to provide returns for shareholders and benefits for other stakeholders; </t>
  </si>
  <si>
    <t>To maintain a strong capital base to support the development of its business;</t>
  </si>
  <si>
    <t>for the year ended 31 December 2020</t>
  </si>
  <si>
    <t>2020</t>
  </si>
  <si>
    <t>position as at 31 December 2020</t>
  </si>
  <si>
    <t>There following are cases giving rise to contingent liabilities as at 31 December 2020.</t>
  </si>
  <si>
    <t>(iv)</t>
  </si>
  <si>
    <t>ROA =-142%, CAR =-39%, OCP =173%, PAR 30 =16.2%</t>
  </si>
  <si>
    <t>CAR =-39%, PAR 30 =16.2%, Debt to equity =-4.53, OSS =10.6%</t>
  </si>
  <si>
    <t>PAR 30 =16.2% CAR =-39%,  W/off Ratio =14.1%, Net Un-hedged FX =173%, OSS =10.6%, Risk Covr Ratio =68.6%</t>
  </si>
  <si>
    <t>14 838 354 ordinary shares of K1 each</t>
  </si>
  <si>
    <t>1.    The employee has sued FINCA Zambia in the High Court alleging constructive dismissal. The claim disputes the extension of his probation and alleges that the Board did not provide support to the Employee. FINCA Zambia's  defence is premised on the engagements that were made with the former CEO and his performance which justified the extension of the probation. Claim: unliquidated damages, prorated salary and gratuity</t>
  </si>
  <si>
    <r>
      <t>2   </t>
    </r>
    <r>
      <rPr>
        <b/>
        <sz val="10"/>
        <rFont val="Verdana"/>
        <family val="2"/>
      </rPr>
      <t xml:space="preserve"> </t>
    </r>
    <r>
      <rPr>
        <sz val="10"/>
        <rFont val="Verdana"/>
        <family val="2"/>
      </rPr>
      <t>The employee has sued FINCA in the High Court alleging unlawful and/or unfair dismissal .Trial concluded and awaiting delivery of judgment. Probability in favor of FINCA is 50%, and value of claim is ZMW 54,000</t>
    </r>
  </si>
  <si>
    <t>(Decrease) Increase in other financial liabilities</t>
  </si>
  <si>
    <t>Increase in amounts due to related parties</t>
  </si>
  <si>
    <t>Cash generated from Operations</t>
  </si>
  <si>
    <t>FINCA Microfinance Global Services (FMGS)</t>
  </si>
  <si>
    <t>FINCA Network Support Services BV</t>
  </si>
  <si>
    <t>As at 31 December 2020, the Parent Company had made Capital Commitements to the Tune of $1,865,833 to be Injected before 31st March 2021.</t>
  </si>
  <si>
    <t>No Events occuring after the reporting Date</t>
  </si>
  <si>
    <t>Losses(Gains) on forward exchange swap</t>
  </si>
  <si>
    <t>Decrease in loans and advances to customers</t>
  </si>
  <si>
    <t>Right of use assets</t>
  </si>
  <si>
    <t>Adjustment to share capital (note 24)</t>
  </si>
  <si>
    <t>All loans denominated in United States Dollars are hedged and exchange losses/gains are accounted for under derivate financial assets in note 15</t>
  </si>
  <si>
    <t xml:space="preserve">(i) Regional MSME Investment Fund for Sub-Saharan            </t>
  </si>
  <si>
    <t>(ii) Developing World Markets (DWM)</t>
  </si>
  <si>
    <t>(iii) Grameen Credit Agricole MicroFinance Foundation</t>
  </si>
  <si>
    <t>(iv) MCE Social Capital</t>
  </si>
  <si>
    <t>(v) Ecumenical Development Cooperative Society UA Oikocredit</t>
  </si>
  <si>
    <t xml:space="preserve">The outstanding balance of K21,191,000 comprises unsecured debt of USD 1,000,000 disbursed in December 2018  with interest rates of 6.75% for a tenure of 3 years. </t>
  </si>
  <si>
    <t>Adjustments to share capital</t>
  </si>
  <si>
    <t xml:space="preserve">The outstanding balance of K21,190,000 comprises unsecured debt of $1,000,000 disbursed in August 2020  with interest rates of 6.75% for a tenure of 1 year. </t>
  </si>
  <si>
    <t>LEASE LIABILITIES</t>
  </si>
  <si>
    <t xml:space="preserve">  Lease liabilities included in the statement of financial </t>
  </si>
  <si>
    <t>The weighted average incremental borrowings applied to lease liabilities is 27% for leases in Zambian  Kwacha, and 11% for leases denominated in United States Dollars</t>
  </si>
  <si>
    <t>Income tax (expense) credit</t>
  </si>
  <si>
    <t>Intangible asset</t>
  </si>
  <si>
    <t xml:space="preserve">    Africa S.A, SICAV-SIF Symbiotics</t>
  </si>
  <si>
    <t xml:space="preserve">Exchange loss on valuation of foreign denominated loans </t>
  </si>
  <si>
    <t>This is an outstanding balance comprises unsecured debt of K16,172,309  obtained in August 2018  and converted to USD amount of 763,204.8 with interest rate of 5.241% per annum starting August 2020. The loan have a tenure of 2 years.</t>
  </si>
  <si>
    <t>The outstanding balance is K10,000 ,000 disbursed in September 2019 at floating interest rate of  16.51% for a tenure of 2 years and is unsecured.</t>
  </si>
  <si>
    <t>All loans with covenant breached have been classified as current as repayment can be called upon imminently, and all with convenant breach waivers up until 31 December 2020.</t>
  </si>
  <si>
    <t>On 30 April 2020, the Company issued 14,503,039 Ordinary shares valued at K1 each (2019: 3,513,324).</t>
  </si>
  <si>
    <t xml:space="preserve">3.  FINCA paid K3,650,000 in provisional tax out of the total liability of K4,573,313 (after audit adjustment) representing a 80% of the total liability. The Income Tax Act requires that by the third quarter of the respective charge year, at least two thirds (66.67%) should be paid in provisional taxes. Failure to which, a penalty of 25% of the underpaid amount is charged and should be paid to the Zambia Revenue Authority (“ZRA”). FINCA is therefore exposed to a potential estimated penalty of K230,828.25 for underpayment of  tax liability. </t>
  </si>
  <si>
    <t>Debt is defined as long-term and short-term borrowings, as detailed in note 21 and 23 excluding subordinated debt.</t>
  </si>
  <si>
    <t>.</t>
  </si>
  <si>
    <t xml:space="preserve">The outstanding balance of K44,499,000 comprises unsecured debt of $2,100,000 disbursed in January 2019  with interest rates of 2.5% for a tenure of 5years. </t>
  </si>
  <si>
    <t>The outstanding balance of K9,000,000 comprises unsecured debt disbursed as K7,500,000 in August 2018  with interest rate of 28.06% and K7,500,000 in September 2018 with interest rate of 33.85% for a tenure of 34 months.</t>
  </si>
  <si>
    <t>Adjustment to the general reserves</t>
  </si>
  <si>
    <t>Effects of exchange rate change on Cash and Cash Equivalents</t>
  </si>
  <si>
    <t>Other (losses) income</t>
  </si>
  <si>
    <t>Amounts due from related parties</t>
  </si>
  <si>
    <t>Write offs of the work in progress</t>
  </si>
  <si>
    <t>Proceeds on disposal</t>
  </si>
  <si>
    <t>Increase in amounts due from related parties</t>
  </si>
  <si>
    <t>Repayment of  intercompany</t>
  </si>
  <si>
    <t>Total comprehensive Loss for the year</t>
  </si>
  <si>
    <t>(Profits) Loss on disposal of propert and equipment</t>
  </si>
  <si>
    <t>Decrease in prepayments and other receivables</t>
  </si>
  <si>
    <t>Issued shares (note 24)</t>
  </si>
  <si>
    <t>Lease Modification gain Charged to statement of comprehensive income</t>
  </si>
  <si>
    <t>Proceeds from intercompany debt</t>
  </si>
  <si>
    <t>Proceeds from external borrowings</t>
  </si>
  <si>
    <t>2021</t>
  </si>
  <si>
    <t>Balance at 1 January 2021</t>
  </si>
  <si>
    <t>Balance at 31 December 2021</t>
  </si>
  <si>
    <t>Net foreign exchange profit</t>
  </si>
  <si>
    <t>Loss (Gains) from derivative financial instruments</t>
  </si>
  <si>
    <t>Increase (Decrease) in customer deposits</t>
  </si>
  <si>
    <t>Current tax Asset</t>
  </si>
  <si>
    <t>Net cash received (used) from Financing activities</t>
  </si>
  <si>
    <t>Net cash (used) generated from Operating activities</t>
  </si>
  <si>
    <t>2022</t>
  </si>
  <si>
    <t>Balance at 1 January 2022</t>
  </si>
  <si>
    <t>Balance at 31 December 2022</t>
  </si>
  <si>
    <t>Purchase of property and equipment</t>
  </si>
  <si>
    <t>Total comprehensive income for the year</t>
  </si>
  <si>
    <t>Impairment loss recognised on loans and advances</t>
  </si>
  <si>
    <t>STATEMENT OF FINANCIAL POSITION (AUDITED)</t>
  </si>
  <si>
    <t>As at 31st Decmber 2022</t>
  </si>
  <si>
    <t>Schedule I</t>
  </si>
  <si>
    <t>Total comprehensive profit/(loss) for the year</t>
  </si>
  <si>
    <t>INCOME STATEMENT (AUDITED)</t>
  </si>
  <si>
    <t xml:space="preserve">        31st December 2022</t>
  </si>
  <si>
    <t>Schedule II</t>
  </si>
  <si>
    <t>STATEMENT OF CAPITAL POSITION  (AUDITED)</t>
  </si>
  <si>
    <t>As at 31st December, 2022</t>
  </si>
  <si>
    <t>STATEMENT OF CASH FLOWS (AUDITED)</t>
  </si>
  <si>
    <t>31st December, 2022</t>
  </si>
  <si>
    <t>Schedule III</t>
  </si>
  <si>
    <t>Schedule IV</t>
  </si>
  <si>
    <t>(Registered Financial Institution)</t>
  </si>
  <si>
    <t>Published in accordance with the section 92(1) of the Banking and Financial Services Act</t>
  </si>
  <si>
    <t xml:space="preserve">                        AUDITED    F I N A N C I A L    S T A T E M E N T S     -    31st DECEMBER, 2022</t>
  </si>
  <si>
    <t>Christopher P. Kizza</t>
  </si>
  <si>
    <t>CHIEF EXECUTIVE OFFICER</t>
  </si>
  <si>
    <t>Kelvin Manda</t>
  </si>
  <si>
    <t>CHIEF FINANCIAL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</si>
</sst>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Red]\-&quot;£&quot;#,##0"/>
    <numFmt numFmtId="169" formatCode="_ * #,##0_ ;_ * \-#,##0_ ;_ * &quot;-&quot;_ ;_ @_ "/>
    <numFmt numFmtId="170" formatCode="_ * #,##0.00_ ;_ * \-#,##0.00_ ;_ * &quot;-&quot;??_ ;_ @_ "/>
    <numFmt numFmtId="171" formatCode="_ * #,##0_ ;_ * \-#,##0_ ;_ * &quot;-&quot;??_ ;_ @_ "/>
    <numFmt numFmtId="172" formatCode="_(* #,##0_);_(* \(#,##0\);_(* &quot;-&quot;??_);_(@_)"/>
    <numFmt numFmtId="173" formatCode="_(\ #,##0.00_);\(\ #,##0.00\);_(* &quot;-&quot;_)"/>
    <numFmt numFmtId="174" formatCode="_ * #,##0.0_ ;_ * \-#,##0.0_ ;_ * &quot;-&quot;??_ ;_ @_ "/>
    <numFmt numFmtId="175" formatCode="0.0"/>
    <numFmt numFmtId="176" formatCode="[$-409]d\-mmm\-yy;@"/>
    <numFmt numFmtId="177" formatCode="0.0%"/>
    <numFmt numFmtId="178" formatCode="#,##0.000_);\(#,##0.000\)"/>
    <numFmt numFmtId="179" formatCode="_-* #,##0.00&quot;р.&quot;_-;\-* #,##0.00&quot;р.&quot;_-;_-* &quot;-&quot;??&quot;р.&quot;_-;_-@_-"/>
    <numFmt numFmtId="180" formatCode="@\ *."/>
    <numFmt numFmtId="181" formatCode="000000"/>
    <numFmt numFmtId="182" formatCode="0000"/>
    <numFmt numFmtId="183" formatCode="_(&quot;р.&quot;* #,##0.00_);_(&quot;р.&quot;* \(#,##0.00\);_(&quot;р.&quot;* &quot;-&quot;??_);_(@_)"/>
    <numFmt numFmtId="184" formatCode="#,##0.000"/>
    <numFmt numFmtId="185" formatCode="dd\.mm\.yyyy&quot;г.&quot;"/>
    <numFmt numFmtId="186" formatCode="_([$€-2]* #,##0.00_);_([$€-2]* \(#,##0.00\);_([$€-2]* &quot;-&quot;??_)"/>
    <numFmt numFmtId="187" formatCode="0%_);\(0%\)"/>
    <numFmt numFmtId="188" formatCode="yyyy"/>
    <numFmt numFmtId="189" formatCode="yyyy\ &quot;год&quot;"/>
    <numFmt numFmtId="190" formatCode="General_)"/>
    <numFmt numFmtId="191" formatCode="mm/dd"/>
    <numFmt numFmtId="192" formatCode="0.00%_);\(0.00%\)"/>
    <numFmt numFmtId="193" formatCode="_-* #,##0_р_._-;\-* #,##0_р_._-;_-* &quot;-&quot;_р_._-;_-@_-"/>
    <numFmt numFmtId="194" formatCode="_-* #,##0.00_р_._-;\-* #,##0.00_р_._-;_-* &quot;-&quot;??_р_._-;_-@_-"/>
    <numFmt numFmtId="195" formatCode="0.00_)"/>
    <numFmt numFmtId="196" formatCode="0%_);[Red]\(0%\)"/>
    <numFmt numFmtId="197" formatCode="0.00%_);[Red]\(0.00%\)"/>
    <numFmt numFmtId="198" formatCode="#,##0.000;\-#,##0.000"/>
    <numFmt numFmtId="199" formatCode="#,##0.000000;\-#,##0.000000"/>
    <numFmt numFmtId="200" formatCode="[$-10409]#,##0.00;\(#,##0.00\)"/>
    <numFmt numFmtId="201" formatCode="_-* #,##0.00\ [$€-1]_-;\-* #,##0.00\ [$€-1]_-;_-* &quot;-&quot;??\ [$€-1]_-"/>
    <numFmt numFmtId="202" formatCode="#,###,###.000"/>
    <numFmt numFmtId="203" formatCode="###,###,##0.0"/>
    <numFmt numFmtId="204" formatCode="0_);\(0\)"/>
    <numFmt numFmtId="205" formatCode="#,##0.0"/>
    <numFmt numFmtId="206" formatCode="[$-10409]#,##0;\(#,##0\)"/>
    <numFmt numFmtId="207" formatCode="#,##0.000000000000_);\(#,##0.000000000000\)"/>
    <numFmt numFmtId="208" formatCode="_-* #,##0_-;\-* #,##0_-;_-* &quot;-&quot;??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name val="Frutiger 45 Light"/>
    </font>
    <font>
      <sz val="11"/>
      <name val="Times New Roman"/>
      <family val="1"/>
    </font>
    <font>
      <b/>
      <sz val="11"/>
      <name val="Times New Roman"/>
      <family val="1"/>
    </font>
    <font>
      <b/>
      <sz val="10"/>
      <name val="Arial"/>
      <family val="2"/>
    </font>
    <font>
      <sz val="12"/>
      <name val="Arial"/>
      <family val="2"/>
    </font>
    <font>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11"/>
      <name val="Times New Roman"/>
      <family val="1"/>
    </font>
    <font>
      <b/>
      <sz val="8"/>
      <name val="Arial"/>
      <family val="2"/>
    </font>
    <font>
      <b/>
      <u/>
      <sz val="10"/>
      <name val="Arial"/>
      <family val="2"/>
    </font>
    <font>
      <sz val="8"/>
      <name val="Arial"/>
      <family val="2"/>
    </font>
    <font>
      <b/>
      <sz val="12"/>
      <name val="Arial"/>
      <family val="2"/>
    </font>
    <font>
      <sz val="10"/>
      <name val="Arial"/>
      <family val="2"/>
    </font>
    <font>
      <sz val="10"/>
      <name val="Times New Roman"/>
      <family val="1"/>
    </font>
    <font>
      <b/>
      <sz val="10"/>
      <name val="Times New Roman"/>
      <family val="1"/>
    </font>
    <font>
      <b/>
      <u/>
      <sz val="10"/>
      <name val="Times New Roman"/>
      <family val="1"/>
    </font>
    <font>
      <i/>
      <sz val="10"/>
      <name val="Times New Roman"/>
      <family val="1"/>
    </font>
    <font>
      <b/>
      <u/>
      <sz val="11"/>
      <name val="Arial"/>
      <family val="2"/>
    </font>
    <font>
      <b/>
      <sz val="11"/>
      <name val="Arial"/>
      <family val="2"/>
    </font>
    <font>
      <b/>
      <sz val="11"/>
      <color theme="1"/>
      <name val="Calibri"/>
      <family val="2"/>
      <scheme val="minor"/>
    </font>
    <font>
      <b/>
      <sz val="8"/>
      <color indexed="62"/>
      <name val="Arial"/>
      <family val="2"/>
    </font>
    <font>
      <sz val="8"/>
      <color indexed="8"/>
      <name val="Arial"/>
      <family val="2"/>
    </font>
    <font>
      <sz val="8"/>
      <color rgb="FF000000"/>
      <name val="Calibri"/>
      <family val="2"/>
      <scheme val="minor"/>
    </font>
    <font>
      <sz val="10"/>
      <name val="Arial"/>
      <family val="2"/>
    </font>
    <font>
      <sz val="11"/>
      <color indexed="8"/>
      <name val="Arial"/>
      <family val="2"/>
    </font>
    <font>
      <sz val="11"/>
      <color indexed="10"/>
      <name val="Arial"/>
      <family val="2"/>
    </font>
    <font>
      <b/>
      <sz val="11"/>
      <color indexed="10"/>
      <name val="Arial"/>
      <family val="2"/>
    </font>
    <font>
      <b/>
      <sz val="11"/>
      <name val="Calibri"/>
      <family val="2"/>
    </font>
    <font>
      <sz val="11"/>
      <name val="Calibri"/>
      <family val="2"/>
    </font>
    <font>
      <sz val="10"/>
      <color rgb="FFFF0000"/>
      <name val="Arial"/>
      <family val="2"/>
    </font>
    <font>
      <sz val="10"/>
      <name val="Helv"/>
    </font>
    <font>
      <sz val="10"/>
      <name val="Helv"/>
      <charset val="204"/>
    </font>
    <font>
      <sz val="10"/>
      <color indexed="0"/>
      <name val="Helv"/>
    </font>
    <font>
      <sz val="10"/>
      <color indexed="8"/>
      <name val="Arial"/>
      <family val="2"/>
      <charset val="204"/>
    </font>
    <font>
      <sz val="10"/>
      <name val="Arial"/>
      <family val="2"/>
      <charset val="204"/>
    </font>
    <font>
      <sz val="10"/>
      <name val="Arial Cyr"/>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0"/>
      <name val="Times New Roman"/>
      <family val="1"/>
      <charset val="204"/>
    </font>
    <font>
      <sz val="11"/>
      <color indexed="8"/>
      <name val="Calibri"/>
      <family val="2"/>
      <charset val="204"/>
    </font>
    <font>
      <sz val="11"/>
      <color indexed="9"/>
      <name val="Calibri"/>
      <family val="2"/>
      <charset val="204"/>
    </font>
    <font>
      <sz val="9"/>
      <color indexed="11"/>
      <name val="Arial"/>
      <family val="2"/>
      <charset val="204"/>
    </font>
    <font>
      <sz val="8"/>
      <name val="Helv"/>
      <charset val="204"/>
    </font>
    <font>
      <b/>
      <sz val="8"/>
      <name val="Arial"/>
      <family val="2"/>
      <charset val="204"/>
    </font>
    <font>
      <sz val="10"/>
      <color indexed="12"/>
      <name val="Arial"/>
      <family val="2"/>
      <charset val="204"/>
    </font>
    <font>
      <sz val="9"/>
      <name val="Arial"/>
      <family val="2"/>
      <charset val="204"/>
    </font>
    <font>
      <b/>
      <sz val="10"/>
      <name val="Arial Cyr"/>
      <family val="2"/>
      <charset val="204"/>
    </font>
    <font>
      <sz val="10"/>
      <name val="Baltica"/>
    </font>
    <font>
      <b/>
      <sz val="10"/>
      <name val="Baltica"/>
    </font>
    <font>
      <u/>
      <sz val="10"/>
      <color theme="10"/>
      <name val="Arial"/>
      <family val="2"/>
    </font>
    <font>
      <sz val="18"/>
      <name val="Times New Roman"/>
      <family val="1"/>
      <charset val="204"/>
    </font>
    <font>
      <b/>
      <sz val="13"/>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0"/>
      <name val="Arial CE"/>
      <charset val="238"/>
    </font>
    <font>
      <sz val="10"/>
      <color indexed="8"/>
      <name val="Arial"/>
      <family val="2"/>
    </font>
    <font>
      <sz val="10"/>
      <name val="Arial Cyr"/>
      <charset val="204"/>
    </font>
    <font>
      <sz val="8"/>
      <name val="Helv"/>
    </font>
    <font>
      <b/>
      <sz val="10"/>
      <color indexed="10"/>
      <name val="Arial"/>
      <family val="2"/>
    </font>
    <font>
      <b/>
      <sz val="9"/>
      <name val="Arial Cyr"/>
      <family val="2"/>
      <charset val="204"/>
    </font>
    <font>
      <sz val="10"/>
      <name val="Times New Roman Cyr"/>
      <family val="1"/>
      <charset val="204"/>
    </font>
    <font>
      <sz val="10"/>
      <name val="Arial Cyr"/>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family val="2"/>
      <charset val="204"/>
    </font>
    <font>
      <sz val="8"/>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name val="Times New Roman CYR"/>
      <family val="1"/>
      <charset val="204"/>
    </font>
    <font>
      <b/>
      <sz val="9"/>
      <name val="Times New Roman CYR"/>
      <family val="1"/>
      <charset val="204"/>
    </font>
    <font>
      <b/>
      <sz val="10"/>
      <color indexed="12"/>
      <name val="Arial Cyr"/>
      <family val="2"/>
      <charset val="204"/>
    </font>
    <font>
      <sz val="8"/>
      <name val="Times New Roman CYR"/>
      <family val="1"/>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u/>
      <sz val="10"/>
      <color indexed="23"/>
      <name val="Arial"/>
      <family val="2"/>
      <charset val="204"/>
    </font>
    <font>
      <sz val="11"/>
      <color indexed="20"/>
      <name val="Calibri"/>
      <family val="2"/>
      <charset val="204"/>
    </font>
    <font>
      <sz val="9"/>
      <name val="Times New Roman CYR"/>
      <family val="1"/>
      <charset val="204"/>
    </font>
    <font>
      <i/>
      <sz val="8"/>
      <name val="Times New Roman CYR"/>
      <family val="1"/>
      <charset val="204"/>
    </font>
    <font>
      <sz val="11"/>
      <name val="Times New Roman Cyr"/>
      <family val="1"/>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Times New Roman"/>
      <family val="1"/>
    </font>
    <font>
      <b/>
      <i/>
      <sz val="16"/>
      <name val="Helv"/>
    </font>
    <font>
      <sz val="16"/>
      <color rgb="FF8B0000"/>
      <name val="Verdana"/>
      <family val="2"/>
    </font>
    <font>
      <b/>
      <sz val="10"/>
      <color rgb="FF000000"/>
      <name val="Arial"/>
      <family val="2"/>
    </font>
    <font>
      <sz val="10"/>
      <color rgb="FF000000"/>
      <name val="Arial"/>
      <family val="2"/>
    </font>
    <font>
      <b/>
      <sz val="10"/>
      <color theme="1"/>
      <name val="Arial"/>
      <family val="2"/>
    </font>
    <font>
      <b/>
      <u val="double"/>
      <sz val="10"/>
      <name val="Arial"/>
      <family val="2"/>
    </font>
    <font>
      <sz val="11"/>
      <name val="KPMG Logo"/>
    </font>
    <font>
      <u/>
      <sz val="10"/>
      <color indexed="12"/>
      <name val="Arial"/>
      <family val="2"/>
    </font>
    <font>
      <sz val="12"/>
      <name val="Helv"/>
    </font>
    <font>
      <sz val="10"/>
      <name val="Courier"/>
      <family val="3"/>
    </font>
    <font>
      <sz val="10"/>
      <name val="SWISS"/>
    </font>
    <font>
      <sz val="10"/>
      <color indexed="8"/>
      <name val="Calibri"/>
      <family val="2"/>
    </font>
    <font>
      <sz val="10"/>
      <color indexed="9"/>
      <name val="Calibri"/>
      <family val="2"/>
    </font>
    <font>
      <sz val="10"/>
      <color indexed="20"/>
      <name val="Calibri"/>
      <family val="2"/>
    </font>
    <font>
      <b/>
      <sz val="10"/>
      <color indexed="52"/>
      <name val="Calibri"/>
      <family val="2"/>
    </font>
    <font>
      <b/>
      <sz val="10"/>
      <color indexed="9"/>
      <name val="Calibri"/>
      <family val="2"/>
    </font>
    <font>
      <sz val="10"/>
      <name val="BERNHARD"/>
    </font>
    <font>
      <i/>
      <sz val="10"/>
      <color indexed="23"/>
      <name val="Calibri"/>
      <family val="2"/>
    </font>
    <font>
      <sz val="10"/>
      <color indexed="17"/>
      <name val="Calibri"/>
      <family val="2"/>
    </font>
    <font>
      <sz val="10"/>
      <color indexed="62"/>
      <name val="Calibri"/>
      <family val="2"/>
    </font>
    <font>
      <sz val="10"/>
      <color indexed="52"/>
      <name val="Calibri"/>
      <family val="2"/>
    </font>
    <font>
      <sz val="10"/>
      <name val="Tms Rmn"/>
    </font>
    <font>
      <sz val="10"/>
      <color indexed="60"/>
      <name val="Calibri"/>
      <family val="2"/>
    </font>
    <font>
      <sz val="7"/>
      <name val="Small Fonts"/>
      <family val="2"/>
    </font>
    <font>
      <b/>
      <sz val="10"/>
      <color indexed="63"/>
      <name val="Calibri"/>
      <family val="2"/>
    </font>
    <font>
      <b/>
      <sz val="10"/>
      <color indexed="8"/>
      <name val="Calibri"/>
      <family val="2"/>
    </font>
    <font>
      <sz val="10"/>
      <color indexed="10"/>
      <name val="Calibri"/>
      <family val="2"/>
    </font>
    <font>
      <sz val="10"/>
      <name val="Tahoma"/>
      <family val="2"/>
    </font>
    <font>
      <b/>
      <sz val="11"/>
      <name val="Candara"/>
      <family val="2"/>
    </font>
    <font>
      <sz val="11"/>
      <name val="Candara"/>
      <family val="2"/>
    </font>
    <font>
      <sz val="10"/>
      <name val="Candara"/>
      <family val="2"/>
    </font>
    <font>
      <sz val="11"/>
      <name val="Calibri"/>
      <family val="2"/>
    </font>
    <font>
      <sz val="10"/>
      <color rgb="FF000000"/>
      <name val="Calibri"/>
      <family val="2"/>
      <scheme val="minor"/>
    </font>
    <font>
      <b/>
      <sz val="10"/>
      <color rgb="FF000000"/>
      <name val="Calibri"/>
      <family val="2"/>
      <scheme val="minor"/>
    </font>
    <font>
      <sz val="10"/>
      <name val="Verdana"/>
      <family val="2"/>
    </font>
    <font>
      <b/>
      <sz val="10"/>
      <name val="Verdana"/>
      <family val="2"/>
    </font>
    <font>
      <b/>
      <u/>
      <sz val="10"/>
      <name val="Verdana"/>
      <family val="2"/>
    </font>
    <font>
      <u/>
      <sz val="10"/>
      <name val="Verdana"/>
      <family val="2"/>
    </font>
    <font>
      <sz val="10"/>
      <name val="Calibri"/>
      <family val="2"/>
    </font>
    <font>
      <sz val="12"/>
      <color rgb="FF8B0000"/>
      <name val="Verdana"/>
      <family val="2"/>
    </font>
    <font>
      <sz val="12"/>
      <name val="Calibri"/>
      <family val="2"/>
    </font>
    <font>
      <b/>
      <sz val="12"/>
      <color rgb="FF000000"/>
      <name val="Arial"/>
      <family val="2"/>
    </font>
    <font>
      <sz val="12"/>
      <color rgb="FF000000"/>
      <name val="Arial"/>
      <family val="2"/>
    </font>
    <font>
      <b/>
      <sz val="12"/>
      <name val="Calibri"/>
      <family val="2"/>
    </font>
    <font>
      <sz val="12"/>
      <color rgb="FFFF0000"/>
      <name val="Arial"/>
      <family val="2"/>
    </font>
    <font>
      <b/>
      <sz val="10"/>
      <color rgb="FF000000"/>
      <name val="Verdana"/>
      <family val="2"/>
    </font>
    <font>
      <sz val="9"/>
      <color indexed="81"/>
      <name val="Tahoma"/>
      <family val="2"/>
    </font>
    <font>
      <b/>
      <sz val="9"/>
      <color indexed="81"/>
      <name val="Tahoma"/>
      <family val="2"/>
    </font>
    <font>
      <sz val="12"/>
      <name val="Calibri Light"/>
      <family val="2"/>
    </font>
    <font>
      <b/>
      <u/>
      <sz val="12"/>
      <name val="Calibri Light"/>
      <family val="2"/>
    </font>
    <font>
      <b/>
      <sz val="12"/>
      <name val="Calibri Light"/>
      <family val="2"/>
    </font>
    <font>
      <u/>
      <sz val="12"/>
      <name val="Calibri Light"/>
      <family val="2"/>
    </font>
    <font>
      <b/>
      <i/>
      <sz val="12"/>
      <name val="Calibri Light"/>
      <family val="2"/>
    </font>
    <font>
      <sz val="12"/>
      <color rgb="FFFF0000"/>
      <name val="Calibri Light"/>
      <family val="2"/>
    </font>
    <font>
      <b/>
      <sz val="12"/>
      <color indexed="9"/>
      <name val="Arial"/>
      <family val="2"/>
    </font>
    <font>
      <sz val="12"/>
      <color indexed="9"/>
      <name val="Arial"/>
      <family val="2"/>
    </font>
    <font>
      <b/>
      <sz val="12"/>
      <name val="comic"/>
      <family val="5"/>
    </font>
    <font>
      <b/>
      <sz val="16"/>
      <name val="comic"/>
      <family val="5"/>
    </font>
    <font>
      <b/>
      <sz val="14"/>
      <name val="comic"/>
      <family val="5"/>
    </font>
    <font>
      <b/>
      <sz val="14"/>
      <name val="Arial"/>
      <family val="2"/>
    </font>
    <font>
      <sz val="14"/>
      <name val="Arial"/>
      <family val="2"/>
    </font>
    <font>
      <sz val="16"/>
      <name val="Arial"/>
      <family val="2"/>
    </font>
    <font>
      <b/>
      <sz val="18"/>
      <color rgb="FFB50938"/>
      <name val="Arial"/>
      <family val="2"/>
    </font>
    <font>
      <b/>
      <sz val="28"/>
      <color rgb="FFB50938"/>
      <name val="Arial"/>
      <family val="2"/>
    </font>
  </fonts>
  <fills count="9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0"/>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55"/>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000"/>
        <bgColor indexed="64"/>
      </patternFill>
    </fill>
    <fill>
      <patternFill patternType="solid">
        <fgColor rgb="FF0070C0"/>
        <bgColor indexed="64"/>
      </patternFill>
    </fill>
    <fill>
      <patternFill patternType="solid">
        <fgColor theme="0"/>
        <bgColor indexed="64"/>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22"/>
      </patternFill>
    </fill>
    <fill>
      <patternFill patternType="solid">
        <fgColor rgb="FFA52A2A"/>
        <bgColor rgb="FFA52A2A"/>
      </patternFill>
    </fill>
    <fill>
      <patternFill patternType="solid">
        <fgColor rgb="FFD3D3D3"/>
        <bgColor rgb="FFD3D3D3"/>
      </patternFill>
    </fill>
    <fill>
      <patternFill patternType="solid">
        <fgColor rgb="FFC0C0C0"/>
        <bgColor rgb="FFC0C0C0"/>
      </patternFill>
    </fill>
    <fill>
      <patternFill patternType="solid">
        <fgColor rgb="FF808080"/>
        <bgColor rgb="FF808080"/>
      </patternFill>
    </fill>
    <fill>
      <patternFill patternType="solid">
        <fgColor indexed="9"/>
      </patternFill>
    </fill>
    <fill>
      <patternFill patternType="solid">
        <fgColor rgb="FFF0E68C"/>
        <bgColor rgb="FFF0E68C"/>
      </patternFill>
    </fill>
    <fill>
      <patternFill patternType="solid">
        <fgColor rgb="FF7030A0"/>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6699"/>
        <bgColor indexed="64"/>
      </patternFill>
    </fill>
    <fill>
      <patternFill patternType="solid">
        <fgColor theme="8"/>
        <bgColor indexed="64"/>
      </patternFill>
    </fill>
    <fill>
      <patternFill patternType="solid">
        <fgColor theme="0" tint="-0.14999847407452621"/>
        <bgColor indexed="64"/>
      </patternFill>
    </fill>
    <fill>
      <patternFill patternType="solid">
        <fgColor theme="0"/>
        <bgColor indexed="63"/>
      </patternFill>
    </fill>
    <fill>
      <patternFill patternType="solid">
        <fgColor rgb="FFB50938"/>
        <bgColor indexed="64"/>
      </patternFill>
    </fill>
    <fill>
      <patternFill patternType="solid">
        <fgColor rgb="FFB50938"/>
        <bgColor indexed="63"/>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39"/>
      </left>
      <right style="medium">
        <color indexed="39"/>
      </right>
      <top style="medium">
        <color indexed="39"/>
      </top>
      <bottom style="medium">
        <color indexed="39"/>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top style="hair">
        <color indexed="64"/>
      </top>
      <bottom style="hair">
        <color indexed="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9"/>
      </left>
      <right/>
      <top style="thin">
        <color indexed="9"/>
      </top>
      <bottom style="thin">
        <color indexed="9"/>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D3D3D3"/>
      </left>
      <right/>
      <top style="thin">
        <color rgb="FFD3D3D3"/>
      </top>
      <bottom style="thin">
        <color rgb="FFD3D3D3"/>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right style="medium">
        <color indexed="64"/>
      </right>
      <top style="thin">
        <color indexed="64"/>
      </top>
      <bottom/>
      <diagonal/>
    </border>
    <border>
      <left style="medium">
        <color indexed="64"/>
      </left>
      <right/>
      <top/>
      <bottom style="thin">
        <color indexed="63"/>
      </bottom>
      <diagonal/>
    </border>
    <border>
      <left/>
      <right/>
      <top/>
      <bottom style="thin">
        <color indexed="63"/>
      </bottom>
      <diagonal/>
    </border>
    <border>
      <left/>
      <right style="medium">
        <color indexed="64"/>
      </right>
      <top style="thin">
        <color indexed="64"/>
      </top>
      <bottom style="double">
        <color indexed="64"/>
      </bottom>
      <diagonal/>
    </border>
    <border>
      <left style="medium">
        <color indexed="63"/>
      </left>
      <right/>
      <top style="thin">
        <color indexed="63"/>
      </top>
      <bottom/>
      <diagonal/>
    </border>
    <border>
      <left/>
      <right/>
      <top style="thin">
        <color indexed="63"/>
      </top>
      <bottom/>
      <diagonal/>
    </border>
    <border>
      <left style="medium">
        <color indexed="63"/>
      </left>
      <right/>
      <top/>
      <bottom style="thin">
        <color indexed="63"/>
      </bottom>
      <diagonal/>
    </border>
    <border>
      <left/>
      <right style="medium">
        <color indexed="64"/>
      </right>
      <top/>
      <bottom style="thin">
        <color indexed="63"/>
      </bottom>
      <diagonal/>
    </border>
    <border>
      <left style="medium">
        <color indexed="64"/>
      </left>
      <right style="medium">
        <color indexed="64"/>
      </right>
      <top/>
      <bottom/>
      <diagonal/>
    </border>
    <border>
      <left/>
      <right style="medium">
        <color indexed="64"/>
      </right>
      <top style="thin">
        <color indexed="63"/>
      </top>
      <bottom/>
      <diagonal/>
    </border>
    <border>
      <left/>
      <right style="medium">
        <color indexed="63"/>
      </right>
      <top style="medium">
        <color indexed="63"/>
      </top>
      <bottom/>
      <diagonal/>
    </border>
  </borders>
  <cellStyleXfs count="1532">
    <xf numFmtId="0" fontId="0" fillId="0" borderId="0"/>
    <xf numFmtId="0" fontId="16"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37" fontId="16" fillId="0" borderId="0" applyFont="0" applyFill="0" applyBorder="0" applyAlignment="0" applyProtection="0"/>
    <xf numFmtId="167" fontId="16"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16" fillId="0" borderId="0"/>
    <xf numFmtId="0" fontId="16" fillId="0" borderId="0"/>
    <xf numFmtId="0" fontId="38" fillId="0" borderId="0"/>
    <xf numFmtId="0" fontId="17" fillId="0" borderId="0"/>
    <xf numFmtId="0" fontId="17" fillId="0" borderId="0"/>
    <xf numFmtId="0" fontId="16" fillId="23" borderId="7" applyNumberFormat="0" applyFont="0" applyAlignment="0" applyProtection="0"/>
    <xf numFmtId="0" fontId="39" fillId="20" borderId="8" applyNumberFormat="0" applyAlignment="0" applyProtection="0"/>
    <xf numFmtId="9" fontId="16" fillId="0" borderId="0" applyFont="0" applyFill="0" applyBorder="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0" borderId="0" applyNumberFormat="0" applyFill="0" applyBorder="0" applyAlignment="0" applyProtection="0"/>
    <xf numFmtId="0" fontId="16" fillId="0" borderId="0"/>
    <xf numFmtId="167" fontId="59" fillId="0" borderId="0" applyFont="0" applyFill="0" applyBorder="0" applyAlignment="0" applyProtection="0"/>
    <xf numFmtId="9" fontId="59" fillId="0" borderId="0" applyFont="0" applyFill="0" applyBorder="0" applyAlignment="0" applyProtection="0"/>
    <xf numFmtId="177" fontId="16" fillId="0" borderId="0" applyFont="0" applyFill="0" applyBorder="0" applyAlignment="0" applyProtection="0"/>
    <xf numFmtId="0" fontId="16" fillId="0" borderId="0"/>
    <xf numFmtId="0" fontId="22" fillId="0" borderId="0"/>
    <xf numFmtId="0" fontId="16" fillId="0" borderId="0"/>
    <xf numFmtId="0" fontId="22" fillId="0" borderId="0"/>
    <xf numFmtId="167" fontId="16" fillId="0" borderId="0" applyFont="0" applyFill="0" applyBorder="0" applyAlignment="0" applyProtection="0"/>
    <xf numFmtId="0" fontId="14" fillId="0" borderId="0"/>
    <xf numFmtId="167" fontId="14" fillId="0" borderId="0" applyFont="0" applyFill="0" applyBorder="0" applyAlignment="0" applyProtection="0"/>
    <xf numFmtId="0" fontId="66" fillId="0" borderId="0"/>
    <xf numFmtId="0" fontId="67" fillId="0" borderId="0"/>
    <xf numFmtId="0" fontId="67" fillId="0" borderId="0"/>
    <xf numFmtId="0" fontId="67" fillId="0" borderId="0"/>
    <xf numFmtId="0" fontId="66" fillId="0" borderId="0"/>
    <xf numFmtId="0" fontId="67" fillId="0" borderId="0"/>
    <xf numFmtId="0" fontId="67" fillId="0" borderId="0"/>
    <xf numFmtId="0" fontId="68" fillId="0" borderId="0"/>
    <xf numFmtId="0" fontId="69" fillId="0" borderId="0">
      <alignment vertical="top"/>
    </xf>
    <xf numFmtId="0" fontId="66" fillId="0" borderId="0"/>
    <xf numFmtId="0" fontId="67" fillId="0" borderId="0"/>
    <xf numFmtId="0" fontId="67" fillId="0" borderId="0"/>
    <xf numFmtId="0" fontId="66" fillId="0" borderId="0"/>
    <xf numFmtId="0" fontId="66" fillId="0" borderId="0"/>
    <xf numFmtId="0" fontId="66" fillId="0" borderId="0"/>
    <xf numFmtId="0" fontId="66" fillId="0" borderId="0"/>
    <xf numFmtId="0" fontId="67" fillId="0" borderId="0"/>
    <xf numFmtId="0" fontId="66"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6" fillId="0" borderId="0"/>
    <xf numFmtId="0" fontId="69" fillId="0" borderId="0">
      <alignment vertical="top"/>
    </xf>
    <xf numFmtId="0" fontId="69" fillId="0" borderId="0">
      <alignment vertical="top"/>
    </xf>
    <xf numFmtId="0" fontId="69" fillId="0" borderId="0">
      <alignment vertical="top"/>
    </xf>
    <xf numFmtId="0" fontId="70" fillId="0" borderId="0"/>
    <xf numFmtId="0" fontId="68" fillId="0" borderId="0"/>
    <xf numFmtId="0" fontId="68" fillId="0" borderId="0"/>
    <xf numFmtId="0" fontId="66" fillId="0" borderId="0"/>
    <xf numFmtId="0" fontId="71" fillId="0" borderId="0"/>
    <xf numFmtId="0" fontId="67" fillId="0" borderId="0"/>
    <xf numFmtId="0" fontId="66" fillId="0" borderId="0"/>
    <xf numFmtId="0" fontId="66"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5"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5" fillId="0" borderId="0">
      <protection locked="0"/>
    </xf>
    <xf numFmtId="0" fontId="75" fillId="0" borderId="0">
      <protection locked="0"/>
    </xf>
    <xf numFmtId="0" fontId="75" fillId="0" borderId="0">
      <protection locked="0"/>
    </xf>
    <xf numFmtId="0" fontId="75" fillId="0" borderId="0">
      <protection locked="0"/>
    </xf>
    <xf numFmtId="0" fontId="75"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5"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5" fillId="0" borderId="0">
      <protection locked="0"/>
    </xf>
    <xf numFmtId="0" fontId="75" fillId="0" borderId="0">
      <protection locked="0"/>
    </xf>
    <xf numFmtId="0" fontId="75" fillId="0" borderId="0">
      <protection locked="0"/>
    </xf>
    <xf numFmtId="0" fontId="75" fillId="0" borderId="0">
      <protection locked="0"/>
    </xf>
    <xf numFmtId="0" fontId="75"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0" fontId="73" fillId="0" borderId="12">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0" fontId="73" fillId="0" borderId="12">
      <protection locked="0"/>
    </xf>
    <xf numFmtId="0" fontId="73" fillId="0" borderId="12">
      <protection locked="0"/>
    </xf>
    <xf numFmtId="0" fontId="73" fillId="0" borderId="12">
      <protection locked="0"/>
    </xf>
    <xf numFmtId="0" fontId="73" fillId="0" borderId="12">
      <protection locked="0"/>
    </xf>
    <xf numFmtId="0" fontId="73" fillId="0" borderId="12">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0" fontId="72" fillId="0" borderId="12">
      <protection locked="0"/>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180" fontId="76" fillId="0" borderId="0">
      <alignment horizontal="center"/>
    </xf>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181" fontId="79" fillId="0" borderId="0" applyFont="0" applyFill="0" applyBorder="0">
      <alignment horizontal="center"/>
    </xf>
    <xf numFmtId="0" fontId="80" fillId="0" borderId="0">
      <alignment horizontal="right"/>
    </xf>
    <xf numFmtId="182" fontId="70" fillId="0" borderId="38" applyFont="0" applyFill="0" applyBorder="0" applyProtection="0">
      <alignment horizontal="center"/>
      <protection locked="0"/>
    </xf>
    <xf numFmtId="0" fontId="81" fillId="0" borderId="36">
      <alignment horizontal="center"/>
    </xf>
    <xf numFmtId="183" fontId="76"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37" fontId="70" fillId="0" borderId="0" applyFont="0" applyFill="0" applyBorder="0" applyAlignment="0" applyProtection="0"/>
    <xf numFmtId="167" fontId="70" fillId="0" borderId="0" applyFont="0" applyFill="0" applyBorder="0" applyAlignment="0" applyProtection="0"/>
    <xf numFmtId="184" fontId="70" fillId="0" borderId="0" applyFont="0" applyFill="0" applyBorder="0" applyAlignment="0" applyProtection="0"/>
    <xf numFmtId="170" fontId="76" fillId="0" borderId="0" applyFont="0" applyFill="0" applyBorder="0" applyAlignment="0" applyProtection="0"/>
    <xf numFmtId="167" fontId="16"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37" fontId="69" fillId="0" borderId="39" applyFont="0" applyFill="0" applyBorder="0"/>
    <xf numFmtId="37" fontId="82" fillId="0" borderId="39" applyFont="0" applyFill="0" applyBorder="0">
      <protection locked="0"/>
    </xf>
    <xf numFmtId="37" fontId="83" fillId="45" borderId="14" applyFill="0" applyBorder="0" applyProtection="0"/>
    <xf numFmtId="37" fontId="82" fillId="0" borderId="39" applyFill="0" applyBorder="0">
      <protection locked="0"/>
    </xf>
    <xf numFmtId="15" fontId="84" fillId="0" borderId="21" applyFont="0" applyFill="0" applyBorder="0" applyAlignment="0">
      <alignment horizontal="centerContinuous"/>
    </xf>
    <xf numFmtId="185" fontId="84" fillId="0" borderId="21" applyFont="0" applyFill="0" applyBorder="0" applyAlignment="0">
      <alignment horizontal="centerContinuous"/>
    </xf>
    <xf numFmtId="186" fontId="16" fillId="0" borderId="0" applyFont="0" applyFill="0" applyBorder="0" applyAlignment="0" applyProtection="0"/>
    <xf numFmtId="167" fontId="85" fillId="0" borderId="0"/>
    <xf numFmtId="0" fontId="86" fillId="29" borderId="40"/>
    <xf numFmtId="14" fontId="21" fillId="46" borderId="41">
      <alignment horizontal="center" vertical="center" wrapText="1"/>
    </xf>
    <xf numFmtId="0" fontId="87" fillId="0" borderId="0" applyNumberFormat="0" applyFill="0" applyBorder="0" applyAlignment="0" applyProtection="0"/>
    <xf numFmtId="38" fontId="88" fillId="0" borderId="0"/>
    <xf numFmtId="38" fontId="89" fillId="0" borderId="0"/>
    <xf numFmtId="38" fontId="90" fillId="0" borderId="0"/>
    <xf numFmtId="38" fontId="91" fillId="0" borderId="0"/>
    <xf numFmtId="0" fontId="92" fillId="0" borderId="0"/>
    <xf numFmtId="0" fontId="92" fillId="0" borderId="0"/>
    <xf numFmtId="0" fontId="19" fillId="0" borderId="0"/>
    <xf numFmtId="0" fontId="16" fillId="0" borderId="0"/>
    <xf numFmtId="0" fontId="70" fillId="0" borderId="0"/>
    <xf numFmtId="0" fontId="16" fillId="0" borderId="0"/>
    <xf numFmtId="0" fontId="16" fillId="0" borderId="0"/>
    <xf numFmtId="0" fontId="16" fillId="0" borderId="0"/>
    <xf numFmtId="0" fontId="16" fillId="0" borderId="0"/>
    <xf numFmtId="37" fontId="70" fillId="0" borderId="0"/>
    <xf numFmtId="37" fontId="70" fillId="0" borderId="0"/>
    <xf numFmtId="0" fontId="16" fillId="0" borderId="0"/>
    <xf numFmtId="0" fontId="70" fillId="0" borderId="0"/>
    <xf numFmtId="37" fontId="70" fillId="0" borderId="0"/>
    <xf numFmtId="37" fontId="70" fillId="0" borderId="0"/>
    <xf numFmtId="0" fontId="16" fillId="0" borderId="0"/>
    <xf numFmtId="0" fontId="16" fillId="0" borderId="0"/>
    <xf numFmtId="0" fontId="16" fillId="0" borderId="0"/>
    <xf numFmtId="0" fontId="70" fillId="0" borderId="0"/>
    <xf numFmtId="37" fontId="16" fillId="0" borderId="0"/>
    <xf numFmtId="0" fontId="80" fillId="0" borderId="0"/>
    <xf numFmtId="0" fontId="93" fillId="0" borderId="0"/>
    <xf numFmtId="0" fontId="94" fillId="0" borderId="0"/>
    <xf numFmtId="0" fontId="67" fillId="0" borderId="0"/>
    <xf numFmtId="0" fontId="95" fillId="23" borderId="7" applyNumberFormat="0" applyFont="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187" fontId="70" fillId="0" borderId="0" applyFont="0" applyFill="0" applyBorder="0" applyAlignment="0" applyProtection="0"/>
    <xf numFmtId="9" fontId="14" fillId="0" borderId="0" applyFont="0" applyFill="0" applyBorder="0" applyAlignment="0" applyProtection="0"/>
    <xf numFmtId="0" fontId="96" fillId="0" borderId="0" applyNumberFormat="0">
      <alignment horizontal="left"/>
    </xf>
    <xf numFmtId="0" fontId="80" fillId="0" borderId="0" applyNumberFormat="0" applyFill="0" applyBorder="0" applyAlignment="0" applyProtection="0">
      <alignment horizontal="center"/>
    </xf>
    <xf numFmtId="0" fontId="66" fillId="0" borderId="0"/>
    <xf numFmtId="0" fontId="67" fillId="0" borderId="0"/>
    <xf numFmtId="0" fontId="67" fillId="0" borderId="0"/>
    <xf numFmtId="0" fontId="67"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97" fillId="0" borderId="0" applyFill="0" applyBorder="0" applyProtection="0">
      <alignment horizontal="left" vertical="top"/>
    </xf>
    <xf numFmtId="49" fontId="86" fillId="46" borderId="42">
      <alignment horizontal="left"/>
    </xf>
    <xf numFmtId="188" fontId="84" fillId="0" borderId="21" applyFont="0" applyFill="0" applyBorder="0" applyAlignment="0">
      <alignment horizontal="centerContinuous"/>
    </xf>
    <xf numFmtId="189" fontId="98" fillId="0" borderId="21" applyFont="0" applyFill="0" applyBorder="0" applyAlignment="0">
      <alignment horizontal="centerContinuous"/>
    </xf>
    <xf numFmtId="0" fontId="99" fillId="0" borderId="0">
      <alignment horizontal="justify"/>
    </xf>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190" fontId="100" fillId="0" borderId="43">
      <protection locked="0"/>
    </xf>
    <xf numFmtId="49" fontId="99" fillId="0" borderId="14">
      <alignment horizontal="left"/>
    </xf>
    <xf numFmtId="0" fontId="101" fillId="7" borderId="1" applyNumberFormat="0" applyAlignment="0" applyProtection="0"/>
    <xf numFmtId="0" fontId="102" fillId="20" borderId="8" applyNumberFormat="0" applyAlignment="0" applyProtection="0"/>
    <xf numFmtId="0" fontId="103" fillId="20" borderId="1" applyNumberFormat="0" applyAlignment="0" applyProtection="0"/>
    <xf numFmtId="0" fontId="104" fillId="0" borderId="0" applyNumberFormat="0" applyFill="0" applyBorder="0" applyAlignment="0" applyProtection="0">
      <alignment vertical="top"/>
      <protection locked="0"/>
    </xf>
    <xf numFmtId="191" fontId="105" fillId="0" borderId="0">
      <alignment horizontal="right"/>
    </xf>
    <xf numFmtId="164" fontId="70" fillId="0" borderId="0" applyFont="0" applyFill="0" applyBorder="0" applyAlignment="0" applyProtection="0"/>
    <xf numFmtId="166" fontId="70" fillId="0" borderId="0" applyFont="0" applyFill="0" applyBorder="0" applyAlignment="0" applyProtection="0"/>
    <xf numFmtId="0" fontId="106" fillId="0" borderId="3" applyNumberFormat="0" applyFill="0" applyAlignment="0" applyProtection="0"/>
    <xf numFmtId="0" fontId="107" fillId="0" borderId="4" applyNumberFormat="0" applyFill="0" applyAlignment="0" applyProtection="0"/>
    <xf numFmtId="0" fontId="108" fillId="0" borderId="5" applyNumberFormat="0" applyFill="0" applyAlignment="0" applyProtection="0"/>
    <xf numFmtId="0" fontId="108" fillId="0" borderId="0" applyNumberFormat="0" applyFill="0" applyBorder="0" applyAlignment="0" applyProtection="0"/>
    <xf numFmtId="0" fontId="109" fillId="0" borderId="0">
      <alignment horizontal="center" vertical="top" wrapText="1"/>
    </xf>
    <xf numFmtId="0" fontId="110" fillId="0" borderId="14">
      <alignment horizontal="center" vertical="center" wrapText="1"/>
    </xf>
    <xf numFmtId="190" fontId="111" fillId="46" borderId="43"/>
    <xf numFmtId="0" fontId="112" fillId="0" borderId="0">
      <alignment horizontal="right" vertical="top"/>
    </xf>
    <xf numFmtId="0" fontId="113" fillId="0" borderId="9" applyNumberFormat="0" applyFill="0" applyAlignment="0" applyProtection="0"/>
    <xf numFmtId="1" fontId="105" fillId="0" borderId="0">
      <alignment horizontal="right"/>
    </xf>
    <xf numFmtId="0" fontId="114" fillId="21" borderId="2" applyNumberFormat="0" applyAlignment="0" applyProtection="0"/>
    <xf numFmtId="0" fontId="115" fillId="0" borderId="0" applyNumberFormat="0" applyFill="0" applyBorder="0" applyAlignment="0" applyProtection="0"/>
    <xf numFmtId="0" fontId="116" fillId="22" borderId="0" applyNumberFormat="0" applyBorder="0" applyAlignment="0" applyProtection="0"/>
    <xf numFmtId="0" fontId="76" fillId="0" borderId="0"/>
    <xf numFmtId="0" fontId="117" fillId="0" borderId="0" applyNumberFormat="0" applyFill="0" applyBorder="0" applyAlignment="0" applyProtection="0">
      <alignment vertical="top"/>
      <protection locked="0"/>
    </xf>
    <xf numFmtId="0" fontId="118" fillId="3" borderId="0" applyNumberFormat="0" applyBorder="0" applyAlignment="0" applyProtection="0"/>
    <xf numFmtId="0" fontId="119" fillId="0" borderId="0">
      <alignment horizontal="left"/>
    </xf>
    <xf numFmtId="0" fontId="120" fillId="0" borderId="0">
      <alignment horizontal="center" vertical="top"/>
    </xf>
    <xf numFmtId="175" fontId="121" fillId="47" borderId="18" applyNumberFormat="0" applyBorder="0" applyAlignment="0">
      <alignment vertical="center"/>
      <protection locked="0"/>
    </xf>
    <xf numFmtId="0" fontId="99" fillId="0" borderId="10">
      <alignment horizontal="center"/>
    </xf>
    <xf numFmtId="0" fontId="122" fillId="0" borderId="0" applyNumberFormat="0" applyFill="0" applyBorder="0" applyAlignment="0" applyProtection="0"/>
    <xf numFmtId="0" fontId="112" fillId="0" borderId="0">
      <alignment horizontal="right" vertical="top" wrapText="1"/>
    </xf>
    <xf numFmtId="0" fontId="77" fillId="23" borderId="7" applyNumberFormat="0" applyFont="0" applyAlignment="0" applyProtection="0"/>
    <xf numFmtId="192" fontId="70" fillId="0" borderId="0" applyFont="0" applyFill="0" applyBorder="0" applyAlignment="0" applyProtection="0"/>
    <xf numFmtId="0" fontId="123" fillId="0" borderId="6" applyNumberFormat="0" applyFill="0" applyAlignment="0" applyProtection="0"/>
    <xf numFmtId="0" fontId="67" fillId="0" borderId="0"/>
    <xf numFmtId="0" fontId="99" fillId="0" borderId="14">
      <alignment horizontal="center"/>
    </xf>
    <xf numFmtId="0" fontId="124" fillId="0" borderId="0" applyNumberFormat="0" applyFill="0" applyBorder="0" applyAlignment="0" applyProtection="0"/>
    <xf numFmtId="0" fontId="112" fillId="0" borderId="0">
      <alignment horizontal="justify"/>
    </xf>
    <xf numFmtId="193" fontId="95" fillId="0" borderId="0" applyFont="0" applyFill="0" applyBorder="0" applyAlignment="0" applyProtection="0"/>
    <xf numFmtId="194" fontId="95" fillId="0" borderId="0" applyFont="0" applyFill="0" applyBorder="0" applyAlignment="0" applyProtection="0"/>
    <xf numFmtId="165" fontId="70" fillId="0" borderId="0" applyFont="0" applyFill="0" applyBorder="0" applyAlignment="0" applyProtection="0"/>
    <xf numFmtId="4" fontId="66" fillId="0" borderId="0" applyFont="0" applyFill="0" applyBorder="0" applyAlignment="0" applyProtection="0"/>
    <xf numFmtId="0" fontId="125" fillId="4" borderId="0" applyNumberFormat="0" applyBorder="0" applyAlignment="0" applyProtection="0"/>
    <xf numFmtId="2" fontId="105" fillId="0" borderId="0">
      <alignment horizontal="right"/>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3"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179" fontId="72" fillId="0" borderId="0">
      <protection locked="0"/>
    </xf>
    <xf numFmtId="0" fontId="18" fillId="0" borderId="0"/>
    <xf numFmtId="43" fontId="18" fillId="0" borderId="0" applyFont="0" applyFill="0" applyBorder="0" applyAlignment="0" applyProtection="0"/>
    <xf numFmtId="43" fontId="25" fillId="0" borderId="0" applyFont="0" applyFill="0" applyBorder="0" applyAlignment="0" applyProtection="0"/>
    <xf numFmtId="0" fontId="13" fillId="0" borderId="0"/>
    <xf numFmtId="0" fontId="18" fillId="0" borderId="0"/>
    <xf numFmtId="9" fontId="18" fillId="0" borderId="0" applyFont="0" applyFill="0" applyBorder="0" applyAlignment="0" applyProtection="0"/>
    <xf numFmtId="0" fontId="13" fillId="0" borderId="0"/>
    <xf numFmtId="43" fontId="13" fillId="0" borderId="0" applyFont="0" applyFill="0" applyBorder="0" applyAlignment="0" applyProtection="0"/>
    <xf numFmtId="0" fontId="16" fillId="0" borderId="0"/>
    <xf numFmtId="0" fontId="16" fillId="0" borderId="0"/>
    <xf numFmtId="0" fontId="126" fillId="0" borderId="0" applyNumberFormat="0" applyFill="0" applyBorder="0" applyAlignment="0" applyProtection="0"/>
    <xf numFmtId="0" fontId="127" fillId="0" borderId="44" applyNumberFormat="0" applyFill="0" applyAlignment="0" applyProtection="0"/>
    <xf numFmtId="0" fontId="128" fillId="0" borderId="45" applyNumberFormat="0" applyFill="0" applyAlignment="0" applyProtection="0"/>
    <xf numFmtId="0" fontId="129" fillId="0" borderId="46" applyNumberFormat="0" applyFill="0" applyAlignment="0" applyProtection="0"/>
    <xf numFmtId="0" fontId="129" fillId="0" borderId="0" applyNumberFormat="0" applyFill="0" applyBorder="0" applyAlignment="0" applyProtection="0"/>
    <xf numFmtId="0" fontId="130" fillId="48" borderId="0" applyNumberFormat="0" applyBorder="0" applyAlignment="0" applyProtection="0"/>
    <xf numFmtId="0" fontId="131" fillId="49" borderId="0" applyNumberFormat="0" applyBorder="0" applyAlignment="0" applyProtection="0"/>
    <xf numFmtId="0" fontId="132" fillId="50" borderId="0" applyNumberFormat="0" applyBorder="0" applyAlignment="0" applyProtection="0"/>
    <xf numFmtId="0" fontId="133" fillId="51" borderId="47" applyNumberFormat="0" applyAlignment="0" applyProtection="0"/>
    <xf numFmtId="0" fontId="134" fillId="52" borderId="48" applyNumberFormat="0" applyAlignment="0" applyProtection="0"/>
    <xf numFmtId="0" fontId="135" fillId="52" borderId="47" applyNumberFormat="0" applyAlignment="0" applyProtection="0"/>
    <xf numFmtId="0" fontId="136" fillId="0" borderId="49" applyNumberFormat="0" applyFill="0" applyAlignment="0" applyProtection="0"/>
    <xf numFmtId="0" fontId="137" fillId="53" borderId="50" applyNumberFormat="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55" fillId="0" borderId="52" applyNumberFormat="0" applyFill="0" applyAlignment="0" applyProtection="0"/>
    <xf numFmtId="0" fontId="140" fillId="55"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40" fillId="58" borderId="0" applyNumberFormat="0" applyBorder="0" applyAlignment="0" applyProtection="0"/>
    <xf numFmtId="0" fontId="140" fillId="59"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40" fillId="62" borderId="0" applyNumberFormat="0" applyBorder="0" applyAlignment="0" applyProtection="0"/>
    <xf numFmtId="0" fontId="140" fillId="63"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40" fillId="66" borderId="0" applyNumberFormat="0" applyBorder="0" applyAlignment="0" applyProtection="0"/>
    <xf numFmtId="0" fontId="140" fillId="67" borderId="0" applyNumberFormat="0" applyBorder="0" applyAlignment="0" applyProtection="0"/>
    <xf numFmtId="0" fontId="13" fillId="68" borderId="0" applyNumberFormat="0" applyBorder="0" applyAlignment="0" applyProtection="0"/>
    <xf numFmtId="0" fontId="13" fillId="69" borderId="0" applyNumberFormat="0" applyBorder="0" applyAlignment="0" applyProtection="0"/>
    <xf numFmtId="0" fontId="140" fillId="70" borderId="0" applyNumberFormat="0" applyBorder="0" applyAlignment="0" applyProtection="0"/>
    <xf numFmtId="0" fontId="140"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40" fillId="74" borderId="0" applyNumberFormat="0" applyBorder="0" applyAlignment="0" applyProtection="0"/>
    <xf numFmtId="0" fontId="140" fillId="75" borderId="0" applyNumberFormat="0" applyBorder="0" applyAlignment="0" applyProtection="0"/>
    <xf numFmtId="0" fontId="13" fillId="76" borderId="0" applyNumberFormat="0" applyBorder="0" applyAlignment="0" applyProtection="0"/>
    <xf numFmtId="0" fontId="13" fillId="77" borderId="0" applyNumberFormat="0" applyBorder="0" applyAlignment="0" applyProtection="0"/>
    <xf numFmtId="0" fontId="140" fillId="7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7" fontId="16" fillId="0" borderId="0" applyFont="0" applyFill="0" applyBorder="0" applyAlignment="0" applyProtection="0"/>
    <xf numFmtId="167" fontId="141" fillId="0" borderId="0" applyFont="0" applyFill="0" applyBorder="0" applyAlignment="0" applyProtection="0"/>
    <xf numFmtId="43" fontId="18" fillId="0" borderId="0" applyFont="0" applyFill="0" applyBorder="0" applyAlignment="0" applyProtection="0"/>
    <xf numFmtId="0" fontId="16" fillId="0" borderId="0"/>
    <xf numFmtId="0" fontId="13" fillId="54" borderId="51" applyNumberFormat="0" applyFont="0" applyAlignment="0" applyProtection="0"/>
    <xf numFmtId="9" fontId="16" fillId="0" borderId="0" applyFont="0" applyFill="0" applyBorder="0" applyAlignment="0" applyProtection="0"/>
    <xf numFmtId="0" fontId="16" fillId="0" borderId="0"/>
    <xf numFmtId="0" fontId="13" fillId="0" borderId="0"/>
    <xf numFmtId="43" fontId="13" fillId="0" borderId="0" applyFont="0" applyFill="0" applyBorder="0" applyAlignment="0" applyProtection="0"/>
    <xf numFmtId="0" fontId="13" fillId="54" borderId="51" applyNumberFormat="0" applyFont="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68" borderId="0" applyNumberFormat="0" applyBorder="0" applyAlignment="0" applyProtection="0"/>
    <xf numFmtId="0" fontId="13" fillId="69"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6" borderId="0" applyNumberFormat="0" applyBorder="0" applyAlignment="0" applyProtection="0"/>
    <xf numFmtId="0" fontId="13" fillId="77" borderId="0" applyNumberFormat="0" applyBorder="0" applyAlignment="0" applyProtection="0"/>
    <xf numFmtId="0" fontId="16" fillId="0" borderId="0"/>
    <xf numFmtId="0" fontId="16" fillId="0" borderId="0"/>
    <xf numFmtId="43" fontId="13" fillId="0" borderId="0" applyFont="0" applyFill="0" applyBorder="0" applyAlignment="0" applyProtection="0"/>
    <xf numFmtId="0" fontId="13" fillId="54" borderId="51" applyNumberFormat="0" applyFont="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68" borderId="0" applyNumberFormat="0" applyBorder="0" applyAlignment="0" applyProtection="0"/>
    <xf numFmtId="0" fontId="13" fillId="69"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6" borderId="0" applyNumberFormat="0" applyBorder="0" applyAlignment="0" applyProtection="0"/>
    <xf numFmtId="0" fontId="13" fillId="77" borderId="0" applyNumberFormat="0" applyBorder="0" applyAlignment="0" applyProtection="0"/>
    <xf numFmtId="9" fontId="18" fillId="0" borderId="0" applyFont="0" applyFill="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170" fontId="16" fillId="0" borderId="0" applyFont="0" applyFill="0" applyBorder="0" applyAlignment="0" applyProtection="0"/>
    <xf numFmtId="37" fontId="16" fillId="0" borderId="0" applyFont="0" applyFill="0" applyBorder="0" applyAlignment="0" applyProtection="0"/>
    <xf numFmtId="43" fontId="12" fillId="0" borderId="0" applyFont="0" applyFill="0" applyBorder="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195" fontId="142" fillId="0" borderId="0"/>
    <xf numFmtId="0" fontId="16" fillId="0" borderId="0"/>
    <xf numFmtId="0" fontId="16" fillId="0" borderId="0"/>
    <xf numFmtId="0" fontId="12" fillId="0" borderId="0"/>
    <xf numFmtId="0" fontId="12" fillId="0" borderId="0"/>
    <xf numFmtId="0" fontId="12" fillId="0" borderId="0"/>
    <xf numFmtId="0" fontId="12" fillId="0" borderId="0"/>
    <xf numFmtId="0" fontId="12" fillId="0" borderId="0"/>
    <xf numFmtId="0" fontId="16" fillId="23" borderId="7" applyNumberFormat="0" applyFont="0" applyAlignment="0" applyProtection="0"/>
    <xf numFmtId="0" fontId="39" fillId="20" borderId="8" applyNumberFormat="0" applyAlignment="0" applyProtection="0"/>
    <xf numFmtId="196" fontId="38" fillId="79" borderId="53"/>
    <xf numFmtId="197" fontId="38" fillId="0" borderId="53" applyFont="0" applyFill="0" applyBorder="0" applyAlignment="0" applyProtection="0">
      <protection locked="0"/>
    </xf>
    <xf numFmtId="0" fontId="40" fillId="0" borderId="0" applyNumberFormat="0" applyFill="0" applyBorder="0" applyAlignment="0" applyProtection="0"/>
    <xf numFmtId="0" fontId="41" fillId="0" borderId="9" applyNumberFormat="0" applyFill="0" applyAlignment="0" applyProtection="0"/>
    <xf numFmtId="0" fontId="42" fillId="0" borderId="0" applyNumberFormat="0" applyFill="0" applyBorder="0" applyAlignment="0" applyProtection="0"/>
    <xf numFmtId="0" fontId="16"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167" fontId="16"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0" fillId="54" borderId="51" applyNumberFormat="0" applyFont="0" applyAlignment="0" applyProtection="0"/>
    <xf numFmtId="0" fontId="10" fillId="0" borderId="0"/>
    <xf numFmtId="43" fontId="10" fillId="0" borderId="0" applyFont="0" applyFill="0" applyBorder="0" applyAlignment="0" applyProtection="0"/>
    <xf numFmtId="0" fontId="10" fillId="54" borderId="51" applyNumberFormat="0" applyFont="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43" fontId="10" fillId="0" borderId="0" applyFont="0" applyFill="0" applyBorder="0" applyAlignment="0" applyProtection="0"/>
    <xf numFmtId="0" fontId="10" fillId="54" borderId="51" applyNumberFormat="0" applyFont="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9" fillId="0" borderId="0" applyFont="0" applyFill="0" applyBorder="0" applyAlignment="0" applyProtection="0"/>
    <xf numFmtId="0" fontId="8"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54" borderId="51" applyNumberFormat="0" applyFont="0" applyAlignment="0" applyProtection="0"/>
    <xf numFmtId="0" fontId="8" fillId="0" borderId="0"/>
    <xf numFmtId="43" fontId="8" fillId="0" borderId="0" applyFont="0" applyFill="0" applyBorder="0" applyAlignment="0" applyProtection="0"/>
    <xf numFmtId="0" fontId="8" fillId="54" borderId="51" applyNumberFormat="0" applyFont="0" applyAlignment="0" applyProtection="0"/>
    <xf numFmtId="0" fontId="8" fillId="56" borderId="0" applyNumberFormat="0" applyBorder="0" applyAlignment="0" applyProtection="0"/>
    <xf numFmtId="0" fontId="8" fillId="57"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43" fontId="8" fillId="0" borderId="0" applyFont="0" applyFill="0" applyBorder="0" applyAlignment="0" applyProtection="0"/>
    <xf numFmtId="0" fontId="8" fillId="54" borderId="51" applyNumberFormat="0" applyFont="0" applyAlignment="0" applyProtection="0"/>
    <xf numFmtId="0" fontId="8" fillId="56" borderId="0" applyNumberFormat="0" applyBorder="0" applyAlignment="0" applyProtection="0"/>
    <xf numFmtId="0" fontId="8" fillId="57"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16" fillId="0" borderId="0"/>
    <xf numFmtId="0" fontId="150" fillId="0" borderId="0"/>
    <xf numFmtId="0" fontId="151" fillId="0" borderId="0"/>
    <xf numFmtId="0" fontId="151" fillId="0" borderId="0"/>
    <xf numFmtId="0" fontId="151" fillId="0" borderId="0"/>
    <xf numFmtId="0" fontId="151" fillId="0" borderId="0"/>
    <xf numFmtId="2" fontId="152" fillId="84" borderId="0"/>
    <xf numFmtId="0" fontId="152" fillId="84" borderId="0"/>
    <xf numFmtId="0" fontId="152" fillId="84" borderId="0"/>
    <xf numFmtId="0" fontId="151" fillId="0" borderId="0"/>
    <xf numFmtId="0" fontId="151" fillId="0" borderId="0"/>
    <xf numFmtId="0" fontId="151" fillId="0" borderId="0"/>
    <xf numFmtId="0" fontId="152" fillId="84" borderId="0"/>
    <xf numFmtId="0" fontId="152" fillId="84" borderId="0"/>
    <xf numFmtId="0" fontId="152" fillId="84" borderId="0"/>
    <xf numFmtId="0" fontId="152" fillId="84" borderId="0"/>
    <xf numFmtId="0" fontId="152" fillId="84" borderId="0"/>
    <xf numFmtId="0" fontId="152" fillId="84" borderId="0"/>
    <xf numFmtId="0" fontId="152" fillId="84" borderId="0"/>
    <xf numFmtId="0" fontId="152" fillId="84" borderId="0"/>
    <xf numFmtId="0" fontId="153" fillId="2" borderId="0" applyNumberFormat="0" applyBorder="0" applyAlignment="0" applyProtection="0"/>
    <xf numFmtId="0" fontId="153" fillId="3" borderId="0" applyNumberFormat="0" applyBorder="0" applyAlignment="0" applyProtection="0"/>
    <xf numFmtId="0" fontId="153" fillId="4" borderId="0" applyNumberFormat="0" applyBorder="0" applyAlignment="0" applyProtection="0"/>
    <xf numFmtId="0" fontId="153" fillId="5" borderId="0" applyNumberFormat="0" applyBorder="0" applyAlignment="0" applyProtection="0"/>
    <xf numFmtId="0" fontId="153" fillId="6" borderId="0" applyNumberFormat="0" applyBorder="0" applyAlignment="0" applyProtection="0"/>
    <xf numFmtId="0" fontId="153" fillId="7" borderId="0" applyNumberFormat="0" applyBorder="0" applyAlignment="0" applyProtection="0"/>
    <xf numFmtId="0" fontId="153" fillId="8" borderId="0" applyNumberFormat="0" applyBorder="0" applyAlignment="0" applyProtection="0"/>
    <xf numFmtId="0" fontId="153" fillId="9" borderId="0" applyNumberFormat="0" applyBorder="0" applyAlignment="0" applyProtection="0"/>
    <xf numFmtId="0" fontId="153" fillId="10" borderId="0" applyNumberFormat="0" applyBorder="0" applyAlignment="0" applyProtection="0"/>
    <xf numFmtId="0" fontId="153" fillId="5" borderId="0" applyNumberFormat="0" applyBorder="0" applyAlignment="0" applyProtection="0"/>
    <xf numFmtId="0" fontId="153" fillId="8" borderId="0" applyNumberFormat="0" applyBorder="0" applyAlignment="0" applyProtection="0"/>
    <xf numFmtId="0" fontId="153" fillId="11" borderId="0" applyNumberFormat="0" applyBorder="0" applyAlignment="0" applyProtection="0"/>
    <xf numFmtId="0" fontId="154" fillId="12" borderId="0" applyNumberFormat="0" applyBorder="0" applyAlignment="0" applyProtection="0"/>
    <xf numFmtId="0" fontId="154" fillId="9" borderId="0" applyNumberFormat="0" applyBorder="0" applyAlignment="0" applyProtection="0"/>
    <xf numFmtId="0" fontId="154" fillId="10" borderId="0" applyNumberFormat="0" applyBorder="0" applyAlignment="0" applyProtection="0"/>
    <xf numFmtId="0" fontId="154" fillId="13" borderId="0" applyNumberFormat="0" applyBorder="0" applyAlignment="0" applyProtection="0"/>
    <xf numFmtId="0" fontId="154" fillId="14" borderId="0" applyNumberFormat="0" applyBorder="0" applyAlignment="0" applyProtection="0"/>
    <xf numFmtId="0" fontId="154" fillId="15"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18" borderId="0" applyNumberFormat="0" applyBorder="0" applyAlignment="0" applyProtection="0"/>
    <xf numFmtId="0" fontId="154" fillId="13" borderId="0" applyNumberFormat="0" applyBorder="0" applyAlignment="0" applyProtection="0"/>
    <xf numFmtId="0" fontId="154" fillId="14" borderId="0" applyNumberFormat="0" applyBorder="0" applyAlignment="0" applyProtection="0"/>
    <xf numFmtId="0" fontId="154" fillId="19" borderId="0" applyNumberFormat="0" applyBorder="0" applyAlignment="0" applyProtection="0"/>
    <xf numFmtId="0" fontId="155" fillId="3" borderId="0" applyNumberFormat="0" applyBorder="0" applyAlignment="0" applyProtection="0"/>
    <xf numFmtId="0" fontId="156" fillId="20" borderId="1" applyNumberFormat="0" applyAlignment="0" applyProtection="0"/>
    <xf numFmtId="0" fontId="157" fillId="21" borderId="2" applyNumberFormat="0" applyAlignment="0" applyProtection="0"/>
    <xf numFmtId="167" fontId="16" fillId="0" borderId="0" applyFont="0" applyFill="0" applyBorder="0" applyAlignment="0" applyProtection="0"/>
    <xf numFmtId="167" fontId="94" fillId="0" borderId="0" applyFont="0" applyFill="0" applyBorder="0" applyAlignment="0" applyProtection="0"/>
    <xf numFmtId="167" fontId="16"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167" fontId="16" fillId="0" borderId="0" applyFont="0" applyFill="0" applyBorder="0" applyAlignment="0" applyProtection="0"/>
    <xf numFmtId="43" fontId="25" fillId="0" borderId="0" applyFont="0" applyFill="0" applyBorder="0" applyAlignment="0" applyProtection="0"/>
    <xf numFmtId="168"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7" fillId="0" borderId="0" applyFont="0" applyFill="0" applyBorder="0" applyAlignment="0" applyProtection="0"/>
    <xf numFmtId="170" fontId="16" fillId="0" borderId="0" applyFont="0" applyFill="0" applyBorder="0" applyAlignment="0" applyProtection="0"/>
    <xf numFmtId="3" fontId="16" fillId="0" borderId="0" applyFont="0" applyFill="0" applyBorder="0" applyAlignment="0" applyProtection="0"/>
    <xf numFmtId="0" fontId="158" fillId="0" borderId="0"/>
    <xf numFmtId="0" fontId="66" fillId="0" borderId="0"/>
    <xf numFmtId="0" fontId="158" fillId="0" borderId="0"/>
    <xf numFmtId="0" fontId="66" fillId="0" borderId="0"/>
    <xf numFmtId="0" fontId="73" fillId="0" borderId="0">
      <protection locked="0"/>
    </xf>
    <xf numFmtId="0" fontId="75" fillId="0" borderId="0">
      <protection locked="0"/>
    </xf>
    <xf numFmtId="0" fontId="75" fillId="0" borderId="0">
      <protection locked="0"/>
    </xf>
    <xf numFmtId="201" fontId="16" fillId="0" borderId="0" applyFont="0" applyFill="0" applyBorder="0" applyAlignment="0" applyProtection="0"/>
    <xf numFmtId="201" fontId="16" fillId="0" borderId="0" applyFont="0" applyFill="0" applyBorder="0" applyAlignment="0" applyProtection="0"/>
    <xf numFmtId="0" fontId="159" fillId="0" borderId="0" applyNumberFormat="0" applyFill="0" applyBorder="0" applyAlignment="0" applyProtection="0"/>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73" fillId="0" borderId="0">
      <protection locked="0"/>
    </xf>
    <xf numFmtId="0" fontId="160" fillId="4" borderId="0" applyNumberFormat="0" applyBorder="0" applyAlignment="0" applyProtection="0"/>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61" fillId="7" borderId="1" applyNumberFormat="0" applyAlignment="0" applyProtection="0"/>
    <xf numFmtId="0" fontId="162" fillId="0" borderId="6" applyNumberFormat="0" applyFill="0" applyAlignment="0" applyProtection="0"/>
    <xf numFmtId="169" fontId="16" fillId="0" borderId="0" applyFont="0" applyFill="0" applyBorder="0" applyAlignment="0" applyProtection="0"/>
    <xf numFmtId="170" fontId="16" fillId="0" borderId="0" applyFont="0" applyFill="0" applyBorder="0" applyAlignment="0" applyProtection="0"/>
    <xf numFmtId="202" fontId="163" fillId="0" borderId="0" applyFont="0" applyFill="0" applyBorder="0" applyAlignment="0" applyProtection="0"/>
    <xf numFmtId="203" fontId="163" fillId="0" borderId="0" applyFont="0" applyFill="0" applyBorder="0" applyAlignment="0" applyProtection="0"/>
    <xf numFmtId="0" fontId="73" fillId="0" borderId="0">
      <protection locked="0"/>
    </xf>
    <xf numFmtId="0" fontId="164" fillId="22" borderId="0" applyNumberFormat="0" applyBorder="0" applyAlignment="0" applyProtection="0"/>
    <xf numFmtId="37" fontId="165" fillId="0" borderId="0"/>
    <xf numFmtId="0" fontId="151" fillId="0" borderId="0"/>
    <xf numFmtId="0" fontId="22" fillId="0" borderId="0"/>
    <xf numFmtId="0" fontId="16" fillId="0" borderId="0"/>
    <xf numFmtId="0" fontId="16" fillId="0" borderId="0"/>
    <xf numFmtId="0" fontId="25" fillId="0" borderId="0"/>
    <xf numFmtId="0" fontId="94" fillId="0" borderId="0">
      <alignment vertical="top"/>
    </xf>
    <xf numFmtId="0" fontId="25" fillId="0" borderId="0"/>
    <xf numFmtId="0" fontId="25" fillId="0" borderId="0"/>
    <xf numFmtId="0" fontId="7" fillId="0" borderId="0"/>
    <xf numFmtId="0" fontId="16" fillId="0" borderId="0"/>
    <xf numFmtId="0" fontId="16" fillId="0" borderId="0"/>
    <xf numFmtId="0" fontId="169" fillId="0" borderId="0"/>
    <xf numFmtId="0" fontId="38" fillId="0" borderId="0"/>
    <xf numFmtId="0" fontId="16" fillId="0" borderId="0"/>
    <xf numFmtId="0" fontId="16" fillId="0" borderId="0"/>
    <xf numFmtId="0" fontId="16" fillId="0" borderId="0"/>
    <xf numFmtId="0" fontId="153" fillId="23" borderId="7" applyNumberFormat="0" applyFont="0" applyAlignment="0" applyProtection="0"/>
    <xf numFmtId="0" fontId="166" fillId="20" borderId="8" applyNumberFormat="0" applyAlignment="0" applyProtection="0"/>
    <xf numFmtId="9" fontId="16" fillId="0" borderId="0" applyFont="0" applyFill="0" applyBorder="0" applyAlignment="0" applyProtection="0"/>
    <xf numFmtId="0" fontId="73" fillId="0" borderId="0">
      <protection locked="0"/>
    </xf>
    <xf numFmtId="38" fontId="96" fillId="0" borderId="0"/>
    <xf numFmtId="0" fontId="16" fillId="0" borderId="0"/>
    <xf numFmtId="0" fontId="16" fillId="0" borderId="0"/>
    <xf numFmtId="0" fontId="167" fillId="0" borderId="9" applyNumberFormat="0" applyFill="0" applyAlignment="0" applyProtection="0"/>
    <xf numFmtId="0" fontId="151" fillId="0" borderId="0"/>
    <xf numFmtId="0" fontId="168" fillId="0" borderId="0" applyNumberFormat="0" applyFill="0" applyBorder="0" applyAlignment="0" applyProtection="0"/>
    <xf numFmtId="167" fontId="16" fillId="0" borderId="0" applyFont="0" applyFill="0" applyBorder="0" applyAlignment="0" applyProtection="0"/>
    <xf numFmtId="0" fontId="150" fillId="0" borderId="0"/>
    <xf numFmtId="0" fontId="153" fillId="2" borderId="0" applyNumberFormat="0" applyBorder="0" applyAlignment="0" applyProtection="0"/>
    <xf numFmtId="0" fontId="153" fillId="3" borderId="0" applyNumberFormat="0" applyBorder="0" applyAlignment="0" applyProtection="0"/>
    <xf numFmtId="0" fontId="153" fillId="4" borderId="0" applyNumberFormat="0" applyBorder="0" applyAlignment="0" applyProtection="0"/>
    <xf numFmtId="0" fontId="153" fillId="5" borderId="0" applyNumberFormat="0" applyBorder="0" applyAlignment="0" applyProtection="0"/>
    <xf numFmtId="0" fontId="153" fillId="6" borderId="0" applyNumberFormat="0" applyBorder="0" applyAlignment="0" applyProtection="0"/>
    <xf numFmtId="0" fontId="153" fillId="7" borderId="0" applyNumberFormat="0" applyBorder="0" applyAlignment="0" applyProtection="0"/>
    <xf numFmtId="0" fontId="153" fillId="8" borderId="0" applyNumberFormat="0" applyBorder="0" applyAlignment="0" applyProtection="0"/>
    <xf numFmtId="0" fontId="153" fillId="9" borderId="0" applyNumberFormat="0" applyBorder="0" applyAlignment="0" applyProtection="0"/>
    <xf numFmtId="0" fontId="153" fillId="10" borderId="0" applyNumberFormat="0" applyBorder="0" applyAlignment="0" applyProtection="0"/>
    <xf numFmtId="0" fontId="153" fillId="5" borderId="0" applyNumberFormat="0" applyBorder="0" applyAlignment="0" applyProtection="0"/>
    <xf numFmtId="0" fontId="153" fillId="8" borderId="0" applyNumberFormat="0" applyBorder="0" applyAlignment="0" applyProtection="0"/>
    <xf numFmtId="0" fontId="153" fillId="11" borderId="0" applyNumberFormat="0" applyBorder="0" applyAlignment="0" applyProtection="0"/>
    <xf numFmtId="0" fontId="154" fillId="12" borderId="0" applyNumberFormat="0" applyBorder="0" applyAlignment="0" applyProtection="0"/>
    <xf numFmtId="0" fontId="154" fillId="9" borderId="0" applyNumberFormat="0" applyBorder="0" applyAlignment="0" applyProtection="0"/>
    <xf numFmtId="0" fontId="154" fillId="10" borderId="0" applyNumberFormat="0" applyBorder="0" applyAlignment="0" applyProtection="0"/>
    <xf numFmtId="0" fontId="154" fillId="13" borderId="0" applyNumberFormat="0" applyBorder="0" applyAlignment="0" applyProtection="0"/>
    <xf numFmtId="0" fontId="154" fillId="14" borderId="0" applyNumberFormat="0" applyBorder="0" applyAlignment="0" applyProtection="0"/>
    <xf numFmtId="0" fontId="154" fillId="15"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18" borderId="0" applyNumberFormat="0" applyBorder="0" applyAlignment="0" applyProtection="0"/>
    <xf numFmtId="0" fontId="154" fillId="13" borderId="0" applyNumberFormat="0" applyBorder="0" applyAlignment="0" applyProtection="0"/>
    <xf numFmtId="0" fontId="154" fillId="14" borderId="0" applyNumberFormat="0" applyBorder="0" applyAlignment="0" applyProtection="0"/>
    <xf numFmtId="0" fontId="154" fillId="19" borderId="0" applyNumberFormat="0" applyBorder="0" applyAlignment="0" applyProtection="0"/>
    <xf numFmtId="0" fontId="155" fillId="3" borderId="0" applyNumberFormat="0" applyBorder="0" applyAlignment="0" applyProtection="0"/>
    <xf numFmtId="0" fontId="156" fillId="20" borderId="1" applyNumberFormat="0" applyAlignment="0" applyProtection="0"/>
    <xf numFmtId="0" fontId="157" fillId="21" borderId="2" applyNumberFormat="0" applyAlignment="0" applyProtection="0"/>
    <xf numFmtId="167" fontId="16" fillId="0" borderId="0" applyFont="0" applyFill="0" applyBorder="0" applyAlignment="0" applyProtection="0"/>
    <xf numFmtId="168"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201" fontId="16" fillId="0" borderId="0" applyFont="0" applyFill="0" applyBorder="0" applyAlignment="0" applyProtection="0"/>
    <xf numFmtId="0" fontId="159" fillId="0" borderId="0" applyNumberFormat="0" applyFill="0" applyBorder="0" applyAlignment="0" applyProtection="0"/>
    <xf numFmtId="0" fontId="160" fillId="4" borderId="0" applyNumberFormat="0" applyBorder="0" applyAlignment="0" applyProtection="0"/>
    <xf numFmtId="0" fontId="149" fillId="0" borderId="0" applyNumberFormat="0" applyFill="0" applyBorder="0" applyAlignment="0" applyProtection="0">
      <alignment vertical="top"/>
      <protection locked="0"/>
    </xf>
    <xf numFmtId="0" fontId="161" fillId="7" borderId="1" applyNumberFormat="0" applyAlignment="0" applyProtection="0"/>
    <xf numFmtId="0" fontId="162" fillId="0" borderId="6" applyNumberFormat="0" applyFill="0" applyAlignment="0" applyProtection="0"/>
    <xf numFmtId="0" fontId="164" fillId="22" borderId="0" applyNumberFormat="0" applyBorder="0" applyAlignment="0" applyProtection="0"/>
    <xf numFmtId="0" fontId="16" fillId="0" borderId="0"/>
    <xf numFmtId="0" fontId="16" fillId="0" borderId="0"/>
    <xf numFmtId="0" fontId="25" fillId="0" borderId="0"/>
    <xf numFmtId="0" fontId="16" fillId="0" borderId="0"/>
    <xf numFmtId="0" fontId="25" fillId="0" borderId="0"/>
    <xf numFmtId="0" fontId="25" fillId="0" borderId="0"/>
    <xf numFmtId="0" fontId="6" fillId="0" borderId="0"/>
    <xf numFmtId="0" fontId="16" fillId="0" borderId="0"/>
    <xf numFmtId="0" fontId="16" fillId="0" borderId="0"/>
    <xf numFmtId="0" fontId="169" fillId="0" borderId="0"/>
    <xf numFmtId="0" fontId="166" fillId="20" borderId="8" applyNumberFormat="0" applyAlignment="0" applyProtection="0"/>
    <xf numFmtId="0" fontId="16" fillId="0" borderId="0"/>
    <xf numFmtId="0" fontId="16" fillId="0" borderId="0"/>
    <xf numFmtId="0" fontId="167" fillId="0" borderId="9" applyNumberFormat="0" applyFill="0" applyAlignment="0" applyProtection="0"/>
    <xf numFmtId="0" fontId="168" fillId="0" borderId="0" applyNumberFormat="0" applyFill="0" applyBorder="0" applyAlignment="0" applyProtection="0"/>
    <xf numFmtId="0" fontId="16"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54" borderId="51" applyNumberFormat="0" applyFont="0" applyAlignment="0" applyProtection="0"/>
    <xf numFmtId="0" fontId="5" fillId="0" borderId="0"/>
    <xf numFmtId="43" fontId="5" fillId="0" borderId="0" applyFont="0" applyFill="0" applyBorder="0" applyAlignment="0" applyProtection="0"/>
    <xf numFmtId="0" fontId="5" fillId="54" borderId="51" applyNumberFormat="0" applyFont="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43" fontId="5" fillId="0" borderId="0" applyFont="0" applyFill="0" applyBorder="0" applyAlignment="0" applyProtection="0"/>
    <xf numFmtId="0" fontId="5" fillId="54" borderId="51" applyNumberFormat="0" applyFont="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54" borderId="51" applyNumberFormat="0" applyFont="0" applyAlignment="0" applyProtection="0"/>
    <xf numFmtId="0" fontId="5" fillId="0" borderId="0"/>
    <xf numFmtId="43" fontId="5" fillId="0" borderId="0" applyFont="0" applyFill="0" applyBorder="0" applyAlignment="0" applyProtection="0"/>
    <xf numFmtId="0" fontId="5" fillId="54" borderId="51" applyNumberFormat="0" applyFont="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43" fontId="5" fillId="0" borderId="0" applyFont="0" applyFill="0" applyBorder="0" applyAlignment="0" applyProtection="0"/>
    <xf numFmtId="0" fontId="5" fillId="54" borderId="51" applyNumberFormat="0" applyFont="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54" borderId="51" applyNumberFormat="0" applyFont="0" applyAlignment="0" applyProtection="0"/>
    <xf numFmtId="0" fontId="5" fillId="0" borderId="0"/>
    <xf numFmtId="43" fontId="5" fillId="0" borderId="0" applyFont="0" applyFill="0" applyBorder="0" applyAlignment="0" applyProtection="0"/>
    <xf numFmtId="0" fontId="5" fillId="54" borderId="51" applyNumberFormat="0" applyFont="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43" fontId="5" fillId="0" borderId="0" applyFont="0" applyFill="0" applyBorder="0" applyAlignment="0" applyProtection="0"/>
    <xf numFmtId="0" fontId="5" fillId="54" borderId="51" applyNumberFormat="0" applyFont="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167" fontId="5" fillId="0" borderId="0" applyFont="0" applyFill="0" applyBorder="0" applyAlignment="0" applyProtection="0"/>
    <xf numFmtId="0" fontId="5"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0" fontId="4" fillId="0" borderId="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0" fillId="0" borderId="0" applyFont="0" applyFill="0" applyBorder="0" applyAlignment="0" applyProtection="0"/>
    <xf numFmtId="170" fontId="76" fillId="0" borderId="0" applyFont="0" applyFill="0" applyBorder="0" applyAlignment="0" applyProtection="0"/>
    <xf numFmtId="170" fontId="16" fillId="0" borderId="0" applyFont="0" applyFill="0" applyBorder="0" applyAlignment="0" applyProtection="0"/>
    <xf numFmtId="170" fontId="85" fillId="0" borderId="0"/>
    <xf numFmtId="9" fontId="4" fillId="0" borderId="0" applyFont="0" applyFill="0" applyBorder="0" applyAlignment="0" applyProtection="0"/>
    <xf numFmtId="0" fontId="16" fillId="0" borderId="0"/>
    <xf numFmtId="0" fontId="4" fillId="0" borderId="0"/>
    <xf numFmtId="0" fontId="4" fillId="0" borderId="0"/>
    <xf numFmtId="43" fontId="4" fillId="0" borderId="0" applyFont="0" applyFill="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170" fontId="16" fillId="0" borderId="0" applyFont="0" applyFill="0" applyBorder="0" applyAlignment="0" applyProtection="0"/>
    <xf numFmtId="170" fontId="141" fillId="0" borderId="0" applyFont="0" applyFill="0" applyBorder="0" applyAlignment="0" applyProtection="0"/>
    <xf numFmtId="0" fontId="4" fillId="54" borderId="51" applyNumberFormat="0" applyFont="0" applyAlignment="0" applyProtection="0"/>
    <xf numFmtId="0" fontId="4" fillId="0" borderId="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170" fontId="16"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0" fontId="16" fillId="0" borderId="0" applyFont="0" applyFill="0" applyBorder="0" applyAlignment="0" applyProtection="0"/>
    <xf numFmtId="0" fontId="4" fillId="0" borderId="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54" borderId="51" applyNumberFormat="0" applyFont="0" applyAlignment="0" applyProtection="0"/>
    <xf numFmtId="0" fontId="4" fillId="0" borderId="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54" borderId="51" applyNumberFormat="0" applyFont="0" applyAlignment="0" applyProtection="0"/>
    <xf numFmtId="0" fontId="4" fillId="0" borderId="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0" fontId="16" fillId="0" borderId="0" applyFont="0" applyFill="0" applyBorder="0" applyAlignment="0" applyProtection="0"/>
    <xf numFmtId="170" fontId="94" fillId="0" borderId="0" applyFont="0" applyFill="0" applyBorder="0" applyAlignment="0" applyProtection="0"/>
    <xf numFmtId="170" fontId="16" fillId="0" borderId="0" applyFont="0" applyFill="0" applyBorder="0" applyAlignment="0" applyProtection="0"/>
    <xf numFmtId="43" fontId="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 fillId="0" borderId="0" applyFont="0" applyFill="0" applyBorder="0" applyAlignment="0" applyProtection="0"/>
    <xf numFmtId="170" fontId="16" fillId="0" borderId="0" applyFont="0" applyFill="0" applyBorder="0" applyAlignment="0" applyProtection="0"/>
    <xf numFmtId="0" fontId="4" fillId="0" borderId="0"/>
    <xf numFmtId="170" fontId="16" fillId="0" borderId="0" applyFont="0" applyFill="0" applyBorder="0" applyAlignment="0" applyProtection="0"/>
    <xf numFmtId="0" fontId="4" fillId="0" borderId="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54" borderId="51" applyNumberFormat="0" applyFont="0" applyAlignment="0" applyProtection="0"/>
    <xf numFmtId="0" fontId="4" fillId="0" borderId="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54" borderId="51" applyNumberFormat="0" applyFont="0" applyAlignment="0" applyProtection="0"/>
    <xf numFmtId="0" fontId="4" fillId="0" borderId="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0" fontId="4" fillId="54" borderId="51" applyNumberFormat="0" applyFont="0" applyAlignment="0" applyProtection="0"/>
    <xf numFmtId="0" fontId="4" fillId="0" borderId="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54" borderId="51" applyNumberFormat="0" applyFont="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6" borderId="0" applyNumberFormat="0" applyBorder="0" applyAlignment="0" applyProtection="0"/>
    <xf numFmtId="0" fontId="4" fillId="77"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70"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0" fontId="1" fillId="0" borderId="0"/>
  </cellStyleXfs>
  <cellXfs count="1063">
    <xf numFmtId="0" fontId="0" fillId="0" borderId="0" xfId="0"/>
    <xf numFmtId="0" fontId="21" fillId="0" borderId="0" xfId="0" applyFont="1"/>
    <xf numFmtId="170" fontId="0" fillId="0" borderId="0" xfId="29" applyNumberFormat="1" applyFont="1"/>
    <xf numFmtId="0" fontId="24" fillId="0" borderId="0" xfId="0" applyFont="1"/>
    <xf numFmtId="170" fontId="0" fillId="0" borderId="0" xfId="29" applyNumberFormat="1" applyFont="1" applyBorder="1" applyAlignment="1">
      <alignment horizontal="right"/>
    </xf>
    <xf numFmtId="170" fontId="17" fillId="0" borderId="0" xfId="29" applyNumberFormat="1" applyFont="1" applyBorder="1" applyAlignment="1">
      <alignment horizontal="right"/>
    </xf>
    <xf numFmtId="170" fontId="0" fillId="0" borderId="0" xfId="29" applyNumberFormat="1" applyFont="1" applyBorder="1"/>
    <xf numFmtId="171" fontId="0" fillId="26" borderId="0" xfId="29" applyNumberFormat="1" applyFont="1" applyFill="1" applyBorder="1"/>
    <xf numFmtId="171" fontId="0" fillId="27" borderId="0" xfId="29" applyNumberFormat="1" applyFont="1" applyFill="1" applyBorder="1"/>
    <xf numFmtId="171" fontId="0" fillId="0" borderId="0" xfId="29" applyNumberFormat="1" applyFont="1" applyBorder="1"/>
    <xf numFmtId="171" fontId="0" fillId="28" borderId="0" xfId="29" applyNumberFormat="1" applyFont="1" applyFill="1" applyBorder="1"/>
    <xf numFmtId="0" fontId="24" fillId="0" borderId="0" xfId="0" quotePrefix="1" applyFont="1"/>
    <xf numFmtId="0" fontId="0" fillId="0" borderId="0" xfId="0" quotePrefix="1"/>
    <xf numFmtId="170" fontId="0" fillId="0" borderId="0" xfId="29" quotePrefix="1" applyNumberFormat="1" applyFont="1" applyBorder="1" applyAlignment="1">
      <alignment horizontal="right"/>
    </xf>
    <xf numFmtId="170" fontId="0" fillId="0" borderId="0" xfId="29" quotePrefix="1" applyNumberFormat="1" applyFont="1" applyBorder="1"/>
    <xf numFmtId="171" fontId="0" fillId="26" borderId="0" xfId="29" quotePrefix="1" applyNumberFormat="1" applyFont="1" applyFill="1" applyBorder="1"/>
    <xf numFmtId="171" fontId="0" fillId="27" borderId="0" xfId="29" quotePrefix="1" applyNumberFormat="1" applyFont="1" applyFill="1" applyBorder="1"/>
    <xf numFmtId="171" fontId="0" fillId="0" borderId="0" xfId="29" quotePrefix="1" applyNumberFormat="1" applyFont="1" applyBorder="1"/>
    <xf numFmtId="171" fontId="0" fillId="28" borderId="0" xfId="29" quotePrefix="1" applyNumberFormat="1" applyFont="1" applyFill="1" applyBorder="1"/>
    <xf numFmtId="170" fontId="0" fillId="0" borderId="0" xfId="29" applyNumberFormat="1" applyFont="1" applyAlignment="1">
      <alignment horizontal="right" wrapText="1"/>
    </xf>
    <xf numFmtId="170" fontId="0" fillId="0" borderId="0" xfId="29" applyNumberFormat="1" applyFont="1" applyAlignment="1">
      <alignment horizontal="right"/>
    </xf>
    <xf numFmtId="0" fontId="44" fillId="0" borderId="0" xfId="0" quotePrefix="1" applyFont="1" applyAlignment="1">
      <alignment horizontal="center"/>
    </xf>
    <xf numFmtId="0" fontId="44" fillId="0" borderId="0" xfId="0" applyFont="1" applyAlignment="1">
      <alignment horizontal="center"/>
    </xf>
    <xf numFmtId="170" fontId="44" fillId="0" borderId="0" xfId="29" applyNumberFormat="1" applyFont="1" applyBorder="1" applyAlignment="1">
      <alignment horizontal="right"/>
    </xf>
    <xf numFmtId="170" fontId="44" fillId="0" borderId="0" xfId="29" applyNumberFormat="1" applyFont="1" applyBorder="1" applyAlignment="1">
      <alignment horizontal="center"/>
    </xf>
    <xf numFmtId="171" fontId="44" fillId="26" borderId="0" xfId="29" applyNumberFormat="1" applyFont="1" applyFill="1" applyBorder="1" applyAlignment="1">
      <alignment horizontal="center"/>
    </xf>
    <xf numFmtId="171" fontId="44" fillId="27" borderId="0" xfId="29" applyNumberFormat="1" applyFont="1" applyFill="1" applyBorder="1" applyAlignment="1">
      <alignment horizontal="center"/>
    </xf>
    <xf numFmtId="171" fontId="44" fillId="0" borderId="0" xfId="29" applyNumberFormat="1" applyFont="1" applyBorder="1" applyAlignment="1">
      <alignment horizontal="center"/>
    </xf>
    <xf numFmtId="171" fontId="44" fillId="28" borderId="0" xfId="29" applyNumberFormat="1" applyFont="1" applyFill="1" applyBorder="1" applyAlignment="1">
      <alignment horizontal="center"/>
    </xf>
    <xf numFmtId="171" fontId="45" fillId="0" borderId="0" xfId="29" applyNumberFormat="1" applyFont="1" applyBorder="1"/>
    <xf numFmtId="0" fontId="45" fillId="0" borderId="0" xfId="0" quotePrefix="1" applyFont="1"/>
    <xf numFmtId="0" fontId="45" fillId="0" borderId="0" xfId="0" applyFont="1"/>
    <xf numFmtId="170" fontId="24" fillId="0" borderId="0" xfId="29" applyNumberFormat="1" applyFont="1" applyAlignment="1">
      <alignment horizontal="right"/>
    </xf>
    <xf numFmtId="170" fontId="45" fillId="24" borderId="15" xfId="29" applyNumberFormat="1" applyFont="1" applyFill="1" applyBorder="1" applyAlignment="1">
      <alignment horizontal="right"/>
    </xf>
    <xf numFmtId="170" fontId="45" fillId="0" borderId="0" xfId="29" applyNumberFormat="1" applyFont="1" applyBorder="1" applyAlignment="1">
      <alignment horizontal="right"/>
    </xf>
    <xf numFmtId="170" fontId="24" fillId="0" borderId="0" xfId="29" applyNumberFormat="1" applyFont="1" applyBorder="1" applyAlignment="1">
      <alignment horizontal="center"/>
    </xf>
    <xf numFmtId="171" fontId="24" fillId="26" borderId="0" xfId="29" applyNumberFormat="1" applyFont="1" applyFill="1" applyBorder="1" applyAlignment="1">
      <alignment horizontal="center"/>
    </xf>
    <xf numFmtId="171" fontId="24" fillId="27" borderId="0" xfId="29" applyNumberFormat="1" applyFont="1" applyFill="1" applyBorder="1" applyAlignment="1">
      <alignment horizontal="center"/>
    </xf>
    <xf numFmtId="171" fontId="24" fillId="29" borderId="0" xfId="29" applyNumberFormat="1" applyFont="1" applyFill="1" applyBorder="1" applyAlignment="1">
      <alignment horizontal="center"/>
    </xf>
    <xf numFmtId="171" fontId="45" fillId="28" borderId="0" xfId="29" applyNumberFormat="1" applyFont="1" applyFill="1" applyBorder="1"/>
    <xf numFmtId="170" fontId="0" fillId="0" borderId="0" xfId="29" quotePrefix="1" applyNumberFormat="1" applyFont="1"/>
    <xf numFmtId="171" fontId="17" fillId="28" borderId="0" xfId="29" quotePrefix="1" applyNumberFormat="1" applyFont="1" applyFill="1" applyBorder="1"/>
    <xf numFmtId="171" fontId="46" fillId="0" borderId="14" xfId="29" applyNumberFormat="1" applyFont="1" applyFill="1" applyBorder="1" applyAlignment="1">
      <alignment horizontal="right"/>
    </xf>
    <xf numFmtId="174" fontId="47" fillId="0" borderId="0" xfId="29" applyNumberFormat="1" applyFont="1" applyFill="1" applyBorder="1" applyAlignment="1">
      <alignment horizontal="left" indent="3"/>
    </xf>
    <xf numFmtId="171" fontId="47" fillId="0" borderId="0" xfId="29" applyNumberFormat="1" applyFont="1" applyFill="1" applyBorder="1" applyAlignment="1"/>
    <xf numFmtId="167" fontId="0" fillId="0" borderId="0" xfId="29" quotePrefix="1" applyNumberFormat="1" applyFont="1"/>
    <xf numFmtId="167" fontId="0" fillId="0" borderId="0" xfId="29" applyNumberFormat="1" applyFont="1"/>
    <xf numFmtId="171" fontId="0" fillId="0" borderId="0" xfId="29" quotePrefix="1" applyNumberFormat="1" applyFont="1" applyFill="1" applyBorder="1"/>
    <xf numFmtId="171" fontId="0" fillId="27" borderId="0" xfId="29" applyNumberFormat="1" applyFont="1" applyFill="1"/>
    <xf numFmtId="171" fontId="0" fillId="26" borderId="0" xfId="29" applyNumberFormat="1" applyFont="1" applyFill="1"/>
    <xf numFmtId="171" fontId="0" fillId="0" borderId="0" xfId="29" applyNumberFormat="1" applyFont="1"/>
    <xf numFmtId="171" fontId="0" fillId="0" borderId="0" xfId="29" applyNumberFormat="1" applyFont="1" applyFill="1"/>
    <xf numFmtId="171" fontId="0" fillId="0" borderId="0" xfId="29" applyNumberFormat="1" applyFont="1" applyFill="1" applyBorder="1"/>
    <xf numFmtId="170" fontId="0" fillId="0" borderId="0" xfId="29" quotePrefix="1" applyNumberFormat="1" applyFont="1" applyFill="1"/>
    <xf numFmtId="170" fontId="0" fillId="0" borderId="0" xfId="29" applyNumberFormat="1" applyFont="1" applyFill="1"/>
    <xf numFmtId="171" fontId="22" fillId="0" borderId="0" xfId="29" applyNumberFormat="1" applyFont="1" applyFill="1" applyBorder="1" applyAlignment="1">
      <alignment horizontal="left"/>
    </xf>
    <xf numFmtId="0" fontId="0" fillId="25" borderId="0" xfId="0" applyFill="1"/>
    <xf numFmtId="170" fontId="0" fillId="27" borderId="0" xfId="29" quotePrefix="1" applyNumberFormat="1" applyFont="1" applyFill="1" applyBorder="1"/>
    <xf numFmtId="170" fontId="0" fillId="0" borderId="14" xfId="29" quotePrefix="1" applyNumberFormat="1" applyFont="1" applyBorder="1"/>
    <xf numFmtId="170" fontId="24" fillId="30" borderId="14" xfId="29" applyNumberFormat="1" applyFont="1" applyFill="1" applyBorder="1"/>
    <xf numFmtId="171" fontId="24" fillId="30" borderId="14" xfId="29" applyNumberFormat="1" applyFont="1" applyFill="1" applyBorder="1"/>
    <xf numFmtId="171" fontId="24" fillId="0" borderId="14" xfId="29" applyNumberFormat="1" applyFont="1" applyFill="1" applyBorder="1"/>
    <xf numFmtId="170" fontId="0" fillId="27" borderId="0" xfId="29" applyNumberFormat="1" applyFont="1" applyFill="1" applyBorder="1"/>
    <xf numFmtId="170" fontId="0" fillId="0" borderId="0" xfId="29" applyNumberFormat="1" applyFont="1" applyFill="1" applyBorder="1"/>
    <xf numFmtId="171" fontId="44" fillId="0" borderId="0" xfId="29" applyNumberFormat="1" applyFont="1" applyFill="1" applyBorder="1" applyAlignment="1">
      <alignment horizontal="center"/>
    </xf>
    <xf numFmtId="171" fontId="45" fillId="0" borderId="0" xfId="29" applyNumberFormat="1" applyFont="1" applyFill="1" applyBorder="1"/>
    <xf numFmtId="170" fontId="0" fillId="0" borderId="0" xfId="29" applyNumberFormat="1" applyFont="1" applyFill="1" applyAlignment="1">
      <alignment horizontal="right"/>
    </xf>
    <xf numFmtId="170" fontId="16" fillId="33" borderId="0" xfId="29" applyNumberFormat="1" applyFont="1" applyFill="1"/>
    <xf numFmtId="170" fontId="16" fillId="33" borderId="0" xfId="29" quotePrefix="1" applyNumberFormat="1" applyFont="1" applyFill="1"/>
    <xf numFmtId="172" fontId="0" fillId="0" borderId="0" xfId="29" applyNumberFormat="1" applyFont="1"/>
    <xf numFmtId="172" fontId="0" fillId="0" borderId="0" xfId="29" applyNumberFormat="1" applyFont="1" applyFill="1"/>
    <xf numFmtId="172" fontId="48" fillId="32" borderId="0" xfId="29" applyNumberFormat="1" applyFont="1" applyFill="1"/>
    <xf numFmtId="170" fontId="0" fillId="0" borderId="0" xfId="29" applyNumberFormat="1" applyFont="1" applyFill="1" applyBorder="1" applyAlignment="1">
      <alignment horizontal="right"/>
    </xf>
    <xf numFmtId="170" fontId="0" fillId="0" borderId="0" xfId="29" quotePrefix="1" applyNumberFormat="1" applyFont="1" applyFill="1" applyBorder="1" applyAlignment="1">
      <alignment horizontal="right"/>
    </xf>
    <xf numFmtId="170" fontId="0" fillId="0" borderId="0" xfId="29" applyNumberFormat="1" applyFont="1" applyFill="1" applyAlignment="1">
      <alignment horizontal="right" wrapText="1"/>
    </xf>
    <xf numFmtId="170" fontId="44" fillId="0" borderId="0" xfId="29" applyNumberFormat="1" applyFont="1" applyFill="1" applyBorder="1" applyAlignment="1">
      <alignment horizontal="right"/>
    </xf>
    <xf numFmtId="172" fontId="16" fillId="0" borderId="0" xfId="29" applyNumberFormat="1" applyFont="1" applyFill="1"/>
    <xf numFmtId="0" fontId="49" fillId="0" borderId="16" xfId="40" applyFont="1" applyBorder="1"/>
    <xf numFmtId="0" fontId="49" fillId="0" borderId="13" xfId="40" applyFont="1" applyBorder="1"/>
    <xf numFmtId="0" fontId="49" fillId="0" borderId="17" xfId="40" applyFont="1" applyBorder="1"/>
    <xf numFmtId="0" fontId="49" fillId="0" borderId="0" xfId="40" applyFont="1"/>
    <xf numFmtId="0" fontId="49" fillId="0" borderId="18" xfId="40" applyFont="1" applyBorder="1" applyAlignment="1">
      <alignment horizontal="center"/>
    </xf>
    <xf numFmtId="0" fontId="49" fillId="0" borderId="0" xfId="40" applyFont="1" applyAlignment="1">
      <alignment horizontal="center"/>
    </xf>
    <xf numFmtId="0" fontId="50" fillId="0" borderId="19" xfId="40" applyFont="1" applyBorder="1"/>
    <xf numFmtId="0" fontId="50" fillId="0" borderId="0" xfId="40" applyFont="1"/>
    <xf numFmtId="0" fontId="50" fillId="0" borderId="18" xfId="40" applyFont="1" applyBorder="1"/>
    <xf numFmtId="0" fontId="49" fillId="28" borderId="0" xfId="40" applyFont="1" applyFill="1"/>
    <xf numFmtId="0" fontId="50" fillId="0" borderId="0" xfId="40" applyFont="1" applyAlignment="1">
      <alignment horizontal="center"/>
    </xf>
    <xf numFmtId="15" fontId="51" fillId="0" borderId="0" xfId="40" quotePrefix="1" applyNumberFormat="1" applyFont="1"/>
    <xf numFmtId="0" fontId="49" fillId="0" borderId="19" xfId="40" applyFont="1" applyBorder="1"/>
    <xf numFmtId="3" fontId="49" fillId="0" borderId="0" xfId="40" applyNumberFormat="1" applyFont="1"/>
    <xf numFmtId="0" fontId="49" fillId="0" borderId="18" xfId="40" applyFont="1" applyBorder="1"/>
    <xf numFmtId="0" fontId="51" fillId="0" borderId="19" xfId="40" applyFont="1" applyBorder="1" applyAlignment="1">
      <alignment horizontal="left" vertical="center"/>
    </xf>
    <xf numFmtId="3" fontId="50" fillId="0" borderId="0" xfId="40" applyNumberFormat="1" applyFont="1" applyAlignment="1">
      <alignment horizontal="center" wrapText="1"/>
    </xf>
    <xf numFmtId="0" fontId="50" fillId="28" borderId="0" xfId="40" applyFont="1" applyFill="1" applyAlignment="1">
      <alignment horizontal="center" wrapText="1"/>
    </xf>
    <xf numFmtId="0" fontId="50" fillId="0" borderId="18" xfId="40" applyFont="1" applyBorder="1" applyAlignment="1">
      <alignment wrapText="1"/>
    </xf>
    <xf numFmtId="15" fontId="50" fillId="0" borderId="0" xfId="40" applyNumberFormat="1" applyFont="1" applyAlignment="1">
      <alignment horizontal="right"/>
    </xf>
    <xf numFmtId="10" fontId="49" fillId="0" borderId="0" xfId="40" applyNumberFormat="1" applyFont="1"/>
    <xf numFmtId="0" fontId="50" fillId="0" borderId="0" xfId="40" applyFont="1" applyAlignment="1">
      <alignment horizontal="center" wrapText="1"/>
    </xf>
    <xf numFmtId="3" fontId="50" fillId="24" borderId="14" xfId="40" applyNumberFormat="1" applyFont="1" applyFill="1" applyBorder="1"/>
    <xf numFmtId="9" fontId="52" fillId="31" borderId="20" xfId="40" applyNumberFormat="1" applyFont="1" applyFill="1" applyBorder="1"/>
    <xf numFmtId="3" fontId="50" fillId="31" borderId="14" xfId="40" applyNumberFormat="1" applyFont="1" applyFill="1" applyBorder="1"/>
    <xf numFmtId="167" fontId="49" fillId="0" borderId="0" xfId="30" applyFont="1"/>
    <xf numFmtId="167" fontId="50" fillId="0" borderId="0" xfId="30" applyFont="1" applyFill="1" applyBorder="1"/>
    <xf numFmtId="167" fontId="50" fillId="0" borderId="0" xfId="40" applyNumberFormat="1" applyFont="1"/>
    <xf numFmtId="9" fontId="49" fillId="0" borderId="0" xfId="40" applyNumberFormat="1" applyFont="1"/>
    <xf numFmtId="3" fontId="50" fillId="0" borderId="0" xfId="40" applyNumberFormat="1" applyFont="1"/>
    <xf numFmtId="172" fontId="49" fillId="0" borderId="0" xfId="30" applyNumberFormat="1" applyFont="1" applyFill="1" applyBorder="1"/>
    <xf numFmtId="167" fontId="49" fillId="0" borderId="0" xfId="30" applyFont="1" applyFill="1" applyBorder="1"/>
    <xf numFmtId="10" fontId="50" fillId="0" borderId="0" xfId="40" applyNumberFormat="1" applyFont="1"/>
    <xf numFmtId="9" fontId="52" fillId="0" borderId="20" xfId="40" applyNumberFormat="1" applyFont="1" applyBorder="1"/>
    <xf numFmtId="3" fontId="50" fillId="0" borderId="14" xfId="40" applyNumberFormat="1" applyFont="1" applyBorder="1"/>
    <xf numFmtId="3" fontId="50" fillId="28" borderId="14" xfId="40" applyNumberFormat="1" applyFont="1" applyFill="1" applyBorder="1"/>
    <xf numFmtId="9" fontId="52" fillId="28" borderId="20" xfId="40" applyNumberFormat="1" applyFont="1" applyFill="1" applyBorder="1"/>
    <xf numFmtId="0" fontId="51" fillId="0" borderId="21" xfId="40" applyFont="1" applyBorder="1"/>
    <xf numFmtId="167" fontId="51" fillId="31" borderId="14" xfId="30" applyFont="1" applyFill="1" applyBorder="1"/>
    <xf numFmtId="0" fontId="52" fillId="28" borderId="22" xfId="40" applyFont="1" applyFill="1" applyBorder="1"/>
    <xf numFmtId="3" fontId="51" fillId="0" borderId="0" xfId="40" applyNumberFormat="1" applyFont="1"/>
    <xf numFmtId="167" fontId="49" fillId="0" borderId="0" xfId="40" applyNumberFormat="1" applyFont="1"/>
    <xf numFmtId="172" fontId="49" fillId="0" borderId="0" xfId="40" applyNumberFormat="1" applyFont="1"/>
    <xf numFmtId="3" fontId="50" fillId="0" borderId="11" xfId="40" applyNumberFormat="1" applyFont="1" applyBorder="1"/>
    <xf numFmtId="167" fontId="0" fillId="0" borderId="0" xfId="30" applyFont="1"/>
    <xf numFmtId="172" fontId="49" fillId="0" borderId="0" xfId="30" applyNumberFormat="1" applyFont="1"/>
    <xf numFmtId="170" fontId="49" fillId="0" borderId="0" xfId="40" applyNumberFormat="1" applyFont="1"/>
    <xf numFmtId="37" fontId="49" fillId="0" borderId="0" xfId="29" applyFont="1"/>
    <xf numFmtId="0" fontId="53" fillId="0" borderId="0" xfId="0" applyFont="1"/>
    <xf numFmtId="0" fontId="54" fillId="0" borderId="0" xfId="0" applyFont="1"/>
    <xf numFmtId="0" fontId="43" fillId="0" borderId="0" xfId="0" applyFont="1"/>
    <xf numFmtId="0" fontId="19" fillId="0" borderId="0" xfId="0" applyFont="1"/>
    <xf numFmtId="0" fontId="20" fillId="0" borderId="0" xfId="0" applyFont="1"/>
    <xf numFmtId="0" fontId="19" fillId="0" borderId="0" xfId="43" applyFont="1"/>
    <xf numFmtId="0" fontId="20" fillId="0" borderId="0" xfId="0" applyFont="1" applyAlignment="1">
      <alignment horizontal="left"/>
    </xf>
    <xf numFmtId="0" fontId="19" fillId="0" borderId="0" xfId="0" applyFont="1" applyAlignment="1">
      <alignment horizontal="right"/>
    </xf>
    <xf numFmtId="0" fontId="19" fillId="0" borderId="0" xfId="43" applyFont="1" applyAlignment="1">
      <alignment horizontal="right"/>
    </xf>
    <xf numFmtId="37" fontId="0" fillId="0" borderId="0" xfId="29" applyFont="1" applyBorder="1"/>
    <xf numFmtId="37" fontId="0" fillId="0" borderId="0" xfId="29" applyFont="1" applyFill="1" applyBorder="1"/>
    <xf numFmtId="171" fontId="0" fillId="34" borderId="0" xfId="29" applyNumberFormat="1" applyFont="1" applyFill="1" applyBorder="1"/>
    <xf numFmtId="172" fontId="48" fillId="35" borderId="0" xfId="29" applyNumberFormat="1" applyFont="1" applyFill="1"/>
    <xf numFmtId="0" fontId="0" fillId="0" borderId="0" xfId="0" applyAlignment="1">
      <alignment horizontal="left"/>
    </xf>
    <xf numFmtId="0" fontId="55" fillId="36" borderId="23" xfId="0" applyFont="1" applyFill="1" applyBorder="1"/>
    <xf numFmtId="167" fontId="55" fillId="36" borderId="23" xfId="29" applyNumberFormat="1" applyFont="1" applyFill="1" applyBorder="1"/>
    <xf numFmtId="0" fontId="55" fillId="36" borderId="24" xfId="0" applyFont="1" applyFill="1" applyBorder="1" applyAlignment="1">
      <alignment horizontal="left"/>
    </xf>
    <xf numFmtId="167" fontId="55" fillId="36" borderId="24" xfId="29" applyNumberFormat="1" applyFont="1" applyFill="1" applyBorder="1"/>
    <xf numFmtId="167" fontId="0" fillId="34" borderId="0" xfId="29" applyNumberFormat="1" applyFont="1" applyFill="1" applyAlignment="1">
      <alignment horizontal="right"/>
    </xf>
    <xf numFmtId="167" fontId="0" fillId="34" borderId="0" xfId="29" quotePrefix="1" applyNumberFormat="1" applyFont="1" applyFill="1" applyAlignment="1">
      <alignment horizontal="right"/>
    </xf>
    <xf numFmtId="167" fontId="0" fillId="34" borderId="0" xfId="29" quotePrefix="1" applyNumberFormat="1" applyFont="1" applyFill="1"/>
    <xf numFmtId="167" fontId="0" fillId="34" borderId="0" xfId="29" applyNumberFormat="1" applyFont="1" applyFill="1"/>
    <xf numFmtId="167" fontId="0" fillId="0" borderId="0" xfId="29" applyNumberFormat="1" applyFont="1" applyAlignment="1">
      <alignment horizontal="right"/>
    </xf>
    <xf numFmtId="0" fontId="0" fillId="0" borderId="0" xfId="0" applyAlignment="1">
      <alignment horizontal="right"/>
    </xf>
    <xf numFmtId="167" fontId="0" fillId="0" borderId="0" xfId="0" applyNumberFormat="1"/>
    <xf numFmtId="167" fontId="0" fillId="0" borderId="0" xfId="0" applyNumberFormat="1" applyAlignment="1">
      <alignment horizontal="right"/>
    </xf>
    <xf numFmtId="0" fontId="55" fillId="0" borderId="0" xfId="0" applyFont="1"/>
    <xf numFmtId="0" fontId="55" fillId="0" borderId="0" xfId="0" applyFont="1" applyAlignment="1">
      <alignment horizontal="right"/>
    </xf>
    <xf numFmtId="172" fontId="0" fillId="0" borderId="0" xfId="0" applyNumberFormat="1"/>
    <xf numFmtId="0" fontId="38" fillId="0" borderId="0" xfId="0" applyFont="1" applyAlignment="1">
      <alignment horizontal="left"/>
    </xf>
    <xf numFmtId="0" fontId="38" fillId="0" borderId="0" xfId="0" applyFont="1"/>
    <xf numFmtId="4" fontId="38" fillId="0" borderId="0" xfId="0" applyNumberFormat="1" applyFont="1" applyAlignment="1">
      <alignment horizontal="right"/>
    </xf>
    <xf numFmtId="4" fontId="44" fillId="0" borderId="25" xfId="0" applyNumberFormat="1" applyFont="1" applyBorder="1" applyAlignment="1">
      <alignment horizontal="left"/>
    </xf>
    <xf numFmtId="4" fontId="44" fillId="0" borderId="0" xfId="0" applyNumberFormat="1" applyFont="1" applyAlignment="1">
      <alignment horizontal="right"/>
    </xf>
    <xf numFmtId="0" fontId="56" fillId="0" borderId="29" xfId="0" applyFont="1" applyBorder="1" applyAlignment="1">
      <alignment horizontal="left"/>
    </xf>
    <xf numFmtId="0" fontId="38" fillId="0" borderId="31" xfId="0" applyFont="1" applyBorder="1"/>
    <xf numFmtId="4" fontId="56" fillId="0" borderId="26" xfId="0" applyNumberFormat="1" applyFont="1" applyBorder="1" applyAlignment="1">
      <alignment horizontal="right"/>
    </xf>
    <xf numFmtId="4" fontId="38" fillId="0" borderId="28" xfId="0" applyNumberFormat="1" applyFont="1" applyBorder="1" applyAlignment="1">
      <alignment horizontal="right"/>
    </xf>
    <xf numFmtId="0" fontId="56" fillId="0" borderId="32" xfId="0" applyFont="1" applyBorder="1" applyAlignment="1">
      <alignment horizontal="left"/>
    </xf>
    <xf numFmtId="49" fontId="56" fillId="0" borderId="33" xfId="0" applyNumberFormat="1" applyFont="1" applyBorder="1" applyAlignment="1">
      <alignment horizontal="left"/>
    </xf>
    <xf numFmtId="0" fontId="38" fillId="0" borderId="34" xfId="0" applyFont="1" applyBorder="1"/>
    <xf numFmtId="4" fontId="38" fillId="0" borderId="34" xfId="0" applyNumberFormat="1" applyFont="1" applyBorder="1" applyAlignment="1">
      <alignment horizontal="right"/>
    </xf>
    <xf numFmtId="4" fontId="38" fillId="0" borderId="35" xfId="0" applyNumberFormat="1" applyFont="1" applyBorder="1" applyAlignment="1">
      <alignment horizontal="right"/>
    </xf>
    <xf numFmtId="0" fontId="44" fillId="0" borderId="14" xfId="0" applyFont="1" applyBorder="1" applyAlignment="1">
      <alignment horizontal="left"/>
    </xf>
    <xf numFmtId="0" fontId="44" fillId="0" borderId="14" xfId="0" applyFont="1" applyBorder="1" applyAlignment="1">
      <alignment horizontal="center"/>
    </xf>
    <xf numFmtId="4" fontId="44" fillId="0" borderId="14" xfId="0" applyNumberFormat="1" applyFont="1" applyBorder="1" applyAlignment="1">
      <alignment horizontal="right"/>
    </xf>
    <xf numFmtId="0" fontId="38" fillId="0" borderId="14" xfId="0" applyFont="1" applyBorder="1" applyAlignment="1">
      <alignment horizontal="left"/>
    </xf>
    <xf numFmtId="0" fontId="38" fillId="0" borderId="14" xfId="0" quotePrefix="1" applyFont="1" applyBorder="1" applyAlignment="1">
      <alignment horizontal="left"/>
    </xf>
    <xf numFmtId="4" fontId="38" fillId="0" borderId="14" xfId="0" applyNumberFormat="1" applyFont="1" applyBorder="1" applyAlignment="1">
      <alignment horizontal="right"/>
    </xf>
    <xf numFmtId="172" fontId="16" fillId="0" borderId="14" xfId="30" applyNumberFormat="1" applyFont="1" applyFill="1" applyBorder="1" applyAlignment="1">
      <alignment horizontal="left"/>
    </xf>
    <xf numFmtId="172" fontId="16" fillId="0" borderId="14" xfId="30" applyNumberFormat="1" applyFont="1" applyFill="1" applyBorder="1"/>
    <xf numFmtId="3" fontId="38" fillId="0" borderId="14" xfId="0" applyNumberFormat="1" applyFont="1" applyBorder="1" applyAlignment="1">
      <alignment horizontal="right"/>
    </xf>
    <xf numFmtId="0" fontId="0" fillId="0" borderId="14" xfId="0" applyBorder="1" applyAlignment="1">
      <alignment horizontal="right"/>
    </xf>
    <xf numFmtId="3" fontId="0" fillId="0" borderId="0" xfId="0" applyNumberFormat="1"/>
    <xf numFmtId="172" fontId="16" fillId="0" borderId="14" xfId="30" quotePrefix="1" applyNumberFormat="1" applyFont="1" applyFill="1" applyBorder="1" applyAlignment="1">
      <alignment horizontal="left"/>
    </xf>
    <xf numFmtId="172" fontId="38" fillId="0" borderId="14" xfId="30" applyNumberFormat="1" applyFont="1" applyFill="1" applyBorder="1" applyAlignment="1">
      <alignment horizontal="right"/>
    </xf>
    <xf numFmtId="0" fontId="57" fillId="0" borderId="14" xfId="0" applyFont="1" applyBorder="1" applyAlignment="1">
      <alignment horizontal="left"/>
    </xf>
    <xf numFmtId="0" fontId="57" fillId="0" borderId="14" xfId="0" quotePrefix="1" applyFont="1" applyBorder="1" applyAlignment="1">
      <alignment horizontal="left"/>
    </xf>
    <xf numFmtId="0" fontId="57" fillId="0" borderId="14" xfId="0" applyFont="1" applyBorder="1"/>
    <xf numFmtId="3" fontId="57" fillId="0" borderId="14" xfId="0" applyNumberFormat="1" applyFont="1" applyBorder="1" applyAlignment="1">
      <alignment horizontal="right"/>
    </xf>
    <xf numFmtId="0" fontId="57" fillId="0" borderId="0" xfId="0" applyFont="1" applyAlignment="1">
      <alignment horizontal="left"/>
    </xf>
    <xf numFmtId="0" fontId="57" fillId="0" borderId="0" xfId="0" quotePrefix="1" applyFont="1" applyAlignment="1">
      <alignment horizontal="left"/>
    </xf>
    <xf numFmtId="0" fontId="57" fillId="0" borderId="0" xfId="0" applyFont="1"/>
    <xf numFmtId="3" fontId="38" fillId="0" borderId="0" xfId="0" applyNumberFormat="1" applyFont="1" applyAlignment="1">
      <alignment horizontal="right"/>
    </xf>
    <xf numFmtId="49" fontId="38" fillId="0" borderId="14" xfId="0" quotePrefix="1" applyNumberFormat="1" applyFont="1" applyBorder="1" applyAlignment="1">
      <alignment horizontal="left"/>
    </xf>
    <xf numFmtId="49" fontId="38" fillId="0" borderId="14" xfId="0" applyNumberFormat="1" applyFont="1" applyBorder="1" applyAlignment="1">
      <alignment horizontal="left"/>
    </xf>
    <xf numFmtId="3" fontId="38" fillId="0" borderId="14" xfId="30" applyNumberFormat="1" applyFont="1" applyFill="1" applyBorder="1" applyAlignment="1">
      <alignment horizontal="right"/>
    </xf>
    <xf numFmtId="172" fontId="15" fillId="0" borderId="0" xfId="29" applyNumberFormat="1" applyFont="1" applyProtection="1"/>
    <xf numFmtId="49" fontId="58" fillId="0" borderId="0" xfId="0" applyNumberFormat="1" applyFont="1"/>
    <xf numFmtId="172" fontId="15" fillId="0" borderId="0" xfId="29" applyNumberFormat="1" applyFont="1" applyBorder="1" applyProtection="1"/>
    <xf numFmtId="172" fontId="15" fillId="0" borderId="0" xfId="29" applyNumberFormat="1" applyFont="1" applyBorder="1"/>
    <xf numFmtId="176" fontId="56" fillId="0" borderId="30" xfId="0" applyNumberFormat="1" applyFont="1" applyBorder="1" applyAlignment="1">
      <alignment horizontal="left"/>
    </xf>
    <xf numFmtId="0" fontId="0" fillId="0" borderId="0" xfId="0" applyAlignment="1">
      <alignment horizontal="center"/>
    </xf>
    <xf numFmtId="172" fontId="0" fillId="32" borderId="0" xfId="29" applyNumberFormat="1" applyFont="1" applyFill="1"/>
    <xf numFmtId="172" fontId="16" fillId="32" borderId="0" xfId="29" applyNumberFormat="1" applyFont="1" applyFill="1"/>
    <xf numFmtId="172" fontId="16" fillId="37" borderId="0" xfId="29" applyNumberFormat="1" applyFont="1" applyFill="1"/>
    <xf numFmtId="172" fontId="0" fillId="37" borderId="0" xfId="29" applyNumberFormat="1" applyFont="1" applyFill="1"/>
    <xf numFmtId="172" fontId="16" fillId="38" borderId="0" xfId="29" applyNumberFormat="1" applyFont="1" applyFill="1"/>
    <xf numFmtId="172" fontId="0" fillId="39" borderId="0" xfId="29" applyNumberFormat="1" applyFont="1" applyFill="1"/>
    <xf numFmtId="0" fontId="23" fillId="0" borderId="10" xfId="0" applyFont="1" applyBorder="1"/>
    <xf numFmtId="0" fontId="23" fillId="0" borderId="0" xfId="0" applyFont="1"/>
    <xf numFmtId="0" fontId="23" fillId="0" borderId="0" xfId="0" applyFont="1" applyAlignment="1">
      <alignment horizontal="right"/>
    </xf>
    <xf numFmtId="0" fontId="23" fillId="0" borderId="10" xfId="0" applyFont="1" applyBorder="1" applyAlignment="1">
      <alignment horizontal="right"/>
    </xf>
    <xf numFmtId="0" fontId="23" fillId="0" borderId="0" xfId="43" applyFont="1"/>
    <xf numFmtId="0" fontId="23" fillId="0" borderId="0" xfId="0" quotePrefix="1" applyFont="1"/>
    <xf numFmtId="172" fontId="23" fillId="0" borderId="0" xfId="29" applyNumberFormat="1" applyFont="1" applyBorder="1" applyAlignment="1">
      <alignment horizontal="right"/>
    </xf>
    <xf numFmtId="0" fontId="54" fillId="0" borderId="10" xfId="0" applyFont="1" applyBorder="1"/>
    <xf numFmtId="37" fontId="23" fillId="0" borderId="0" xfId="0" applyNumberFormat="1" applyFont="1" applyAlignment="1">
      <alignment horizontal="right"/>
    </xf>
    <xf numFmtId="172" fontId="23" fillId="0" borderId="0" xfId="0" quotePrefix="1" applyNumberFormat="1" applyFont="1" applyAlignment="1">
      <alignment horizontal="right"/>
    </xf>
    <xf numFmtId="172" fontId="54" fillId="0" borderId="0" xfId="0" quotePrefix="1" applyNumberFormat="1" applyFont="1" applyAlignment="1">
      <alignment horizontal="right"/>
    </xf>
    <xf numFmtId="172" fontId="54" fillId="0" borderId="0" xfId="0" applyNumberFormat="1" applyFont="1" applyAlignment="1">
      <alignment horizontal="right"/>
    </xf>
    <xf numFmtId="0" fontId="23" fillId="0" borderId="0" xfId="0" applyFont="1" applyAlignment="1">
      <alignment horizontal="center"/>
    </xf>
    <xf numFmtId="172" fontId="23" fillId="0" borderId="0" xfId="0" applyNumberFormat="1" applyFont="1" applyAlignment="1">
      <alignment horizontal="right"/>
    </xf>
    <xf numFmtId="0" fontId="54" fillId="0" borderId="0" xfId="0" applyFont="1" applyAlignment="1">
      <alignment horizontal="left"/>
    </xf>
    <xf numFmtId="172" fontId="23" fillId="0" borderId="0" xfId="29" applyNumberFormat="1" applyFont="1" applyFill="1" applyBorder="1" applyAlignment="1">
      <alignment horizontal="right"/>
    </xf>
    <xf numFmtId="172" fontId="23" fillId="0" borderId="0" xfId="43" applyNumberFormat="1" applyFont="1"/>
    <xf numFmtId="172" fontId="23" fillId="0" borderId="10" xfId="29" applyNumberFormat="1" applyFont="1" applyFill="1" applyBorder="1" applyAlignment="1">
      <alignment horizontal="right"/>
    </xf>
    <xf numFmtId="172" fontId="23" fillId="0" borderId="10" xfId="0" applyNumberFormat="1" applyFont="1" applyBorder="1" applyAlignment="1">
      <alignment horizontal="right"/>
    </xf>
    <xf numFmtId="172" fontId="54" fillId="0" borderId="0" xfId="29" applyNumberFormat="1" applyFont="1" applyFill="1" applyBorder="1" applyAlignment="1">
      <alignment horizontal="right"/>
    </xf>
    <xf numFmtId="37" fontId="23" fillId="0" borderId="0" xfId="29" applyFont="1"/>
    <xf numFmtId="172" fontId="23" fillId="0" borderId="10" xfId="43" applyNumberFormat="1" applyFont="1" applyBorder="1"/>
    <xf numFmtId="0" fontId="23" fillId="0" borderId="10" xfId="43" applyFont="1" applyBorder="1"/>
    <xf numFmtId="37" fontId="54" fillId="0" borderId="0" xfId="29" applyFont="1"/>
    <xf numFmtId="172" fontId="23" fillId="0" borderId="10" xfId="0" quotePrefix="1" applyNumberFormat="1" applyFont="1" applyBorder="1" applyAlignment="1">
      <alignment horizontal="right"/>
    </xf>
    <xf numFmtId="0" fontId="54" fillId="0" borderId="0" xfId="43" applyFont="1"/>
    <xf numFmtId="37" fontId="54" fillId="0" borderId="0" xfId="29" applyFont="1" applyFill="1" applyBorder="1" applyAlignment="1">
      <alignment horizontal="right"/>
    </xf>
    <xf numFmtId="37" fontId="54" fillId="0" borderId="10" xfId="29" applyFont="1" applyFill="1" applyBorder="1" applyAlignment="1">
      <alignment horizontal="right"/>
    </xf>
    <xf numFmtId="37" fontId="54" fillId="0" borderId="11" xfId="29" applyFont="1" applyFill="1" applyBorder="1" applyAlignment="1">
      <alignment horizontal="right"/>
    </xf>
    <xf numFmtId="0" fontId="54" fillId="0" borderId="0" xfId="43" applyFont="1" applyAlignment="1">
      <alignment horizontal="left"/>
    </xf>
    <xf numFmtId="37" fontId="54" fillId="0" borderId="0" xfId="29" applyFont="1" applyFill="1" applyAlignment="1">
      <alignment horizontal="right"/>
    </xf>
    <xf numFmtId="37" fontId="23" fillId="0" borderId="0" xfId="29" applyFont="1" applyFill="1" applyAlignment="1">
      <alignment horizontal="right"/>
    </xf>
    <xf numFmtId="37" fontId="54" fillId="0" borderId="0" xfId="29" applyFont="1" applyFill="1"/>
    <xf numFmtId="37" fontId="23" fillId="0" borderId="0" xfId="29" applyFont="1" applyFill="1"/>
    <xf numFmtId="172" fontId="54" fillId="0" borderId="11" xfId="0" applyNumberFormat="1" applyFont="1" applyBorder="1" applyAlignment="1">
      <alignment horizontal="right"/>
    </xf>
    <xf numFmtId="0" fontId="54" fillId="0" borderId="0" xfId="1" applyFont="1"/>
    <xf numFmtId="37" fontId="23" fillId="0" borderId="0" xfId="29" applyFont="1" applyFill="1" applyBorder="1" applyAlignment="1">
      <alignment horizontal="right"/>
    </xf>
    <xf numFmtId="37" fontId="23" fillId="0" borderId="10" xfId="29" applyFont="1" applyFill="1" applyBorder="1" applyAlignment="1">
      <alignment horizontal="right"/>
    </xf>
    <xf numFmtId="172" fontId="54" fillId="0" borderId="10" xfId="0" applyNumberFormat="1" applyFont="1" applyBorder="1" applyAlignment="1">
      <alignment horizontal="right"/>
    </xf>
    <xf numFmtId="37" fontId="54" fillId="0" borderId="0" xfId="29" applyFont="1" applyFill="1" applyBorder="1"/>
    <xf numFmtId="37" fontId="23" fillId="0" borderId="0" xfId="29" applyFont="1" applyFill="1" applyBorder="1"/>
    <xf numFmtId="0" fontId="23" fillId="0" borderId="0" xfId="43" applyFont="1" applyAlignment="1">
      <alignment horizontal="right"/>
    </xf>
    <xf numFmtId="0" fontId="54" fillId="0" borderId="0" xfId="43" applyFont="1" applyAlignment="1">
      <alignment horizontal="right"/>
    </xf>
    <xf numFmtId="37" fontId="23" fillId="0" borderId="0" xfId="43" applyNumberFormat="1" applyFont="1"/>
    <xf numFmtId="0" fontId="23" fillId="0" borderId="0" xfId="43" quotePrefix="1" applyFont="1" applyAlignment="1">
      <alignment horizontal="right"/>
    </xf>
    <xf numFmtId="165" fontId="23" fillId="0" borderId="10" xfId="0" applyNumberFormat="1" applyFont="1" applyBorder="1" applyAlignment="1">
      <alignment horizontal="right"/>
    </xf>
    <xf numFmtId="165" fontId="54" fillId="0" borderId="11" xfId="0" applyNumberFormat="1" applyFont="1" applyBorder="1" applyAlignment="1">
      <alignment horizontal="right"/>
    </xf>
    <xf numFmtId="0" fontId="54" fillId="0" borderId="10" xfId="43" applyFont="1" applyBorder="1" applyAlignment="1">
      <alignment horizontal="left"/>
    </xf>
    <xf numFmtId="0" fontId="54" fillId="0" borderId="0" xfId="43" quotePrefix="1" applyFont="1" applyAlignment="1">
      <alignment horizontal="center"/>
    </xf>
    <xf numFmtId="0" fontId="23" fillId="0" borderId="10" xfId="43" applyFont="1" applyBorder="1" applyAlignment="1">
      <alignment horizontal="right"/>
    </xf>
    <xf numFmtId="0" fontId="54" fillId="0" borderId="10" xfId="43" applyFont="1" applyBorder="1" applyAlignment="1">
      <alignment horizontal="right"/>
    </xf>
    <xf numFmtId="0" fontId="23" fillId="0" borderId="0" xfId="43" applyFont="1" applyAlignment="1">
      <alignment horizontal="justify" vertical="top" wrapText="1"/>
    </xf>
    <xf numFmtId="0" fontId="23" fillId="0" borderId="0" xfId="43" applyFont="1" applyAlignment="1">
      <alignment horizontal="right" vertical="top" wrapText="1"/>
    </xf>
    <xf numFmtId="0" fontId="54" fillId="0" borderId="0" xfId="0" quotePrefix="1" applyFont="1"/>
    <xf numFmtId="0" fontId="54" fillId="0" borderId="0" xfId="43" quotePrefix="1" applyFont="1" applyAlignment="1">
      <alignment horizontal="right"/>
    </xf>
    <xf numFmtId="37" fontId="23" fillId="0" borderId="0" xfId="29" quotePrefix="1" applyFont="1" applyFill="1" applyBorder="1" applyAlignment="1">
      <alignment horizontal="right"/>
    </xf>
    <xf numFmtId="10" fontId="23" fillId="0" borderId="0" xfId="43" applyNumberFormat="1" applyFont="1" applyAlignment="1">
      <alignment horizontal="right"/>
    </xf>
    <xf numFmtId="9" fontId="23" fillId="0" borderId="0" xfId="43" applyNumberFormat="1" applyFont="1" applyAlignment="1">
      <alignment horizontal="right"/>
    </xf>
    <xf numFmtId="37" fontId="23" fillId="0" borderId="13" xfId="29" applyFont="1" applyFill="1" applyBorder="1" applyAlignment="1">
      <alignment horizontal="right"/>
    </xf>
    <xf numFmtId="37" fontId="54" fillId="0" borderId="13" xfId="29" applyFont="1" applyFill="1" applyBorder="1" applyAlignment="1">
      <alignment horizontal="right"/>
    </xf>
    <xf numFmtId="37" fontId="54" fillId="0" borderId="0" xfId="29" quotePrefix="1" applyFont="1" applyFill="1" applyBorder="1" applyAlignment="1">
      <alignment horizontal="right"/>
    </xf>
    <xf numFmtId="37" fontId="54" fillId="0" borderId="10" xfId="29" quotePrefix="1" applyFont="1" applyFill="1" applyBorder="1" applyAlignment="1">
      <alignment horizontal="right"/>
    </xf>
    <xf numFmtId="37" fontId="61" fillId="0" borderId="0" xfId="29" applyFont="1" applyFill="1" applyBorder="1" applyAlignment="1">
      <alignment horizontal="right"/>
    </xf>
    <xf numFmtId="37" fontId="62" fillId="0" borderId="0" xfId="29" applyFont="1" applyFill="1" applyBorder="1" applyAlignment="1">
      <alignment horizontal="right"/>
    </xf>
    <xf numFmtId="10" fontId="23" fillId="0" borderId="0" xfId="47" applyNumberFormat="1" applyFont="1" applyFill="1" applyBorder="1" applyAlignment="1">
      <alignment horizontal="right"/>
    </xf>
    <xf numFmtId="167" fontId="23" fillId="0" borderId="0" xfId="43" applyNumberFormat="1" applyFont="1"/>
    <xf numFmtId="37" fontId="23" fillId="0" borderId="0" xfId="29" quotePrefix="1" applyFont="1" applyFill="1" applyAlignment="1">
      <alignment horizontal="right"/>
    </xf>
    <xf numFmtId="0" fontId="23" fillId="0" borderId="0" xfId="43" applyFont="1" applyAlignment="1">
      <alignment horizontal="left"/>
    </xf>
    <xf numFmtId="37" fontId="23" fillId="0" borderId="10" xfId="29" quotePrefix="1" applyFont="1" applyFill="1" applyBorder="1" applyAlignment="1">
      <alignment horizontal="right"/>
    </xf>
    <xf numFmtId="10" fontId="23" fillId="0" borderId="0" xfId="47" quotePrefix="1" applyNumberFormat="1" applyFont="1" applyFill="1" applyAlignment="1">
      <alignment horizontal="right"/>
    </xf>
    <xf numFmtId="0" fontId="54" fillId="0" borderId="0" xfId="0" applyFont="1" applyAlignment="1">
      <alignment horizontal="right"/>
    </xf>
    <xf numFmtId="37" fontId="60" fillId="0" borderId="0" xfId="0" applyNumberFormat="1" applyFont="1" applyAlignment="1">
      <alignment horizontal="right"/>
    </xf>
    <xf numFmtId="0" fontId="23" fillId="0" borderId="0" xfId="44" applyFont="1"/>
    <xf numFmtId="37" fontId="61" fillId="0" borderId="0" xfId="29" applyFont="1" applyFill="1" applyBorder="1"/>
    <xf numFmtId="37" fontId="23" fillId="0" borderId="0" xfId="44" applyNumberFormat="1" applyFont="1"/>
    <xf numFmtId="173" fontId="23" fillId="0" borderId="0" xfId="44" applyNumberFormat="1" applyFont="1" applyAlignment="1">
      <alignment horizontal="right"/>
    </xf>
    <xf numFmtId="173" fontId="23" fillId="0" borderId="0" xfId="44" applyNumberFormat="1" applyFont="1"/>
    <xf numFmtId="173" fontId="54" fillId="0" borderId="0" xfId="44" applyNumberFormat="1" applyFont="1" applyAlignment="1">
      <alignment horizontal="right"/>
    </xf>
    <xf numFmtId="0" fontId="0" fillId="34" borderId="0" xfId="0" quotePrefix="1" applyFill="1"/>
    <xf numFmtId="170" fontId="0" fillId="34" borderId="0" xfId="29" applyNumberFormat="1" applyFont="1" applyFill="1"/>
    <xf numFmtId="37" fontId="0" fillId="34" borderId="0" xfId="29" applyFont="1" applyFill="1" applyBorder="1"/>
    <xf numFmtId="172" fontId="0" fillId="34" borderId="0" xfId="29" applyNumberFormat="1" applyFont="1" applyFill="1"/>
    <xf numFmtId="172" fontId="16" fillId="34" borderId="0" xfId="29" applyNumberFormat="1" applyFont="1" applyFill="1"/>
    <xf numFmtId="170" fontId="0" fillId="34" borderId="0" xfId="29" quotePrefix="1" applyNumberFormat="1" applyFont="1" applyFill="1"/>
    <xf numFmtId="170" fontId="0" fillId="34" borderId="0" xfId="29" quotePrefix="1" applyNumberFormat="1" applyFont="1" applyFill="1" applyBorder="1"/>
    <xf numFmtId="171" fontId="0" fillId="34" borderId="0" xfId="29" quotePrefix="1" applyNumberFormat="1" applyFont="1" applyFill="1" applyBorder="1"/>
    <xf numFmtId="49" fontId="58" fillId="34" borderId="0" xfId="0" applyNumberFormat="1" applyFont="1" applyFill="1"/>
    <xf numFmtId="0" fontId="0" fillId="34" borderId="0" xfId="0" applyFill="1"/>
    <xf numFmtId="172" fontId="23" fillId="0" borderId="11" xfId="0" quotePrefix="1" applyNumberFormat="1" applyFont="1" applyBorder="1" applyAlignment="1">
      <alignment horizontal="right"/>
    </xf>
    <xf numFmtId="41" fontId="23" fillId="0" borderId="0" xfId="59" applyNumberFormat="1" applyFont="1" applyFill="1" applyBorder="1" applyAlignment="1">
      <alignment horizontal="justify" vertical="top"/>
    </xf>
    <xf numFmtId="37" fontId="23" fillId="0" borderId="0" xfId="29" applyFont="1" applyFill="1" applyBorder="1" applyAlignment="1"/>
    <xf numFmtId="37" fontId="54" fillId="0" borderId="0" xfId="0" applyNumberFormat="1" applyFont="1"/>
    <xf numFmtId="0" fontId="0" fillId="40" borderId="0" xfId="0" quotePrefix="1" applyFill="1"/>
    <xf numFmtId="37" fontId="0" fillId="40" borderId="0" xfId="29" applyFont="1" applyFill="1" applyBorder="1"/>
    <xf numFmtId="171" fontId="0" fillId="40" borderId="0" xfId="29" applyNumberFormat="1" applyFont="1" applyFill="1" applyBorder="1"/>
    <xf numFmtId="172" fontId="0" fillId="40" borderId="0" xfId="29" applyNumberFormat="1" applyFont="1" applyFill="1"/>
    <xf numFmtId="170" fontId="0" fillId="40" borderId="0" xfId="29" applyNumberFormat="1" applyFont="1" applyFill="1"/>
    <xf numFmtId="172" fontId="16" fillId="40" borderId="0" xfId="29" applyNumberFormat="1" applyFont="1" applyFill="1"/>
    <xf numFmtId="170" fontId="0" fillId="40" borderId="0" xfId="29" quotePrefix="1" applyNumberFormat="1" applyFont="1" applyFill="1"/>
    <xf numFmtId="170" fontId="0" fillId="40" borderId="0" xfId="29" quotePrefix="1" applyNumberFormat="1" applyFont="1" applyFill="1" applyBorder="1"/>
    <xf numFmtId="171" fontId="0" fillId="40" borderId="0" xfId="29" quotePrefix="1" applyNumberFormat="1" applyFont="1" applyFill="1" applyBorder="1"/>
    <xf numFmtId="167" fontId="0" fillId="40" borderId="0" xfId="29" applyNumberFormat="1" applyFont="1" applyFill="1"/>
    <xf numFmtId="171" fontId="16" fillId="0" borderId="0" xfId="29" applyNumberFormat="1" applyFont="1" applyFill="1" applyBorder="1"/>
    <xf numFmtId="171" fontId="0" fillId="40" borderId="0" xfId="29" applyNumberFormat="1" applyFont="1" applyFill="1"/>
    <xf numFmtId="167" fontId="0" fillId="40" borderId="0" xfId="29" quotePrefix="1" applyNumberFormat="1" applyFont="1" applyFill="1"/>
    <xf numFmtId="0" fontId="63" fillId="0" borderId="0" xfId="60" applyFont="1"/>
    <xf numFmtId="0" fontId="14" fillId="0" borderId="0" xfId="60"/>
    <xf numFmtId="167" fontId="0" fillId="0" borderId="0" xfId="61" applyFont="1"/>
    <xf numFmtId="43" fontId="14" fillId="0" borderId="0" xfId="60" applyNumberFormat="1"/>
    <xf numFmtId="0" fontId="55" fillId="0" borderId="0" xfId="60" applyFont="1"/>
    <xf numFmtId="167" fontId="63" fillId="0" borderId="0" xfId="61" applyFont="1"/>
    <xf numFmtId="167" fontId="64" fillId="0" borderId="0" xfId="61" applyFont="1" applyFill="1"/>
    <xf numFmtId="167" fontId="63" fillId="0" borderId="0" xfId="61" applyFont="1" applyFill="1"/>
    <xf numFmtId="0" fontId="63" fillId="40" borderId="0" xfId="60" applyFont="1" applyFill="1"/>
    <xf numFmtId="167" fontId="63" fillId="40" borderId="0" xfId="61" applyFont="1" applyFill="1"/>
    <xf numFmtId="0" fontId="55" fillId="40" borderId="0" xfId="60" applyFont="1" applyFill="1"/>
    <xf numFmtId="43" fontId="55" fillId="40" borderId="0" xfId="60" applyNumberFormat="1" applyFont="1" applyFill="1"/>
    <xf numFmtId="0" fontId="64" fillId="41" borderId="0" xfId="60" applyFont="1" applyFill="1"/>
    <xf numFmtId="167" fontId="64" fillId="41" borderId="0" xfId="61" applyFont="1" applyFill="1"/>
    <xf numFmtId="0" fontId="14" fillId="41" borderId="0" xfId="60" applyFill="1"/>
    <xf numFmtId="43" fontId="14" fillId="41" borderId="0" xfId="60" applyNumberFormat="1" applyFill="1"/>
    <xf numFmtId="0" fontId="64" fillId="38" borderId="0" xfId="60" applyFont="1" applyFill="1"/>
    <xf numFmtId="167" fontId="64" fillId="38" borderId="0" xfId="61" applyFont="1" applyFill="1"/>
    <xf numFmtId="0" fontId="14" fillId="38" borderId="0" xfId="60" applyFill="1"/>
    <xf numFmtId="43" fontId="14" fillId="38" borderId="0" xfId="60" applyNumberFormat="1" applyFill="1"/>
    <xf numFmtId="0" fontId="64" fillId="42" borderId="0" xfId="60" applyFont="1" applyFill="1"/>
    <xf numFmtId="167" fontId="64" fillId="42" borderId="0" xfId="61" applyFont="1" applyFill="1"/>
    <xf numFmtId="0" fontId="14" fillId="42" borderId="0" xfId="60" applyFill="1"/>
    <xf numFmtId="43" fontId="14" fillId="42" borderId="0" xfId="60" applyNumberFormat="1" applyFill="1"/>
    <xf numFmtId="43" fontId="14" fillId="41" borderId="14" xfId="60" applyNumberFormat="1" applyFill="1" applyBorder="1"/>
    <xf numFmtId="0" fontId="64" fillId="43" borderId="0" xfId="60" applyFont="1" applyFill="1"/>
    <xf numFmtId="167" fontId="64" fillId="43" borderId="0" xfId="61" applyFont="1" applyFill="1"/>
    <xf numFmtId="0" fontId="14" fillId="43" borderId="0" xfId="60" applyFill="1"/>
    <xf numFmtId="43" fontId="14" fillId="43" borderId="0" xfId="60" applyNumberFormat="1" applyFill="1"/>
    <xf numFmtId="0" fontId="64" fillId="40" borderId="0" xfId="60" applyFont="1" applyFill="1"/>
    <xf numFmtId="167" fontId="64" fillId="40" borderId="0" xfId="61" applyFont="1" applyFill="1"/>
    <xf numFmtId="0" fontId="14" fillId="40" borderId="0" xfId="60" applyFill="1"/>
    <xf numFmtId="43" fontId="14" fillId="40" borderId="0" xfId="60" applyNumberFormat="1" applyFill="1"/>
    <xf numFmtId="167" fontId="64" fillId="0" borderId="0" xfId="61" applyFont="1"/>
    <xf numFmtId="167" fontId="14" fillId="42" borderId="0" xfId="59" applyFont="1" applyFill="1"/>
    <xf numFmtId="167" fontId="16" fillId="42" borderId="0" xfId="61" applyFont="1" applyFill="1"/>
    <xf numFmtId="167" fontId="16" fillId="43" borderId="0" xfId="61" applyFont="1" applyFill="1"/>
    <xf numFmtId="167" fontId="16" fillId="41" borderId="0" xfId="61" applyFont="1" applyFill="1"/>
    <xf numFmtId="167" fontId="16" fillId="40" borderId="0" xfId="61" applyFont="1" applyFill="1"/>
    <xf numFmtId="43" fontId="14" fillId="44" borderId="0" xfId="60" applyNumberFormat="1" applyFill="1"/>
    <xf numFmtId="167" fontId="21" fillId="0" borderId="12" xfId="61" applyFont="1" applyBorder="1"/>
    <xf numFmtId="167" fontId="65" fillId="0" borderId="0" xfId="61" applyFont="1"/>
    <xf numFmtId="37" fontId="14" fillId="42" borderId="0" xfId="29" applyFont="1" applyFill="1"/>
    <xf numFmtId="167" fontId="63" fillId="41" borderId="0" xfId="61" applyFont="1" applyFill="1"/>
    <xf numFmtId="0" fontId="20" fillId="0" borderId="0" xfId="0" quotePrefix="1" applyFont="1" applyAlignment="1">
      <alignment horizontal="left"/>
    </xf>
    <xf numFmtId="165" fontId="23" fillId="0" borderId="0" xfId="29" quotePrefix="1" applyNumberFormat="1" applyFont="1" applyFill="1" applyBorder="1" applyAlignment="1">
      <alignment horizontal="right"/>
    </xf>
    <xf numFmtId="37" fontId="23" fillId="0" borderId="0" xfId="29" applyFont="1" applyBorder="1"/>
    <xf numFmtId="198" fontId="23" fillId="0" borderId="0" xfId="29" applyNumberFormat="1" applyFont="1" applyFill="1" applyBorder="1"/>
    <xf numFmtId="199" fontId="23" fillId="0" borderId="0" xfId="29" applyNumberFormat="1" applyFont="1" applyFill="1" applyBorder="1"/>
    <xf numFmtId="165" fontId="54" fillId="0" borderId="0" xfId="29" quotePrefix="1" applyNumberFormat="1" applyFont="1" applyFill="1" applyBorder="1" applyAlignment="1">
      <alignment horizontal="right"/>
    </xf>
    <xf numFmtId="0" fontId="144" fillId="81" borderId="54" xfId="0" applyFont="1" applyFill="1" applyBorder="1" applyAlignment="1">
      <alignment vertical="top" wrapText="1" readingOrder="1"/>
    </xf>
    <xf numFmtId="0" fontId="144" fillId="82" borderId="54" xfId="0" applyFont="1" applyFill="1" applyBorder="1" applyAlignment="1">
      <alignment vertical="top" wrapText="1" readingOrder="1"/>
    </xf>
    <xf numFmtId="0" fontId="144" fillId="83" borderId="54" xfId="0" applyFont="1" applyFill="1" applyBorder="1" applyAlignment="1">
      <alignment vertical="top" wrapText="1" readingOrder="1"/>
    </xf>
    <xf numFmtId="172" fontId="23" fillId="0" borderId="13" xfId="29" applyNumberFormat="1" applyFont="1" applyFill="1" applyBorder="1" applyAlignment="1">
      <alignment horizontal="right"/>
    </xf>
    <xf numFmtId="200" fontId="64" fillId="0" borderId="0" xfId="0" applyNumberFormat="1" applyFont="1"/>
    <xf numFmtId="0" fontId="21" fillId="0" borderId="58" xfId="0" applyFont="1" applyBorder="1"/>
    <xf numFmtId="0" fontId="0" fillId="0" borderId="59" xfId="0" applyBorder="1"/>
    <xf numFmtId="0" fontId="0" fillId="0" borderId="60" xfId="0" applyBorder="1"/>
    <xf numFmtId="0" fontId="16" fillId="0" borderId="40" xfId="0" applyFont="1" applyBorder="1"/>
    <xf numFmtId="0" fontId="0" fillId="0" borderId="61" xfId="0" applyBorder="1"/>
    <xf numFmtId="0" fontId="0" fillId="0" borderId="40" xfId="0" applyBorder="1"/>
    <xf numFmtId="0" fontId="21" fillId="0" borderId="40" xfId="0" applyFont="1" applyBorder="1"/>
    <xf numFmtId="0" fontId="0" fillId="0" borderId="62" xfId="0" applyBorder="1"/>
    <xf numFmtId="0" fontId="0" fillId="0" borderId="41" xfId="0" applyBorder="1"/>
    <xf numFmtId="0" fontId="0" fillId="0" borderId="63" xfId="0" applyBorder="1"/>
    <xf numFmtId="0" fontId="21" fillId="0" borderId="60" xfId="0" applyFont="1" applyBorder="1"/>
    <xf numFmtId="0" fontId="21" fillId="0" borderId="64" xfId="0" applyFont="1" applyBorder="1"/>
    <xf numFmtId="0" fontId="0" fillId="0" borderId="64" xfId="0" applyBorder="1"/>
    <xf numFmtId="0" fontId="16" fillId="0" borderId="14" xfId="0" applyFont="1" applyBorder="1"/>
    <xf numFmtId="0" fontId="0" fillId="0" borderId="14" xfId="0" applyBorder="1"/>
    <xf numFmtId="39" fontId="0" fillId="0" borderId="14" xfId="29" applyNumberFormat="1" applyFont="1" applyBorder="1"/>
    <xf numFmtId="0" fontId="21" fillId="0" borderId="14" xfId="0" applyFont="1" applyBorder="1"/>
    <xf numFmtId="39" fontId="45" fillId="0" borderId="14" xfId="29" applyNumberFormat="1" applyFont="1" applyBorder="1"/>
    <xf numFmtId="0" fontId="145" fillId="0" borderId="54" xfId="0" applyFont="1" applyBorder="1" applyAlignment="1">
      <alignment vertical="top" wrapText="1" readingOrder="1"/>
    </xf>
    <xf numFmtId="200" fontId="145" fillId="0" borderId="54" xfId="0" applyNumberFormat="1" applyFont="1" applyBorder="1" applyAlignment="1">
      <alignment vertical="top" wrapText="1" readingOrder="1"/>
    </xf>
    <xf numFmtId="200" fontId="144" fillId="81" borderId="54" xfId="0" applyNumberFormat="1" applyFont="1" applyFill="1" applyBorder="1" applyAlignment="1">
      <alignment vertical="top" wrapText="1" readingOrder="1"/>
    </xf>
    <xf numFmtId="200" fontId="144" fillId="82" borderId="54" xfId="0" applyNumberFormat="1" applyFont="1" applyFill="1" applyBorder="1" applyAlignment="1">
      <alignment vertical="top" wrapText="1" readingOrder="1"/>
    </xf>
    <xf numFmtId="200" fontId="144" fillId="83" borderId="54" xfId="0" applyNumberFormat="1" applyFont="1" applyFill="1" applyBorder="1" applyAlignment="1">
      <alignment vertical="top" wrapText="1" readingOrder="1"/>
    </xf>
    <xf numFmtId="0" fontId="64" fillId="0" borderId="0" xfId="0" applyFont="1"/>
    <xf numFmtId="0" fontId="144" fillId="80" borderId="54" xfId="0" applyFont="1" applyFill="1" applyBorder="1" applyAlignment="1">
      <alignment vertical="top" wrapText="1" readingOrder="1"/>
    </xf>
    <xf numFmtId="200" fontId="146" fillId="81" borderId="54" xfId="0" applyNumberFormat="1" applyFont="1" applyFill="1" applyBorder="1" applyAlignment="1">
      <alignment vertical="top" wrapText="1" readingOrder="1"/>
    </xf>
    <xf numFmtId="0" fontId="64" fillId="0" borderId="55" xfId="0" applyFont="1" applyBorder="1" applyAlignment="1">
      <alignment vertical="top" wrapText="1"/>
    </xf>
    <xf numFmtId="37" fontId="64" fillId="0" borderId="0" xfId="29" applyFont="1" applyFill="1" applyBorder="1"/>
    <xf numFmtId="0" fontId="16" fillId="0" borderId="0" xfId="0" applyFont="1"/>
    <xf numFmtId="37" fontId="0" fillId="0" borderId="0" xfId="29" applyFont="1"/>
    <xf numFmtId="0" fontId="147" fillId="0" borderId="0" xfId="0" applyFont="1"/>
    <xf numFmtId="37" fontId="147" fillId="0" borderId="0" xfId="29" applyFont="1"/>
    <xf numFmtId="39" fontId="64" fillId="0" borderId="0" xfId="0" applyNumberFormat="1" applyFont="1"/>
    <xf numFmtId="172" fontId="171" fillId="0" borderId="0" xfId="323" applyNumberFormat="1" applyFont="1"/>
    <xf numFmtId="0" fontId="148" fillId="0" borderId="0" xfId="858" applyFont="1"/>
    <xf numFmtId="172" fontId="49" fillId="0" borderId="0" xfId="858" applyNumberFormat="1" applyFont="1"/>
    <xf numFmtId="172" fontId="16" fillId="0" borderId="0" xfId="858" applyNumberFormat="1"/>
    <xf numFmtId="172" fontId="172" fillId="0" borderId="0" xfId="858" applyNumberFormat="1" applyFont="1"/>
    <xf numFmtId="172" fontId="171" fillId="0" borderId="0" xfId="858" applyNumberFormat="1" applyFont="1"/>
    <xf numFmtId="172" fontId="171" fillId="0" borderId="0" xfId="858" applyNumberFormat="1" applyFont="1" applyAlignment="1">
      <alignment horizontal="right"/>
    </xf>
    <xf numFmtId="172" fontId="19" fillId="0" borderId="0" xfId="858" applyNumberFormat="1" applyFont="1"/>
    <xf numFmtId="0" fontId="170" fillId="0" borderId="0" xfId="856" applyFont="1" applyAlignment="1">
      <alignment horizontal="left"/>
    </xf>
    <xf numFmtId="172" fontId="170" fillId="0" borderId="0" xfId="858" applyNumberFormat="1" applyFont="1"/>
    <xf numFmtId="0" fontId="170" fillId="0" borderId="41" xfId="856" applyFont="1" applyBorder="1" applyAlignment="1">
      <alignment horizontal="left"/>
    </xf>
    <xf numFmtId="172" fontId="170" fillId="0" borderId="41" xfId="858" applyNumberFormat="1" applyFont="1" applyBorder="1"/>
    <xf numFmtId="37" fontId="171" fillId="0" borderId="0" xfId="324" applyNumberFormat="1" applyFont="1"/>
    <xf numFmtId="37" fontId="171" fillId="0" borderId="0" xfId="295" applyNumberFormat="1" applyFont="1" applyFill="1" applyBorder="1"/>
    <xf numFmtId="37" fontId="170" fillId="0" borderId="0" xfId="295" applyNumberFormat="1" applyFont="1" applyFill="1" applyBorder="1" applyAlignment="1">
      <alignment horizontal="right" vertical="top" wrapText="1"/>
    </xf>
    <xf numFmtId="37" fontId="170" fillId="0" borderId="0" xfId="295" applyNumberFormat="1" applyFont="1" applyFill="1" applyBorder="1" applyAlignment="1">
      <alignment horizontal="center" vertical="top" wrapText="1"/>
    </xf>
    <xf numFmtId="37" fontId="170" fillId="0" borderId="0" xfId="324" applyNumberFormat="1" applyFont="1"/>
    <xf numFmtId="37" fontId="171" fillId="0" borderId="0" xfId="295" applyNumberFormat="1" applyFont="1" applyFill="1" applyAlignment="1">
      <alignment horizontal="right"/>
    </xf>
    <xf numFmtId="37" fontId="170" fillId="0" borderId="0" xfId="295" quotePrefix="1" applyNumberFormat="1" applyFont="1" applyFill="1" applyBorder="1" applyAlignment="1">
      <alignment horizontal="right" vertical="top" wrapText="1"/>
    </xf>
    <xf numFmtId="37" fontId="171" fillId="0" borderId="0" xfId="295" applyNumberFormat="1" applyFont="1" applyFill="1" applyBorder="1" applyAlignment="1">
      <alignment horizontal="right"/>
    </xf>
    <xf numFmtId="37" fontId="170" fillId="0" borderId="0" xfId="295" applyNumberFormat="1" applyFont="1" applyFill="1"/>
    <xf numFmtId="37" fontId="171" fillId="0" borderId="10" xfId="324" applyNumberFormat="1" applyFont="1" applyBorder="1"/>
    <xf numFmtId="37" fontId="171" fillId="0" borderId="0" xfId="855" applyNumberFormat="1" applyFont="1"/>
    <xf numFmtId="37" fontId="171" fillId="0" borderId="13" xfId="295" applyNumberFormat="1" applyFont="1" applyFill="1" applyBorder="1" applyAlignment="1">
      <alignment horizontal="right"/>
    </xf>
    <xf numFmtId="37" fontId="170" fillId="0" borderId="0" xfId="324" applyNumberFormat="1" applyFont="1" applyAlignment="1">
      <alignment horizontal="left"/>
    </xf>
    <xf numFmtId="37" fontId="170" fillId="0" borderId="0" xfId="855" applyNumberFormat="1" applyFont="1"/>
    <xf numFmtId="37" fontId="170" fillId="0" borderId="11" xfId="295" applyNumberFormat="1" applyFont="1" applyFill="1" applyBorder="1" applyAlignment="1">
      <alignment horizontal="right"/>
    </xf>
    <xf numFmtId="37" fontId="170" fillId="0" borderId="0" xfId="295" applyNumberFormat="1" applyFont="1" applyFill="1" applyBorder="1" applyAlignment="1">
      <alignment horizontal="right"/>
    </xf>
    <xf numFmtId="172" fontId="170" fillId="0" borderId="0" xfId="295" applyNumberFormat="1" applyFont="1" applyFill="1" applyBorder="1" applyAlignment="1">
      <alignment horizontal="center" vertical="top" wrapText="1"/>
    </xf>
    <xf numFmtId="37" fontId="170" fillId="0" borderId="14" xfId="295" applyNumberFormat="1" applyFont="1" applyFill="1" applyBorder="1" applyAlignment="1">
      <alignment horizontal="right" vertical="top" wrapText="1"/>
    </xf>
    <xf numFmtId="37" fontId="23" fillId="0" borderId="10" xfId="0" applyNumberFormat="1" applyFont="1" applyBorder="1" applyAlignment="1">
      <alignment horizontal="right"/>
    </xf>
    <xf numFmtId="37" fontId="23" fillId="0" borderId="13" xfId="29" quotePrefix="1" applyFont="1" applyFill="1" applyBorder="1" applyAlignment="1">
      <alignment horizontal="right"/>
    </xf>
    <xf numFmtId="0" fontId="173" fillId="0" borderId="0" xfId="0" applyFont="1"/>
    <xf numFmtId="37" fontId="173" fillId="0" borderId="0" xfId="29" applyFont="1" applyFill="1" applyBorder="1"/>
    <xf numFmtId="37" fontId="173" fillId="0" borderId="0" xfId="0" applyNumberFormat="1" applyFont="1"/>
    <xf numFmtId="37" fontId="54" fillId="0" borderId="10" xfId="29" applyFont="1" applyBorder="1"/>
    <xf numFmtId="37" fontId="54" fillId="0" borderId="11" xfId="0" applyNumberFormat="1" applyFont="1" applyBorder="1"/>
    <xf numFmtId="200" fontId="173" fillId="0" borderId="0" xfId="0" applyNumberFormat="1" applyFont="1"/>
    <xf numFmtId="37" fontId="54" fillId="0" borderId="10" xfId="0" applyNumberFormat="1" applyFont="1" applyBorder="1"/>
    <xf numFmtId="200" fontId="173" fillId="32" borderId="0" xfId="0" applyNumberFormat="1" applyFont="1" applyFill="1"/>
    <xf numFmtId="0" fontId="144" fillId="85" borderId="54" xfId="0" applyFont="1" applyFill="1" applyBorder="1" applyAlignment="1">
      <alignment vertical="top" wrapText="1" readingOrder="1"/>
    </xf>
    <xf numFmtId="39" fontId="173" fillId="0" borderId="0" xfId="0" applyNumberFormat="1" applyFont="1"/>
    <xf numFmtId="4" fontId="173" fillId="0" borderId="0" xfId="0" applyNumberFormat="1" applyFont="1"/>
    <xf numFmtId="4" fontId="173" fillId="32" borderId="0" xfId="0" applyNumberFormat="1" applyFont="1" applyFill="1"/>
    <xf numFmtId="200" fontId="145" fillId="86" borderId="54" xfId="0" applyNumberFormat="1" applyFont="1" applyFill="1" applyBorder="1" applyAlignment="1">
      <alignment vertical="top" wrapText="1" readingOrder="1"/>
    </xf>
    <xf numFmtId="206" fontId="173" fillId="0" borderId="0" xfId="0" applyNumberFormat="1" applyFont="1"/>
    <xf numFmtId="3" fontId="173" fillId="0" borderId="0" xfId="0" applyNumberFormat="1" applyFont="1"/>
    <xf numFmtId="200" fontId="173" fillId="87" borderId="0" xfId="0" applyNumberFormat="1" applyFont="1" applyFill="1"/>
    <xf numFmtId="0" fontId="173" fillId="87" borderId="0" xfId="0" applyFont="1" applyFill="1"/>
    <xf numFmtId="200" fontId="173" fillId="33" borderId="0" xfId="0" applyNumberFormat="1" applyFont="1" applyFill="1"/>
    <xf numFmtId="0" fontId="173" fillId="33" borderId="0" xfId="0" applyFont="1" applyFill="1"/>
    <xf numFmtId="200" fontId="63" fillId="0" borderId="0" xfId="0" applyNumberFormat="1" applyFont="1"/>
    <xf numFmtId="206" fontId="173" fillId="88" borderId="0" xfId="0" applyNumberFormat="1" applyFont="1" applyFill="1"/>
    <xf numFmtId="0" fontId="173" fillId="88" borderId="0" xfId="0" applyFont="1" applyFill="1"/>
    <xf numFmtId="200" fontId="173" fillId="88" borderId="0" xfId="0" applyNumberFormat="1" applyFont="1" applyFill="1"/>
    <xf numFmtId="200" fontId="173" fillId="42" borderId="0" xfId="0" applyNumberFormat="1" applyFont="1" applyFill="1"/>
    <xf numFmtId="0" fontId="173" fillId="42" borderId="0" xfId="0" applyFont="1" applyFill="1"/>
    <xf numFmtId="200" fontId="173" fillId="43" borderId="0" xfId="0" applyNumberFormat="1" applyFont="1" applyFill="1"/>
    <xf numFmtId="0" fontId="173" fillId="43" borderId="0" xfId="0" applyFont="1" applyFill="1"/>
    <xf numFmtId="200" fontId="173" fillId="37" borderId="0" xfId="0" applyNumberFormat="1" applyFont="1" applyFill="1"/>
    <xf numFmtId="0" fontId="173" fillId="37" borderId="0" xfId="0" applyFont="1" applyFill="1"/>
    <xf numFmtId="200" fontId="173" fillId="90" borderId="0" xfId="0" applyNumberFormat="1" applyFont="1" applyFill="1"/>
    <xf numFmtId="200" fontId="173" fillId="40" borderId="0" xfId="0" applyNumberFormat="1" applyFont="1" applyFill="1"/>
    <xf numFmtId="0" fontId="173" fillId="40" borderId="0" xfId="0" applyFont="1" applyFill="1"/>
    <xf numFmtId="200" fontId="173" fillId="89" borderId="0" xfId="0" applyNumberFormat="1" applyFont="1" applyFill="1"/>
    <xf numFmtId="0" fontId="173" fillId="89" borderId="0" xfId="0" applyFont="1" applyFill="1"/>
    <xf numFmtId="0" fontId="173" fillId="90" borderId="0" xfId="0" applyFont="1" applyFill="1"/>
    <xf numFmtId="200" fontId="173" fillId="39" borderId="0" xfId="0" applyNumberFormat="1" applyFont="1" applyFill="1"/>
    <xf numFmtId="0" fontId="173" fillId="39" borderId="0" xfId="0" applyFont="1" applyFill="1"/>
    <xf numFmtId="206" fontId="63" fillId="0" borderId="0" xfId="0" applyNumberFormat="1" applyFont="1"/>
    <xf numFmtId="200" fontId="145" fillId="91" borderId="54" xfId="0" applyNumberFormat="1" applyFont="1" applyFill="1" applyBorder="1" applyAlignment="1">
      <alignment vertical="top" wrapText="1" readingOrder="1"/>
    </xf>
    <xf numFmtId="200" fontId="173" fillId="91" borderId="0" xfId="0" applyNumberFormat="1" applyFont="1" applyFill="1"/>
    <xf numFmtId="200" fontId="173" fillId="92" borderId="0" xfId="0" applyNumberFormat="1" applyFont="1" applyFill="1"/>
    <xf numFmtId="0" fontId="173" fillId="92" borderId="0" xfId="0" applyFont="1" applyFill="1"/>
    <xf numFmtId="207" fontId="173" fillId="0" borderId="0" xfId="0" applyNumberFormat="1" applyFont="1"/>
    <xf numFmtId="205" fontId="173" fillId="40" borderId="0" xfId="0" applyNumberFormat="1" applyFont="1" applyFill="1"/>
    <xf numFmtId="3" fontId="173" fillId="40" borderId="0" xfId="0" applyNumberFormat="1" applyFont="1" applyFill="1"/>
    <xf numFmtId="200" fontId="144" fillId="85" borderId="54" xfId="0" applyNumberFormat="1" applyFont="1" applyFill="1" applyBorder="1" applyAlignment="1">
      <alignment vertical="top" wrapText="1" readingOrder="1"/>
    </xf>
    <xf numFmtId="200" fontId="144" fillId="80" borderId="54" xfId="0" applyNumberFormat="1" applyFont="1" applyFill="1" applyBorder="1" applyAlignment="1">
      <alignment vertical="top" wrapText="1" readingOrder="1"/>
    </xf>
    <xf numFmtId="49" fontId="174" fillId="0" borderId="0" xfId="0" applyNumberFormat="1" applyFont="1"/>
    <xf numFmtId="49" fontId="174" fillId="0" borderId="0" xfId="0" applyNumberFormat="1" applyFont="1" applyAlignment="1">
      <alignment horizontal="left"/>
    </xf>
    <xf numFmtId="37" fontId="174" fillId="0" borderId="0" xfId="0" applyNumberFormat="1" applyFont="1" applyAlignment="1">
      <alignment horizontal="right"/>
    </xf>
    <xf numFmtId="49" fontId="175" fillId="0" borderId="0" xfId="0" applyNumberFormat="1" applyFont="1" applyAlignment="1">
      <alignment horizontal="left"/>
    </xf>
    <xf numFmtId="37" fontId="174" fillId="0" borderId="12" xfId="0" applyNumberFormat="1" applyFont="1" applyBorder="1" applyAlignment="1">
      <alignment horizontal="right"/>
    </xf>
    <xf numFmtId="37" fontId="0" fillId="0" borderId="12" xfId="0" applyNumberFormat="1" applyBorder="1"/>
    <xf numFmtId="37" fontId="0" fillId="0" borderId="0" xfId="0" applyNumberFormat="1"/>
    <xf numFmtId="49" fontId="0" fillId="0" borderId="0" xfId="0" applyNumberFormat="1"/>
    <xf numFmtId="0" fontId="176" fillId="0" borderId="0" xfId="40" applyFont="1"/>
    <xf numFmtId="0" fontId="176" fillId="0" borderId="13" xfId="40" applyFont="1" applyBorder="1"/>
    <xf numFmtId="0" fontId="176" fillId="0" borderId="0" xfId="0" applyFont="1"/>
    <xf numFmtId="0" fontId="176" fillId="0" borderId="0" xfId="0" applyFont="1" applyAlignment="1">
      <alignment horizontal="justify" vertical="top" wrapText="1"/>
    </xf>
    <xf numFmtId="0" fontId="178" fillId="0" borderId="0" xfId="0" applyFont="1"/>
    <xf numFmtId="0" fontId="176" fillId="0" borderId="0" xfId="43" applyFont="1"/>
    <xf numFmtId="0" fontId="176" fillId="0" borderId="0" xfId="0" applyFont="1" applyAlignment="1">
      <alignment horizontal="right"/>
    </xf>
    <xf numFmtId="0" fontId="177" fillId="0" borderId="0" xfId="0" applyFont="1" applyAlignment="1">
      <alignment horizontal="right"/>
    </xf>
    <xf numFmtId="0" fontId="177" fillId="0" borderId="0" xfId="0" applyFont="1" applyAlignment="1">
      <alignment horizontal="left"/>
    </xf>
    <xf numFmtId="0" fontId="177" fillId="0" borderId="0" xfId="43" applyFont="1"/>
    <xf numFmtId="0" fontId="176" fillId="0" borderId="10" xfId="0" applyFont="1" applyBorder="1"/>
    <xf numFmtId="0" fontId="176" fillId="0" borderId="10" xfId="0" applyFont="1" applyBorder="1" applyAlignment="1">
      <alignment horizontal="right"/>
    </xf>
    <xf numFmtId="0" fontId="177" fillId="0" borderId="10" xfId="0" applyFont="1" applyBorder="1" applyAlignment="1">
      <alignment horizontal="right"/>
    </xf>
    <xf numFmtId="165" fontId="177" fillId="0" borderId="0" xfId="29" quotePrefix="1" applyNumberFormat="1" applyFont="1" applyFill="1" applyBorder="1" applyAlignment="1">
      <alignment horizontal="right"/>
    </xf>
    <xf numFmtId="0" fontId="177" fillId="0" borderId="0" xfId="1" applyFont="1"/>
    <xf numFmtId="165" fontId="176" fillId="0" borderId="0" xfId="29" quotePrefix="1" applyNumberFormat="1" applyFont="1" applyFill="1" applyBorder="1" applyAlignment="1">
      <alignment horizontal="right"/>
    </xf>
    <xf numFmtId="0" fontId="177" fillId="0" borderId="0" xfId="0" applyFont="1" applyAlignment="1">
      <alignment horizontal="center"/>
    </xf>
    <xf numFmtId="0" fontId="177" fillId="0" borderId="0" xfId="0" applyFont="1"/>
    <xf numFmtId="37" fontId="176" fillId="0" borderId="0" xfId="29" applyFont="1" applyBorder="1" applyAlignment="1">
      <alignment horizontal="right"/>
    </xf>
    <xf numFmtId="172" fontId="176" fillId="0" borderId="0" xfId="0" applyNumberFormat="1" applyFont="1"/>
    <xf numFmtId="37" fontId="177" fillId="0" borderId="0" xfId="29" applyFont="1"/>
    <xf numFmtId="37" fontId="176" fillId="0" borderId="0" xfId="43" applyNumberFormat="1" applyFont="1"/>
    <xf numFmtId="37" fontId="177" fillId="0" borderId="10" xfId="29" applyFont="1" applyBorder="1"/>
    <xf numFmtId="172" fontId="176" fillId="0" borderId="13" xfId="0" applyNumberFormat="1" applyFont="1" applyBorder="1"/>
    <xf numFmtId="172" fontId="176" fillId="0" borderId="0" xfId="43" applyNumberFormat="1" applyFont="1"/>
    <xf numFmtId="171" fontId="176" fillId="0" borderId="0" xfId="43" applyNumberFormat="1" applyFont="1"/>
    <xf numFmtId="37" fontId="177" fillId="0" borderId="0" xfId="29" applyFont="1" applyFill="1"/>
    <xf numFmtId="172" fontId="176" fillId="0" borderId="0" xfId="0" quotePrefix="1" applyNumberFormat="1" applyFont="1" applyAlignment="1">
      <alignment horizontal="right"/>
    </xf>
    <xf numFmtId="37" fontId="176" fillId="0" borderId="0" xfId="29" applyFont="1" applyFill="1" applyBorder="1"/>
    <xf numFmtId="0" fontId="176" fillId="0" borderId="0" xfId="0" applyFont="1" applyAlignment="1">
      <alignment horizontal="justify"/>
    </xf>
    <xf numFmtId="172" fontId="176" fillId="0" borderId="0" xfId="0" applyNumberFormat="1" applyFont="1" applyAlignment="1">
      <alignment horizontal="right"/>
    </xf>
    <xf numFmtId="37" fontId="177" fillId="0" borderId="11" xfId="29" applyFont="1" applyBorder="1"/>
    <xf numFmtId="165" fontId="176" fillId="0" borderId="0" xfId="0" applyNumberFormat="1" applyFont="1" applyAlignment="1">
      <alignment horizontal="right"/>
    </xf>
    <xf numFmtId="172" fontId="177" fillId="0" borderId="0" xfId="0" applyNumberFormat="1" applyFont="1"/>
    <xf numFmtId="172" fontId="177" fillId="0" borderId="0" xfId="0" quotePrefix="1" applyNumberFormat="1" applyFont="1" applyAlignment="1">
      <alignment horizontal="right"/>
    </xf>
    <xf numFmtId="0" fontId="177" fillId="0" borderId="0" xfId="0" quotePrefix="1" applyFont="1" applyAlignment="1">
      <alignment horizontal="left"/>
    </xf>
    <xf numFmtId="0" fontId="176" fillId="0" borderId="0" xfId="0" applyFont="1" applyAlignment="1">
      <alignment horizontal="left"/>
    </xf>
    <xf numFmtId="0" fontId="176" fillId="0" borderId="0" xfId="0" applyFont="1" applyAlignment="1">
      <alignment horizontal="justify" vertical="top"/>
    </xf>
    <xf numFmtId="178" fontId="176" fillId="0" borderId="0" xfId="29" applyNumberFormat="1" applyFont="1" applyFill="1" applyBorder="1"/>
    <xf numFmtId="0" fontId="176" fillId="0" borderId="0" xfId="1" applyFont="1" applyAlignment="1">
      <alignment vertical="top"/>
    </xf>
    <xf numFmtId="172" fontId="177" fillId="0" borderId="0" xfId="0" applyNumberFormat="1" applyFont="1" applyAlignment="1">
      <alignment horizontal="right"/>
    </xf>
    <xf numFmtId="37" fontId="177" fillId="0" borderId="0" xfId="29" applyFont="1" applyBorder="1"/>
    <xf numFmtId="37" fontId="176" fillId="0" borderId="0" xfId="0" applyNumberFormat="1" applyFont="1" applyAlignment="1">
      <alignment horizontal="right"/>
    </xf>
    <xf numFmtId="0" fontId="177" fillId="0" borderId="0" xfId="0" quotePrefix="1" applyFont="1" applyAlignment="1">
      <alignment horizontal="left" vertical="top"/>
    </xf>
    <xf numFmtId="37" fontId="176" fillId="0" borderId="0" xfId="29" applyFont="1" applyFill="1" applyBorder="1" applyAlignment="1">
      <alignment horizontal="right"/>
    </xf>
    <xf numFmtId="0" fontId="176" fillId="0" borderId="0" xfId="1" applyFont="1"/>
    <xf numFmtId="37" fontId="176" fillId="0" borderId="0" xfId="29" applyFont="1"/>
    <xf numFmtId="0" fontId="176" fillId="0" borderId="13" xfId="0" applyFont="1" applyBorder="1"/>
    <xf numFmtId="15" fontId="176" fillId="0" borderId="0" xfId="1" applyNumberFormat="1" applyFont="1"/>
    <xf numFmtId="0" fontId="176" fillId="0" borderId="0" xfId="1" applyFont="1" applyAlignment="1">
      <alignment wrapText="1"/>
    </xf>
    <xf numFmtId="165" fontId="176" fillId="0" borderId="11" xfId="56" applyNumberFormat="1" applyFont="1" applyBorder="1" applyAlignment="1">
      <alignment horizontal="right"/>
    </xf>
    <xf numFmtId="39" fontId="176" fillId="0" borderId="0" xfId="0" applyNumberFormat="1" applyFont="1"/>
    <xf numFmtId="167" fontId="176" fillId="0" borderId="0" xfId="43" applyNumberFormat="1" applyFont="1"/>
    <xf numFmtId="167" fontId="176" fillId="0" borderId="0" xfId="0" applyNumberFormat="1" applyFont="1" applyAlignment="1">
      <alignment horizontal="right"/>
    </xf>
    <xf numFmtId="172" fontId="176" fillId="0" borderId="0" xfId="0" applyNumberFormat="1" applyFont="1" applyAlignment="1">
      <alignment horizontal="justify" vertical="top" wrapText="1"/>
    </xf>
    <xf numFmtId="0" fontId="176" fillId="0" borderId="0" xfId="0" applyFont="1" applyAlignment="1">
      <alignment horizontal="left" vertical="top"/>
    </xf>
    <xf numFmtId="165" fontId="177" fillId="0" borderId="0" xfId="0" applyNumberFormat="1" applyFont="1" applyAlignment="1">
      <alignment horizontal="right"/>
    </xf>
    <xf numFmtId="172" fontId="177" fillId="0" borderId="0" xfId="43" applyNumberFormat="1" applyFont="1"/>
    <xf numFmtId="37" fontId="176" fillId="0" borderId="0" xfId="29" applyFont="1" applyFill="1" applyBorder="1" applyAlignment="1">
      <alignment horizontal="right" vertical="top"/>
    </xf>
    <xf numFmtId="172" fontId="176" fillId="0" borderId="0" xfId="29" applyNumberFormat="1" applyFont="1" applyFill="1" applyBorder="1" applyAlignment="1">
      <alignment horizontal="right"/>
    </xf>
    <xf numFmtId="37" fontId="177" fillId="0" borderId="0" xfId="29" applyFont="1" applyFill="1" applyBorder="1"/>
    <xf numFmtId="0" fontId="176" fillId="0" borderId="0" xfId="43" applyFont="1" applyAlignment="1">
      <alignment horizontal="center"/>
    </xf>
    <xf numFmtId="204" fontId="176" fillId="0" borderId="0" xfId="29" quotePrefix="1" applyNumberFormat="1" applyFont="1" applyFill="1" applyBorder="1" applyAlignment="1">
      <alignment horizontal="right"/>
    </xf>
    <xf numFmtId="37" fontId="176" fillId="0" borderId="0" xfId="0" applyNumberFormat="1" applyFont="1" applyAlignment="1">
      <alignment horizontal="right" vertical="top" wrapText="1"/>
    </xf>
    <xf numFmtId="0" fontId="176" fillId="0" borderId="0" xfId="1" applyFont="1" applyAlignment="1">
      <alignment horizontal="center"/>
    </xf>
    <xf numFmtId="37" fontId="176" fillId="0" borderId="0" xfId="29" applyFont="1" applyFill="1" applyBorder="1" applyAlignment="1">
      <alignment horizontal="right" vertical="top" wrapText="1"/>
    </xf>
    <xf numFmtId="9" fontId="176" fillId="0" borderId="0" xfId="47" applyFont="1" applyFill="1" applyBorder="1"/>
    <xf numFmtId="9" fontId="176" fillId="0" borderId="0" xfId="47" applyFont="1" applyFill="1"/>
    <xf numFmtId="0" fontId="177" fillId="0" borderId="0" xfId="1" applyFont="1" applyAlignment="1">
      <alignment horizontal="justify" vertical="top"/>
    </xf>
    <xf numFmtId="0" fontId="176" fillId="0" borderId="0" xfId="1" applyFont="1" applyAlignment="1">
      <alignment horizontal="justify" vertical="top"/>
    </xf>
    <xf numFmtId="165" fontId="176" fillId="0" borderId="0" xfId="43" applyNumberFormat="1" applyFont="1"/>
    <xf numFmtId="172" fontId="176" fillId="0" borderId="0" xfId="29" applyNumberFormat="1" applyFont="1" applyFill="1" applyBorder="1" applyAlignment="1"/>
    <xf numFmtId="0" fontId="177" fillId="0" borderId="0" xfId="51" applyFont="1"/>
    <xf numFmtId="37" fontId="176" fillId="0" borderId="0" xfId="29" applyFont="1" applyFill="1" applyBorder="1" applyAlignment="1">
      <alignment vertical="top"/>
    </xf>
    <xf numFmtId="0" fontId="176" fillId="0" borderId="0" xfId="40" applyFont="1" applyAlignment="1">
      <alignment vertical="top" wrapText="1"/>
    </xf>
    <xf numFmtId="0" fontId="176" fillId="0" borderId="0" xfId="51" applyFont="1" applyAlignment="1">
      <alignment vertical="top"/>
    </xf>
    <xf numFmtId="0" fontId="176" fillId="0" borderId="0" xfId="51" applyFont="1" applyAlignment="1">
      <alignment horizontal="justify" wrapText="1"/>
    </xf>
    <xf numFmtId="172" fontId="176" fillId="0" borderId="0" xfId="40" applyNumberFormat="1" applyFont="1"/>
    <xf numFmtId="0" fontId="177" fillId="0" borderId="0" xfId="0" quotePrefix="1" applyFont="1"/>
    <xf numFmtId="0" fontId="176" fillId="0" borderId="0" xfId="43" applyFont="1" applyAlignment="1">
      <alignment horizontal="right" vertical="top" wrapText="1"/>
    </xf>
    <xf numFmtId="0" fontId="176" fillId="0" borderId="0" xfId="43" applyFont="1" applyAlignment="1">
      <alignment horizontal="right"/>
    </xf>
    <xf numFmtId="0" fontId="177" fillId="0" borderId="0" xfId="43" applyFont="1" applyAlignment="1">
      <alignment horizontal="right"/>
    </xf>
    <xf numFmtId="165" fontId="176" fillId="0" borderId="0" xfId="0" quotePrefix="1" applyNumberFormat="1" applyFont="1" applyAlignment="1">
      <alignment horizontal="right" vertical="center"/>
    </xf>
    <xf numFmtId="37" fontId="176" fillId="0" borderId="0" xfId="29" quotePrefix="1" applyFont="1" applyBorder="1" applyAlignment="1">
      <alignment horizontal="right"/>
    </xf>
    <xf numFmtId="37" fontId="176" fillId="0" borderId="13" xfId="29" applyFont="1" applyBorder="1"/>
    <xf numFmtId="37" fontId="176" fillId="0" borderId="13" xfId="29" quotePrefix="1" applyFont="1" applyBorder="1" applyAlignment="1">
      <alignment horizontal="right"/>
    </xf>
    <xf numFmtId="172" fontId="177" fillId="0" borderId="13" xfId="0" quotePrefix="1" applyNumberFormat="1" applyFont="1" applyBorder="1" applyAlignment="1">
      <alignment horizontal="right"/>
    </xf>
    <xf numFmtId="37" fontId="177" fillId="0" borderId="10" xfId="1" applyNumberFormat="1" applyFont="1" applyBorder="1"/>
    <xf numFmtId="37" fontId="177" fillId="0" borderId="0" xfId="1" applyNumberFormat="1" applyFont="1"/>
    <xf numFmtId="172" fontId="176" fillId="0" borderId="0" xfId="0" quotePrefix="1" applyNumberFormat="1" applyFont="1" applyAlignment="1">
      <alignment horizontal="center"/>
    </xf>
    <xf numFmtId="41" fontId="176" fillId="0" borderId="0" xfId="59" applyNumberFormat="1" applyFont="1" applyFill="1" applyBorder="1" applyAlignment="1">
      <alignment horizontal="justify" vertical="top"/>
    </xf>
    <xf numFmtId="172" fontId="177" fillId="0" borderId="0" xfId="40" applyNumberFormat="1" applyFont="1"/>
    <xf numFmtId="41" fontId="176" fillId="0" borderId="10" xfId="59" applyNumberFormat="1" applyFont="1" applyFill="1" applyBorder="1" applyAlignment="1">
      <alignment horizontal="justify" vertical="top"/>
    </xf>
    <xf numFmtId="0" fontId="176" fillId="0" borderId="13" xfId="1" applyFont="1" applyBorder="1" applyAlignment="1">
      <alignment horizontal="right"/>
    </xf>
    <xf numFmtId="172" fontId="177" fillId="0" borderId="0" xfId="1" applyNumberFormat="1" applyFont="1"/>
    <xf numFmtId="172" fontId="176" fillId="0" borderId="10" xfId="0" quotePrefix="1" applyNumberFormat="1" applyFont="1" applyBorder="1" applyAlignment="1">
      <alignment horizontal="right"/>
    </xf>
    <xf numFmtId="41" fontId="176" fillId="0" borderId="10" xfId="59" applyNumberFormat="1" applyFont="1" applyFill="1" applyBorder="1" applyAlignment="1">
      <alignment horizontal="right" vertical="top"/>
    </xf>
    <xf numFmtId="41" fontId="176" fillId="0" borderId="0" xfId="59" applyNumberFormat="1" applyFont="1" applyFill="1" applyBorder="1" applyAlignment="1">
      <alignment horizontal="right" vertical="top"/>
    </xf>
    <xf numFmtId="41" fontId="177" fillId="0" borderId="10" xfId="59" applyNumberFormat="1" applyFont="1" applyFill="1" applyBorder="1" applyAlignment="1">
      <alignment horizontal="justify" vertical="top"/>
    </xf>
    <xf numFmtId="172" fontId="176" fillId="0" borderId="13" xfId="0" quotePrefix="1" applyNumberFormat="1" applyFont="1" applyBorder="1" applyAlignment="1">
      <alignment horizontal="right"/>
    </xf>
    <xf numFmtId="172" fontId="176" fillId="0" borderId="11" xfId="0" quotePrefix="1" applyNumberFormat="1" applyFont="1" applyBorder="1" applyAlignment="1">
      <alignment horizontal="right"/>
    </xf>
    <xf numFmtId="0" fontId="176" fillId="0" borderId="0" xfId="0" applyFont="1" applyAlignment="1">
      <alignment horizontal="center" vertical="top"/>
    </xf>
    <xf numFmtId="0" fontId="177" fillId="0" borderId="0" xfId="0" applyFont="1" applyAlignment="1">
      <alignment horizontal="justify" vertical="top"/>
    </xf>
    <xf numFmtId="0" fontId="177" fillId="0" borderId="0" xfId="0" applyFont="1" applyAlignment="1">
      <alignment horizontal="right" vertical="top"/>
    </xf>
    <xf numFmtId="172" fontId="176" fillId="0" borderId="0" xfId="0" applyNumberFormat="1" applyFont="1" applyAlignment="1">
      <alignment horizontal="justify" vertical="top"/>
    </xf>
    <xf numFmtId="0" fontId="177" fillId="0" borderId="0" xfId="0" applyFont="1" applyAlignment="1">
      <alignment vertical="top"/>
    </xf>
    <xf numFmtId="0" fontId="177" fillId="0" borderId="0" xfId="0" applyFont="1" applyAlignment="1">
      <alignment horizontal="center" vertical="top"/>
    </xf>
    <xf numFmtId="0" fontId="177" fillId="0" borderId="0" xfId="0" applyFont="1" applyAlignment="1">
      <alignment vertical="top" wrapText="1"/>
    </xf>
    <xf numFmtId="37" fontId="176" fillId="0" borderId="0" xfId="29" applyFont="1" applyBorder="1" applyAlignment="1">
      <alignment vertical="top"/>
    </xf>
    <xf numFmtId="172" fontId="176" fillId="0" borderId="0" xfId="0" applyNumberFormat="1" applyFont="1" applyAlignment="1">
      <alignment vertical="top"/>
    </xf>
    <xf numFmtId="172" fontId="176" fillId="0" borderId="0" xfId="0" applyNumberFormat="1" applyFont="1" applyAlignment="1">
      <alignment horizontal="right" vertical="top"/>
    </xf>
    <xf numFmtId="0" fontId="177" fillId="0" borderId="0" xfId="0" applyFont="1" applyAlignment="1">
      <alignment horizontal="right" wrapText="1"/>
    </xf>
    <xf numFmtId="0" fontId="176" fillId="0" borderId="0" xfId="0" applyFont="1" applyAlignment="1">
      <alignment horizontal="right" wrapText="1"/>
    </xf>
    <xf numFmtId="15" fontId="177" fillId="0" borderId="0" xfId="0" quotePrefix="1" applyNumberFormat="1" applyFont="1" applyAlignment="1">
      <alignment horizontal="left" vertical="top" wrapText="1"/>
    </xf>
    <xf numFmtId="0" fontId="177" fillId="0" borderId="0" xfId="0" applyFont="1" applyAlignment="1">
      <alignment horizontal="left" vertical="top" wrapText="1"/>
    </xf>
    <xf numFmtId="0" fontId="177" fillId="0" borderId="0" xfId="40" applyFont="1"/>
    <xf numFmtId="172" fontId="176" fillId="0" borderId="0" xfId="59" applyNumberFormat="1" applyFont="1" applyFill="1" applyBorder="1" applyAlignment="1">
      <alignment horizontal="right" vertical="top" wrapText="1"/>
    </xf>
    <xf numFmtId="0" fontId="176" fillId="0" borderId="13" xfId="0" applyFont="1" applyBorder="1" applyAlignment="1">
      <alignment vertical="top"/>
    </xf>
    <xf numFmtId="37" fontId="176" fillId="0" borderId="13" xfId="29" applyFont="1" applyFill="1" applyBorder="1" applyAlignment="1">
      <alignment horizontal="right" vertical="top"/>
    </xf>
    <xf numFmtId="172" fontId="177" fillId="0" borderId="0" xfId="59" applyNumberFormat="1" applyFont="1" applyFill="1" applyBorder="1" applyAlignment="1">
      <alignment horizontal="right" vertical="top" wrapText="1"/>
    </xf>
    <xf numFmtId="167" fontId="176" fillId="0" borderId="0" xfId="59" applyFont="1" applyFill="1" applyBorder="1" applyAlignment="1">
      <alignment horizontal="right" vertical="top" wrapText="1"/>
    </xf>
    <xf numFmtId="15" fontId="177" fillId="0" borderId="0" xfId="0" quotePrefix="1" applyNumberFormat="1" applyFont="1" applyAlignment="1">
      <alignment horizontal="left" vertical="top"/>
    </xf>
    <xf numFmtId="15" fontId="176" fillId="0" borderId="0" xfId="0" quotePrefix="1" applyNumberFormat="1" applyFont="1" applyAlignment="1">
      <alignment horizontal="left" vertical="top"/>
    </xf>
    <xf numFmtId="37" fontId="176" fillId="0" borderId="0" xfId="29" applyFont="1" applyAlignment="1">
      <alignment vertical="top"/>
    </xf>
    <xf numFmtId="0" fontId="176" fillId="0" borderId="0" xfId="0" applyFont="1" applyAlignment="1">
      <alignment vertical="top"/>
    </xf>
    <xf numFmtId="172" fontId="176" fillId="0" borderId="10" xfId="59" applyNumberFormat="1" applyFont="1" applyFill="1" applyBorder="1" applyAlignment="1">
      <alignment horizontal="right" vertical="top" wrapText="1"/>
    </xf>
    <xf numFmtId="37" fontId="176" fillId="0" borderId="0" xfId="0" applyNumberFormat="1" applyFont="1" applyAlignment="1">
      <alignment vertical="top"/>
    </xf>
    <xf numFmtId="172" fontId="176" fillId="0" borderId="11" xfId="59" applyNumberFormat="1" applyFont="1" applyFill="1" applyBorder="1" applyAlignment="1">
      <alignment horizontal="right" vertical="top" wrapText="1"/>
    </xf>
    <xf numFmtId="0" fontId="177" fillId="0" borderId="10" xfId="0" applyFont="1" applyBorder="1" applyAlignment="1">
      <alignment horizontal="left" vertical="center"/>
    </xf>
    <xf numFmtId="0" fontId="177" fillId="0" borderId="37" xfId="0" applyFont="1" applyBorder="1" applyAlignment="1">
      <alignment horizontal="right" vertical="top" wrapText="1"/>
    </xf>
    <xf numFmtId="0" fontId="176" fillId="0" borderId="13" xfId="0" applyFont="1" applyBorder="1" applyAlignment="1">
      <alignment horizontal="right" vertical="top"/>
    </xf>
    <xf numFmtId="172" fontId="177" fillId="0" borderId="11" xfId="59" applyNumberFormat="1" applyFont="1" applyFill="1" applyBorder="1" applyAlignment="1">
      <alignment horizontal="right" vertical="top" wrapText="1"/>
    </xf>
    <xf numFmtId="167" fontId="177" fillId="0" borderId="0" xfId="59" applyFont="1" applyFill="1" applyBorder="1" applyAlignment="1">
      <alignment horizontal="right" vertical="top" wrapText="1"/>
    </xf>
    <xf numFmtId="37" fontId="176" fillId="0" borderId="0" xfId="40" applyNumberFormat="1" applyFont="1"/>
    <xf numFmtId="37" fontId="176" fillId="0" borderId="10" xfId="40" applyNumberFormat="1" applyFont="1" applyBorder="1"/>
    <xf numFmtId="3" fontId="176" fillId="0" borderId="0" xfId="0" applyNumberFormat="1" applyFont="1" applyAlignment="1">
      <alignment horizontal="right" vertical="top" wrapText="1"/>
    </xf>
    <xf numFmtId="165" fontId="177" fillId="0" borderId="13" xfId="0" applyNumberFormat="1" applyFont="1" applyBorder="1" applyAlignment="1">
      <alignment horizontal="right"/>
    </xf>
    <xf numFmtId="3" fontId="176" fillId="0" borderId="13" xfId="0" applyNumberFormat="1" applyFont="1" applyBorder="1" applyAlignment="1">
      <alignment horizontal="right" vertical="top" wrapText="1"/>
    </xf>
    <xf numFmtId="0" fontId="177" fillId="0" borderId="0" xfId="0" applyFont="1" applyAlignment="1">
      <alignment horizontal="right" vertical="top" wrapText="1"/>
    </xf>
    <xf numFmtId="0" fontId="177" fillId="0" borderId="0" xfId="1" quotePrefix="1" applyFont="1" applyAlignment="1">
      <alignment horizontal="left"/>
    </xf>
    <xf numFmtId="165" fontId="176" fillId="0" borderId="0" xfId="56" applyNumberFormat="1" applyFont="1" applyAlignment="1">
      <alignment horizontal="right"/>
    </xf>
    <xf numFmtId="165" fontId="176" fillId="0" borderId="10" xfId="56" applyNumberFormat="1" applyFont="1" applyBorder="1" applyAlignment="1">
      <alignment horizontal="right"/>
    </xf>
    <xf numFmtId="165" fontId="177" fillId="0" borderId="0" xfId="56" applyNumberFormat="1" applyFont="1" applyAlignment="1">
      <alignment horizontal="right"/>
    </xf>
    <xf numFmtId="37" fontId="176" fillId="0" borderId="0" xfId="29" applyFont="1" applyBorder="1"/>
    <xf numFmtId="37" fontId="176" fillId="0" borderId="10" xfId="29" applyFont="1" applyBorder="1"/>
    <xf numFmtId="165" fontId="176" fillId="0" borderId="13" xfId="56" applyNumberFormat="1" applyFont="1" applyBorder="1" applyAlignment="1">
      <alignment horizontal="right"/>
    </xf>
    <xf numFmtId="165" fontId="176" fillId="0" borderId="0" xfId="0" applyNumberFormat="1" applyFont="1"/>
    <xf numFmtId="0" fontId="176" fillId="0" borderId="0" xfId="1" applyFont="1" applyAlignment="1">
      <alignment horizontal="justify" vertical="top" wrapText="1"/>
    </xf>
    <xf numFmtId="165" fontId="177" fillId="0" borderId="0" xfId="29" applyNumberFormat="1" applyFont="1" applyFill="1" applyBorder="1" applyAlignment="1">
      <alignment horizontal="right"/>
    </xf>
    <xf numFmtId="165" fontId="177" fillId="0" borderId="10" xfId="29" applyNumberFormat="1" applyFont="1" applyFill="1" applyBorder="1" applyAlignment="1">
      <alignment horizontal="right"/>
    </xf>
    <xf numFmtId="165" fontId="177" fillId="0" borderId="11" xfId="29" applyNumberFormat="1" applyFont="1" applyFill="1" applyBorder="1" applyAlignment="1">
      <alignment horizontal="right"/>
    </xf>
    <xf numFmtId="165" fontId="176" fillId="0" borderId="0" xfId="29" applyNumberFormat="1" applyFont="1" applyFill="1" applyBorder="1" applyAlignment="1">
      <alignment horizontal="right"/>
    </xf>
    <xf numFmtId="165" fontId="176" fillId="0" borderId="10" xfId="29" applyNumberFormat="1" applyFont="1" applyFill="1" applyBorder="1" applyAlignment="1">
      <alignment horizontal="right"/>
    </xf>
    <xf numFmtId="165" fontId="176" fillId="0" borderId="11" xfId="29" applyNumberFormat="1" applyFont="1" applyFill="1" applyBorder="1" applyAlignment="1">
      <alignment horizontal="right"/>
    </xf>
    <xf numFmtId="3" fontId="176" fillId="0" borderId="0" xfId="0" applyNumberFormat="1" applyFont="1"/>
    <xf numFmtId="37" fontId="177" fillId="0" borderId="0" xfId="29" applyFont="1" applyFill="1" applyBorder="1" applyAlignment="1">
      <alignment horizontal="right"/>
    </xf>
    <xf numFmtId="0" fontId="179" fillId="0" borderId="0" xfId="0" applyFont="1"/>
    <xf numFmtId="0" fontId="176" fillId="0" borderId="0" xfId="0" applyFont="1" applyAlignment="1">
      <alignment horizontal="left" vertical="top" wrapText="1"/>
    </xf>
    <xf numFmtId="0" fontId="176" fillId="0" borderId="0" xfId="51" applyFont="1" applyAlignment="1">
      <alignment horizontal="justify" vertical="top" wrapText="1"/>
    </xf>
    <xf numFmtId="0" fontId="177" fillId="0" borderId="0" xfId="0" applyFont="1" applyAlignment="1">
      <alignment horizontal="left" vertical="top"/>
    </xf>
    <xf numFmtId="0" fontId="180" fillId="0" borderId="0" xfId="42" applyFont="1" applyAlignment="1">
      <alignment horizontal="left" vertical="top"/>
    </xf>
    <xf numFmtId="39" fontId="182" fillId="0" borderId="0" xfId="0" applyNumberFormat="1" applyFont="1"/>
    <xf numFmtId="200" fontId="182" fillId="0" borderId="0" xfId="0" applyNumberFormat="1" applyFont="1"/>
    <xf numFmtId="200" fontId="186" fillId="32" borderId="54" xfId="0" applyNumberFormat="1" applyFont="1" applyFill="1" applyBorder="1" applyAlignment="1">
      <alignment vertical="top" wrapText="1" readingOrder="1"/>
    </xf>
    <xf numFmtId="167" fontId="182" fillId="0" borderId="0" xfId="0" applyNumberFormat="1" applyFont="1"/>
    <xf numFmtId="0" fontId="182" fillId="0" borderId="55" xfId="0" applyFont="1" applyBorder="1" applyAlignment="1">
      <alignment vertical="top" wrapText="1"/>
    </xf>
    <xf numFmtId="0" fontId="184" fillId="0" borderId="54" xfId="0" applyFont="1" applyBorder="1" applyAlignment="1">
      <alignment vertical="top" wrapText="1" readingOrder="1"/>
    </xf>
    <xf numFmtId="200" fontId="184" fillId="0" borderId="54" xfId="0" applyNumberFormat="1" applyFont="1" applyBorder="1" applyAlignment="1">
      <alignment vertical="top" wrapText="1" readingOrder="1"/>
    </xf>
    <xf numFmtId="200" fontId="184" fillId="32" borderId="54" xfId="0" applyNumberFormat="1" applyFont="1" applyFill="1" applyBorder="1" applyAlignment="1">
      <alignment vertical="top" wrapText="1" readingOrder="1"/>
    </xf>
    <xf numFmtId="0" fontId="184" fillId="32" borderId="54" xfId="0" applyFont="1" applyFill="1" applyBorder="1" applyAlignment="1">
      <alignment vertical="top" wrapText="1" readingOrder="1"/>
    </xf>
    <xf numFmtId="200" fontId="183" fillId="32" borderId="54" xfId="0" applyNumberFormat="1" applyFont="1" applyFill="1" applyBorder="1" applyAlignment="1">
      <alignment vertical="top" wrapText="1" readingOrder="1"/>
    </xf>
    <xf numFmtId="0" fontId="183" fillId="32" borderId="54" xfId="0" applyFont="1" applyFill="1" applyBorder="1" applyAlignment="1">
      <alignment vertical="top" wrapText="1" readingOrder="1"/>
    </xf>
    <xf numFmtId="0" fontId="182" fillId="0" borderId="0" xfId="0" applyFont="1"/>
    <xf numFmtId="0" fontId="183" fillId="0" borderId="54" xfId="0" applyFont="1" applyBorder="1" applyAlignment="1">
      <alignment vertical="top" wrapText="1" readingOrder="1"/>
    </xf>
    <xf numFmtId="200" fontId="183" fillId="0" borderId="54" xfId="0" applyNumberFormat="1" applyFont="1" applyBorder="1" applyAlignment="1">
      <alignment vertical="top" wrapText="1" readingOrder="1"/>
    </xf>
    <xf numFmtId="200" fontId="186" fillId="0" borderId="54" xfId="0" applyNumberFormat="1" applyFont="1" applyBorder="1" applyAlignment="1">
      <alignment vertical="top" wrapText="1" readingOrder="1"/>
    </xf>
    <xf numFmtId="0" fontId="182" fillId="0" borderId="55" xfId="0" applyFont="1" applyBorder="1" applyAlignment="1">
      <alignment vertical="top" wrapText="1" readingOrder="1"/>
    </xf>
    <xf numFmtId="167" fontId="176" fillId="0" borderId="0" xfId="40" applyNumberFormat="1" applyFont="1"/>
    <xf numFmtId="37" fontId="176" fillId="0" borderId="0" xfId="29" applyFont="1" applyFill="1" applyBorder="1" applyAlignment="1">
      <alignment horizontal="left" wrapText="1"/>
    </xf>
    <xf numFmtId="37" fontId="176" fillId="0" borderId="0" xfId="29" applyFont="1" applyFill="1" applyBorder="1" applyAlignment="1">
      <alignment horizontal="justify" vertical="top"/>
    </xf>
    <xf numFmtId="37" fontId="176" fillId="0" borderId="0" xfId="29" quotePrefix="1" applyFont="1" applyFill="1" applyBorder="1" applyAlignment="1">
      <alignment horizontal="right"/>
    </xf>
    <xf numFmtId="0" fontId="177" fillId="0" borderId="0" xfId="523" applyFont="1" applyAlignment="1">
      <alignment horizontal="right"/>
    </xf>
    <xf numFmtId="0" fontId="176" fillId="0" borderId="0" xfId="523" applyFont="1"/>
    <xf numFmtId="0" fontId="177" fillId="0" borderId="0" xfId="523" applyFont="1"/>
    <xf numFmtId="0" fontId="176" fillId="0" borderId="0" xfId="523" applyFont="1" applyAlignment="1">
      <alignment horizontal="left" vertical="center"/>
    </xf>
    <xf numFmtId="0" fontId="176" fillId="0" borderId="0" xfId="523" applyFont="1" applyAlignment="1">
      <alignment wrapText="1"/>
    </xf>
    <xf numFmtId="0" fontId="176" fillId="0" borderId="13" xfId="523" applyFont="1" applyBorder="1" applyAlignment="1">
      <alignment wrapText="1"/>
    </xf>
    <xf numFmtId="37" fontId="176" fillId="0" borderId="11" xfId="29" applyFont="1" applyBorder="1"/>
    <xf numFmtId="170" fontId="176" fillId="0" borderId="0" xfId="40" applyNumberFormat="1" applyFont="1"/>
    <xf numFmtId="165" fontId="177" fillId="0" borderId="10" xfId="0" quotePrefix="1" applyNumberFormat="1" applyFont="1" applyBorder="1" applyAlignment="1">
      <alignment horizontal="right" vertical="center"/>
    </xf>
    <xf numFmtId="37" fontId="177" fillId="0" borderId="11" xfId="1" applyNumberFormat="1" applyFont="1" applyBorder="1"/>
    <xf numFmtId="15" fontId="176" fillId="0" borderId="0" xfId="0" quotePrefix="1" applyNumberFormat="1" applyFont="1" applyAlignment="1">
      <alignment horizontal="left" vertical="top" wrapText="1"/>
    </xf>
    <xf numFmtId="0" fontId="176" fillId="0" borderId="0" xfId="0" applyFont="1" applyAlignment="1">
      <alignment horizontal="right" vertical="top"/>
    </xf>
    <xf numFmtId="0" fontId="177" fillId="0" borderId="0" xfId="0" applyFont="1" applyAlignment="1">
      <alignment horizontal="justify" vertical="top" wrapText="1"/>
    </xf>
    <xf numFmtId="172" fontId="177" fillId="0" borderId="11" xfId="0" applyNumberFormat="1" applyFont="1" applyBorder="1" applyAlignment="1">
      <alignment horizontal="right"/>
    </xf>
    <xf numFmtId="9" fontId="176" fillId="0" borderId="0" xfId="47" applyFont="1" applyAlignment="1"/>
    <xf numFmtId="37" fontId="176" fillId="0" borderId="11" xfId="29" applyFont="1" applyFill="1" applyBorder="1"/>
    <xf numFmtId="37" fontId="176" fillId="0" borderId="10" xfId="0" applyNumberFormat="1" applyFont="1" applyBorder="1"/>
    <xf numFmtId="0" fontId="0" fillId="0" borderId="0" xfId="0" applyAlignment="1">
      <alignment vertical="top"/>
    </xf>
    <xf numFmtId="0" fontId="0" fillId="32" borderId="0" xfId="0" applyFill="1" applyAlignment="1">
      <alignment vertical="top"/>
    </xf>
    <xf numFmtId="14" fontId="0" fillId="0" borderId="0" xfId="0" applyNumberFormat="1" applyAlignment="1">
      <alignment vertical="top"/>
    </xf>
    <xf numFmtId="4" fontId="0" fillId="0" borderId="0" xfId="0" applyNumberFormat="1" applyAlignment="1">
      <alignment vertical="top"/>
    </xf>
    <xf numFmtId="4" fontId="0" fillId="32" borderId="0" xfId="0" applyNumberFormat="1" applyFill="1" applyAlignment="1">
      <alignment vertical="top"/>
    </xf>
    <xf numFmtId="43" fontId="0" fillId="0" borderId="0" xfId="0" applyNumberFormat="1" applyAlignment="1">
      <alignment vertical="top"/>
    </xf>
    <xf numFmtId="43" fontId="16" fillId="0" borderId="0" xfId="0" applyNumberFormat="1" applyFont="1" applyAlignment="1">
      <alignment vertical="top"/>
    </xf>
    <xf numFmtId="0" fontId="94" fillId="0" borderId="0" xfId="0" applyFont="1" applyAlignment="1">
      <alignment vertical="top"/>
    </xf>
    <xf numFmtId="165" fontId="177" fillId="0" borderId="11" xfId="56" applyNumberFormat="1" applyFont="1" applyBorder="1" applyAlignment="1">
      <alignment horizontal="right"/>
    </xf>
    <xf numFmtId="37" fontId="0" fillId="0" borderId="0" xfId="0" applyNumberFormat="1" applyAlignment="1">
      <alignment vertical="top"/>
    </xf>
    <xf numFmtId="37" fontId="0" fillId="0" borderId="0" xfId="29" applyFont="1" applyAlignment="1">
      <alignment vertical="top"/>
    </xf>
    <xf numFmtId="43" fontId="0" fillId="32" borderId="0" xfId="0" applyNumberFormat="1" applyFill="1" applyAlignment="1">
      <alignment vertical="top"/>
    </xf>
    <xf numFmtId="0" fontId="94" fillId="32" borderId="0" xfId="0" applyFont="1" applyFill="1" applyAlignment="1">
      <alignment vertical="top"/>
    </xf>
    <xf numFmtId="37" fontId="0" fillId="32" borderId="0" xfId="29" applyFont="1" applyFill="1" applyAlignment="1">
      <alignment vertical="top"/>
    </xf>
    <xf numFmtId="0" fontId="0" fillId="34" borderId="0" xfId="0" applyFill="1" applyAlignment="1">
      <alignment vertical="top"/>
    </xf>
    <xf numFmtId="0" fontId="16" fillId="34" borderId="0" xfId="0" applyFont="1" applyFill="1" applyAlignment="1">
      <alignment vertical="top"/>
    </xf>
    <xf numFmtId="37" fontId="0" fillId="34" borderId="0" xfId="29" applyFont="1" applyFill="1" applyAlignment="1">
      <alignment vertical="top"/>
    </xf>
    <xf numFmtId="4" fontId="0" fillId="34" borderId="0" xfId="0" applyNumberFormat="1" applyFill="1" applyAlignment="1">
      <alignment vertical="top"/>
    </xf>
    <xf numFmtId="172" fontId="176" fillId="0" borderId="10" xfId="43" applyNumberFormat="1" applyFont="1" applyBorder="1"/>
    <xf numFmtId="0" fontId="176" fillId="0" borderId="0" xfId="1" applyFont="1" applyAlignment="1">
      <alignment horizontal="left" vertical="top"/>
    </xf>
    <xf numFmtId="0" fontId="176" fillId="0" borderId="0" xfId="51" applyFont="1" applyAlignment="1">
      <alignment horizontal="justify" vertical="top"/>
    </xf>
    <xf numFmtId="198" fontId="176" fillId="0" borderId="0" xfId="29" applyNumberFormat="1" applyFont="1" applyFill="1" applyBorder="1"/>
    <xf numFmtId="165" fontId="177" fillId="0" borderId="10" xfId="56" applyNumberFormat="1" applyFont="1" applyBorder="1" applyAlignment="1">
      <alignment horizontal="right"/>
    </xf>
    <xf numFmtId="165" fontId="177" fillId="0" borderId="0" xfId="43" applyNumberFormat="1" applyFont="1"/>
    <xf numFmtId="172" fontId="176" fillId="0" borderId="0" xfId="523" applyNumberFormat="1" applyFont="1"/>
    <xf numFmtId="200" fontId="187" fillId="0" borderId="0" xfId="0" applyNumberFormat="1" applyFont="1" applyAlignment="1">
      <alignment vertical="top" wrapText="1" readingOrder="1"/>
    </xf>
    <xf numFmtId="0" fontId="176" fillId="0" borderId="13" xfId="1" applyFont="1" applyBorder="1"/>
    <xf numFmtId="9" fontId="176" fillId="0" borderId="11" xfId="47" applyFont="1" applyFill="1" applyBorder="1"/>
    <xf numFmtId="208" fontId="177" fillId="0" borderId="0" xfId="29" applyNumberFormat="1" applyFont="1" applyFill="1" applyBorder="1" applyAlignment="1">
      <alignment horizontal="right"/>
    </xf>
    <xf numFmtId="0" fontId="177" fillId="0" borderId="13" xfId="0" applyFont="1" applyBorder="1"/>
    <xf numFmtId="37" fontId="177" fillId="0" borderId="10" xfId="0" applyNumberFormat="1" applyFont="1" applyBorder="1"/>
    <xf numFmtId="37" fontId="177" fillId="0" borderId="0" xfId="0" applyNumberFormat="1" applyFont="1"/>
    <xf numFmtId="3" fontId="177" fillId="0" borderId="0" xfId="0" applyNumberFormat="1" applyFont="1"/>
    <xf numFmtId="172" fontId="177" fillId="0" borderId="10" xfId="0" quotePrefix="1" applyNumberFormat="1" applyFont="1" applyBorder="1" applyAlignment="1">
      <alignment horizontal="right"/>
    </xf>
    <xf numFmtId="165" fontId="177" fillId="0" borderId="13" xfId="56" applyNumberFormat="1" applyFont="1" applyBorder="1" applyAlignment="1">
      <alignment horizontal="right"/>
    </xf>
    <xf numFmtId="37" fontId="177" fillId="0" borderId="11" xfId="29" applyFont="1" applyFill="1" applyBorder="1"/>
    <xf numFmtId="9" fontId="177" fillId="0" borderId="11" xfId="47" applyFont="1" applyFill="1" applyBorder="1"/>
    <xf numFmtId="37" fontId="177" fillId="0" borderId="13" xfId="29" applyFont="1" applyFill="1" applyBorder="1" applyAlignment="1"/>
    <xf numFmtId="172" fontId="177" fillId="0" borderId="11" xfId="0" quotePrefix="1" applyNumberFormat="1" applyFont="1" applyBorder="1" applyAlignment="1">
      <alignment horizontal="right"/>
    </xf>
    <xf numFmtId="165" fontId="176" fillId="0" borderId="0" xfId="0" applyNumberFormat="1" applyFont="1" applyAlignment="1">
      <alignment horizontal="left" vertical="top"/>
    </xf>
    <xf numFmtId="0" fontId="176" fillId="0" borderId="0" xfId="1" applyFont="1" applyAlignment="1">
      <alignment horizontal="center" vertical="center" wrapText="1"/>
    </xf>
    <xf numFmtId="37" fontId="176" fillId="0" borderId="0" xfId="29" applyFont="1" applyFill="1" applyBorder="1" applyAlignment="1">
      <alignment horizontal="center" vertical="center" wrapText="1"/>
    </xf>
    <xf numFmtId="167" fontId="176" fillId="0" borderId="0" xfId="0" applyNumberFormat="1" applyFont="1"/>
    <xf numFmtId="0" fontId="177" fillId="0" borderId="0" xfId="0" applyFont="1" applyAlignment="1">
      <alignment horizontal="justify"/>
    </xf>
    <xf numFmtId="0" fontId="176" fillId="0" borderId="0" xfId="43" applyFont="1" applyAlignment="1">
      <alignment horizontal="justify"/>
    </xf>
    <xf numFmtId="172" fontId="177" fillId="0" borderId="0" xfId="0" applyNumberFormat="1" applyFont="1" applyAlignment="1">
      <alignment horizontal="justify"/>
    </xf>
    <xf numFmtId="37" fontId="176" fillId="0" borderId="0" xfId="29" applyFont="1" applyBorder="1" applyAlignment="1">
      <alignment horizontal="justify"/>
    </xf>
    <xf numFmtId="172" fontId="176" fillId="0" borderId="0" xfId="0" applyNumberFormat="1" applyFont="1" applyAlignment="1">
      <alignment horizontal="justify"/>
    </xf>
    <xf numFmtId="172" fontId="176" fillId="0" borderId="0" xfId="43" applyNumberFormat="1" applyFont="1" applyAlignment="1">
      <alignment vertical="top"/>
    </xf>
    <xf numFmtId="43" fontId="176" fillId="0" borderId="0" xfId="0" applyNumberFormat="1" applyFont="1" applyAlignment="1">
      <alignment vertical="top"/>
    </xf>
    <xf numFmtId="165" fontId="176" fillId="0" borderId="0" xfId="0" applyNumberFormat="1" applyFont="1" applyAlignment="1">
      <alignment wrapText="1"/>
    </xf>
    <xf numFmtId="208" fontId="177" fillId="0" borderId="10" xfId="29" applyNumberFormat="1" applyFont="1" applyFill="1" applyBorder="1" applyAlignment="1">
      <alignment horizontal="right"/>
    </xf>
    <xf numFmtId="0" fontId="16" fillId="0" borderId="0" xfId="0" applyFont="1" applyAlignment="1">
      <alignment wrapText="1"/>
    </xf>
    <xf numFmtId="0" fontId="176" fillId="0" borderId="0" xfId="523" applyFont="1" applyAlignment="1">
      <alignment horizontal="justify" vertical="top" wrapText="1"/>
    </xf>
    <xf numFmtId="0" fontId="176" fillId="0" borderId="0" xfId="0" applyFont="1" applyAlignment="1">
      <alignment horizontal="left" wrapText="1"/>
    </xf>
    <xf numFmtId="0" fontId="177" fillId="0" borderId="0" xfId="43" applyFont="1" applyAlignment="1">
      <alignment horizontal="left"/>
    </xf>
    <xf numFmtId="0" fontId="176" fillId="0" borderId="0" xfId="0" quotePrefix="1" applyFont="1" applyAlignment="1">
      <alignment horizontal="justify" vertical="top"/>
    </xf>
    <xf numFmtId="0" fontId="176" fillId="0" borderId="0" xfId="0" applyFont="1" applyAlignment="1">
      <alignment wrapText="1"/>
    </xf>
    <xf numFmtId="0" fontId="176" fillId="0" borderId="14" xfId="1" applyFont="1" applyBorder="1" applyAlignment="1">
      <alignment horizontal="center" vertical="top" wrapText="1"/>
    </xf>
    <xf numFmtId="0" fontId="177" fillId="93" borderId="14" xfId="1" applyFont="1" applyFill="1" applyBorder="1" applyAlignment="1">
      <alignment horizontal="center" vertical="top" wrapText="1"/>
    </xf>
    <xf numFmtId="0" fontId="177" fillId="0" borderId="0" xfId="0" applyFont="1" applyAlignment="1">
      <alignment horizontal="left" wrapText="1"/>
    </xf>
    <xf numFmtId="0" fontId="177" fillId="0" borderId="0" xfId="43" applyFont="1" applyAlignment="1">
      <alignment horizontal="justify" vertical="top"/>
    </xf>
    <xf numFmtId="37" fontId="176" fillId="0" borderId="14" xfId="29" applyFont="1" applyFill="1" applyBorder="1" applyAlignment="1">
      <alignment horizontal="left" vertical="top" wrapText="1"/>
    </xf>
    <xf numFmtId="165" fontId="176" fillId="0" borderId="0" xfId="0" applyNumberFormat="1" applyFont="1" applyAlignment="1">
      <alignment horizontal="justify" vertical="top" wrapText="1"/>
    </xf>
    <xf numFmtId="0" fontId="190" fillId="0" borderId="0" xfId="0" applyFont="1"/>
    <xf numFmtId="0" fontId="190" fillId="0" borderId="0" xfId="0" applyFont="1" applyAlignment="1">
      <alignment horizontal="justify" vertical="top" wrapText="1"/>
    </xf>
    <xf numFmtId="0" fontId="192" fillId="0" borderId="0" xfId="0" applyFont="1"/>
    <xf numFmtId="37" fontId="192" fillId="0" borderId="0" xfId="29" applyFont="1" applyFill="1" applyBorder="1"/>
    <xf numFmtId="37" fontId="192" fillId="0" borderId="0" xfId="29" applyFont="1" applyBorder="1"/>
    <xf numFmtId="165" fontId="190" fillId="0" borderId="10" xfId="56" applyNumberFormat="1" applyFont="1" applyBorder="1" applyAlignment="1">
      <alignment horizontal="right"/>
    </xf>
    <xf numFmtId="37" fontId="190" fillId="0" borderId="0" xfId="29" applyFont="1" applyFill="1" applyBorder="1"/>
    <xf numFmtId="172" fontId="192" fillId="0" borderId="0" xfId="29" applyNumberFormat="1" applyFont="1" applyFill="1" applyBorder="1" applyAlignment="1">
      <alignment horizontal="right"/>
    </xf>
    <xf numFmtId="0" fontId="192" fillId="0" borderId="0" xfId="0" applyFont="1" applyAlignment="1">
      <alignment horizontal="center"/>
    </xf>
    <xf numFmtId="165" fontId="192" fillId="0" borderId="0" xfId="29" applyNumberFormat="1" applyFont="1" applyFill="1" applyBorder="1" applyAlignment="1">
      <alignment horizontal="right"/>
    </xf>
    <xf numFmtId="0" fontId="192" fillId="0" borderId="13" xfId="0" applyFont="1" applyBorder="1"/>
    <xf numFmtId="172" fontId="192" fillId="0" borderId="0" xfId="0" applyNumberFormat="1" applyFont="1"/>
    <xf numFmtId="165" fontId="192" fillId="0" borderId="11" xfId="29" applyNumberFormat="1" applyFont="1" applyFill="1" applyBorder="1" applyAlignment="1">
      <alignment horizontal="right"/>
    </xf>
    <xf numFmtId="165" fontId="192" fillId="0" borderId="10" xfId="29" applyNumberFormat="1" applyFont="1" applyFill="1" applyBorder="1" applyAlignment="1">
      <alignment horizontal="right"/>
    </xf>
    <xf numFmtId="172" fontId="190" fillId="0" borderId="0" xfId="0" applyNumberFormat="1" applyFont="1" applyAlignment="1">
      <alignment horizontal="justify" vertical="top" wrapText="1"/>
    </xf>
    <xf numFmtId="172" fontId="190" fillId="0" borderId="10" xfId="0" quotePrefix="1" applyNumberFormat="1" applyFont="1" applyBorder="1" applyAlignment="1">
      <alignment horizontal="right"/>
    </xf>
    <xf numFmtId="172" fontId="192" fillId="0" borderId="0" xfId="29" applyNumberFormat="1" applyFont="1" applyFill="1" applyBorder="1"/>
    <xf numFmtId="172" fontId="192" fillId="0" borderId="10" xfId="29" applyNumberFormat="1" applyFont="1" applyFill="1" applyBorder="1"/>
    <xf numFmtId="172" fontId="192" fillId="0" borderId="10" xfId="0" applyNumberFormat="1" applyFont="1" applyBorder="1"/>
    <xf numFmtId="172" fontId="192" fillId="0" borderId="11" xfId="0" applyNumberFormat="1" applyFont="1" applyBorder="1"/>
    <xf numFmtId="165" fontId="192" fillId="0" borderId="11" xfId="29" applyNumberFormat="1" applyFont="1" applyBorder="1"/>
    <xf numFmtId="172" fontId="192" fillId="0" borderId="11" xfId="29" applyNumberFormat="1" applyFont="1" applyFill="1" applyBorder="1" applyAlignment="1">
      <alignment horizontal="right"/>
    </xf>
    <xf numFmtId="0" fontId="190" fillId="0" borderId="40" xfId="0" applyFont="1" applyBorder="1"/>
    <xf numFmtId="0" fontId="190" fillId="0" borderId="61" xfId="0" applyFont="1" applyBorder="1" applyAlignment="1">
      <alignment horizontal="right"/>
    </xf>
    <xf numFmtId="172" fontId="190" fillId="0" borderId="61" xfId="0" quotePrefix="1" applyNumberFormat="1" applyFont="1" applyBorder="1" applyAlignment="1">
      <alignment horizontal="right"/>
    </xf>
    <xf numFmtId="0" fontId="190" fillId="0" borderId="61" xfId="0" applyFont="1" applyBorder="1"/>
    <xf numFmtId="172" fontId="190" fillId="0" borderId="61" xfId="0" applyNumberFormat="1" applyFont="1" applyBorder="1" applyAlignment="1">
      <alignment horizontal="right"/>
    </xf>
    <xf numFmtId="172" fontId="192" fillId="0" borderId="11" xfId="29" applyNumberFormat="1" applyFont="1" applyFill="1" applyBorder="1"/>
    <xf numFmtId="172" fontId="192" fillId="0" borderId="10" xfId="29" applyNumberFormat="1" applyFont="1" applyBorder="1"/>
    <xf numFmtId="172" fontId="192" fillId="0" borderId="0" xfId="29" applyNumberFormat="1" applyFont="1" applyFill="1" applyBorder="1" applyAlignment="1">
      <alignment horizontal="center"/>
    </xf>
    <xf numFmtId="0" fontId="192" fillId="0" borderId="40" xfId="0" applyFont="1" applyBorder="1"/>
    <xf numFmtId="172" fontId="192" fillId="0" borderId="0" xfId="29" applyNumberFormat="1" applyFont="1" applyFill="1" applyBorder="1" applyAlignment="1">
      <alignment horizontal="justify" vertical="top"/>
    </xf>
    <xf numFmtId="172" fontId="190" fillId="0" borderId="10" xfId="56" applyNumberFormat="1" applyFont="1" applyBorder="1" applyAlignment="1">
      <alignment horizontal="right"/>
    </xf>
    <xf numFmtId="165" fontId="192" fillId="0" borderId="12" xfId="29" applyNumberFormat="1" applyFont="1" applyFill="1" applyBorder="1" applyAlignment="1">
      <alignment horizontal="right"/>
    </xf>
    <xf numFmtId="172" fontId="192" fillId="0" borderId="12" xfId="29" applyNumberFormat="1" applyFont="1" applyFill="1" applyBorder="1" applyAlignment="1">
      <alignment horizontal="right"/>
    </xf>
    <xf numFmtId="0" fontId="191" fillId="0" borderId="0" xfId="0" applyFont="1" applyBorder="1"/>
    <xf numFmtId="0" fontId="190" fillId="0" borderId="0" xfId="43" applyFont="1" applyBorder="1"/>
    <xf numFmtId="0" fontId="190" fillId="0" borderId="0" xfId="0" applyFont="1" applyBorder="1"/>
    <xf numFmtId="0" fontId="192" fillId="0" borderId="0" xfId="0" applyFont="1" applyBorder="1"/>
    <xf numFmtId="0" fontId="192" fillId="0" borderId="0" xfId="0" applyFont="1" applyBorder="1" applyAlignment="1">
      <alignment horizontal="center"/>
    </xf>
    <xf numFmtId="172" fontId="190" fillId="0" borderId="0" xfId="0" quotePrefix="1" applyNumberFormat="1" applyFont="1" applyBorder="1" applyAlignment="1">
      <alignment horizontal="right"/>
    </xf>
    <xf numFmtId="172" fontId="192" fillId="0" borderId="0" xfId="0" quotePrefix="1" applyNumberFormat="1" applyFont="1" applyBorder="1" applyAlignment="1">
      <alignment horizontal="right"/>
    </xf>
    <xf numFmtId="0" fontId="190" fillId="0" borderId="0" xfId="0" applyFont="1" applyBorder="1" applyAlignment="1">
      <alignment horizontal="center"/>
    </xf>
    <xf numFmtId="0" fontId="195" fillId="0" borderId="0" xfId="0" applyFont="1" applyBorder="1" applyAlignment="1">
      <alignment horizontal="center"/>
    </xf>
    <xf numFmtId="0" fontId="192" fillId="0" borderId="0" xfId="43" applyFont="1" applyBorder="1"/>
    <xf numFmtId="37" fontId="192" fillId="0" borderId="0" xfId="43" applyNumberFormat="1" applyFont="1" applyBorder="1"/>
    <xf numFmtId="165" fontId="190" fillId="0" borderId="0" xfId="56" applyNumberFormat="1" applyFont="1" applyBorder="1" applyAlignment="1">
      <alignment horizontal="right"/>
    </xf>
    <xf numFmtId="172" fontId="192" fillId="0" borderId="0" xfId="0" applyNumberFormat="1" applyFont="1" applyBorder="1"/>
    <xf numFmtId="0" fontId="192" fillId="0" borderId="0" xfId="0" applyFont="1" applyBorder="1" applyAlignment="1">
      <alignment horizontal="justify" vertical="top"/>
    </xf>
    <xf numFmtId="0" fontId="190" fillId="0" borderId="0" xfId="0" applyFont="1" applyBorder="1" applyAlignment="1">
      <alignment horizontal="justify" vertical="top"/>
    </xf>
    <xf numFmtId="0" fontId="192" fillId="0" borderId="0" xfId="0" applyFont="1" applyBorder="1" applyAlignment="1">
      <alignment wrapText="1"/>
    </xf>
    <xf numFmtId="0" fontId="190" fillId="0" borderId="0" xfId="0" applyFont="1" applyBorder="1" applyAlignment="1">
      <alignment horizontal="center" wrapText="1"/>
    </xf>
    <xf numFmtId="172" fontId="190" fillId="0" borderId="0" xfId="0" applyNumberFormat="1" applyFont="1" applyBorder="1" applyAlignment="1">
      <alignment horizontal="center" wrapText="1"/>
    </xf>
    <xf numFmtId="172" fontId="192" fillId="0" borderId="0" xfId="0" applyNumberFormat="1" applyFont="1" applyBorder="1" applyAlignment="1">
      <alignment horizontal="right"/>
    </xf>
    <xf numFmtId="172" fontId="190" fillId="0" borderId="0" xfId="0" applyNumberFormat="1" applyFont="1" applyBorder="1"/>
    <xf numFmtId="172" fontId="192" fillId="0" borderId="0" xfId="29" quotePrefix="1" applyNumberFormat="1" applyFont="1" applyFill="1" applyBorder="1" applyAlignment="1">
      <alignment horizontal="center"/>
    </xf>
    <xf numFmtId="0" fontId="192" fillId="0" borderId="0" xfId="1" applyFont="1" applyBorder="1" applyAlignment="1">
      <alignment horizontal="center"/>
    </xf>
    <xf numFmtId="0" fontId="0" fillId="0" borderId="0" xfId="0" applyBorder="1"/>
    <xf numFmtId="172" fontId="190" fillId="0" borderId="0" xfId="0" applyNumberFormat="1" applyFont="1" applyBorder="1" applyAlignment="1">
      <alignment horizontal="center"/>
    </xf>
    <xf numFmtId="0" fontId="190" fillId="0" borderId="0" xfId="523" applyFont="1" applyBorder="1" applyAlignment="1">
      <alignment horizontal="center"/>
    </xf>
    <xf numFmtId="0" fontId="190" fillId="0" borderId="0" xfId="523" applyFont="1" applyBorder="1"/>
    <xf numFmtId="172" fontId="192" fillId="0" borderId="0" xfId="29" applyNumberFormat="1" applyFont="1" applyBorder="1"/>
    <xf numFmtId="0" fontId="192" fillId="0" borderId="0" xfId="1" applyFont="1" applyBorder="1" applyAlignment="1">
      <alignment vertical="top" wrapText="1"/>
    </xf>
    <xf numFmtId="172" fontId="190" fillId="0" borderId="0" xfId="523" applyNumberFormat="1" applyFont="1" applyBorder="1"/>
    <xf numFmtId="0" fontId="0" fillId="0" borderId="58" xfId="0" applyBorder="1"/>
    <xf numFmtId="0" fontId="192" fillId="0" borderId="40" xfId="43" applyFont="1" applyBorder="1"/>
    <xf numFmtId="0" fontId="192" fillId="0" borderId="61" xfId="0" applyFont="1" applyBorder="1"/>
    <xf numFmtId="172" fontId="190" fillId="0" borderId="61" xfId="29" applyNumberFormat="1" applyFont="1" applyFill="1" applyBorder="1" applyAlignment="1">
      <alignment horizontal="right"/>
    </xf>
    <xf numFmtId="167" fontId="190" fillId="0" borderId="61" xfId="29" quotePrefix="1" applyNumberFormat="1" applyFont="1" applyFill="1" applyBorder="1" applyAlignment="1">
      <alignment horizontal="right"/>
    </xf>
    <xf numFmtId="172" fontId="190" fillId="0" borderId="61" xfId="29" applyNumberFormat="1" applyFont="1" applyFill="1" applyBorder="1"/>
    <xf numFmtId="0" fontId="190" fillId="0" borderId="40" xfId="523" applyFont="1" applyBorder="1"/>
    <xf numFmtId="165" fontId="190" fillId="0" borderId="61" xfId="523" applyNumberFormat="1" applyFont="1" applyBorder="1"/>
    <xf numFmtId="172" fontId="190" fillId="0" borderId="68" xfId="29" applyNumberFormat="1" applyFont="1" applyFill="1" applyBorder="1"/>
    <xf numFmtId="172" fontId="190" fillId="0" borderId="69" xfId="29" applyNumberFormat="1" applyFont="1" applyFill="1" applyBorder="1"/>
    <xf numFmtId="172" fontId="190" fillId="0" borderId="70" xfId="0" applyNumberFormat="1" applyFont="1" applyBorder="1" applyAlignment="1">
      <alignment horizontal="right"/>
    </xf>
    <xf numFmtId="37" fontId="194" fillId="0" borderId="62" xfId="1" applyNumberFormat="1" applyFont="1" applyBorder="1" applyAlignment="1">
      <alignment vertical="top" wrapText="1"/>
    </xf>
    <xf numFmtId="37" fontId="194" fillId="0" borderId="41" xfId="1" applyNumberFormat="1" applyFont="1" applyBorder="1" applyAlignment="1">
      <alignment vertical="top" wrapText="1"/>
    </xf>
    <xf numFmtId="0" fontId="190" fillId="0" borderId="41" xfId="0" applyFont="1" applyBorder="1" applyAlignment="1">
      <alignment horizontal="center"/>
    </xf>
    <xf numFmtId="172" fontId="192" fillId="0" borderId="41" xfId="29" applyNumberFormat="1" applyFont="1" applyFill="1" applyBorder="1" applyAlignment="1">
      <alignment horizontal="center"/>
    </xf>
    <xf numFmtId="172" fontId="190" fillId="0" borderId="63" xfId="0" applyNumberFormat="1" applyFont="1" applyBorder="1" applyAlignment="1">
      <alignment horizontal="center"/>
    </xf>
    <xf numFmtId="0" fontId="47" fillId="0" borderId="60" xfId="0" applyFont="1" applyBorder="1" applyAlignment="1">
      <alignment horizontal="right"/>
    </xf>
    <xf numFmtId="0" fontId="190" fillId="0" borderId="0" xfId="610" applyFont="1" applyBorder="1" applyAlignment="1">
      <alignment vertical="top" wrapText="1"/>
    </xf>
    <xf numFmtId="0" fontId="190" fillId="0" borderId="40" xfId="43" applyFont="1" applyBorder="1"/>
    <xf numFmtId="172" fontId="190" fillId="0" borderId="61" xfId="29" quotePrefix="1" applyNumberFormat="1" applyFont="1" applyFill="1" applyBorder="1" applyAlignment="1">
      <alignment horizontal="center"/>
    </xf>
    <xf numFmtId="172" fontId="190" fillId="0" borderId="61" xfId="29" applyNumberFormat="1" applyFont="1" applyFill="1" applyBorder="1" applyAlignment="1">
      <alignment horizontal="center"/>
    </xf>
    <xf numFmtId="0" fontId="190" fillId="0" borderId="61" xfId="43" applyFont="1" applyBorder="1"/>
    <xf numFmtId="165" fontId="190" fillId="0" borderId="61" xfId="43" applyNumberFormat="1" applyFont="1" applyBorder="1"/>
    <xf numFmtId="172" fontId="190" fillId="0" borderId="61" xfId="43" applyNumberFormat="1" applyFont="1" applyBorder="1"/>
    <xf numFmtId="0" fontId="192" fillId="0" borderId="40" xfId="0" applyFont="1" applyBorder="1" applyAlignment="1">
      <alignment horizontal="justify"/>
    </xf>
    <xf numFmtId="165" fontId="190" fillId="0" borderId="61" xfId="56" applyNumberFormat="1" applyFont="1" applyBorder="1" applyAlignment="1">
      <alignment horizontal="right"/>
    </xf>
    <xf numFmtId="172" fontId="190" fillId="0" borderId="40" xfId="610" applyNumberFormat="1" applyFont="1" applyBorder="1" applyAlignment="1">
      <alignment vertical="top" wrapText="1"/>
    </xf>
    <xf numFmtId="0" fontId="190" fillId="0" borderId="61" xfId="610" applyFont="1" applyBorder="1" applyAlignment="1">
      <alignment vertical="top" wrapText="1"/>
    </xf>
    <xf numFmtId="0" fontId="190" fillId="0" borderId="40" xfId="610" applyFont="1" applyBorder="1" applyAlignment="1">
      <alignment horizontal="justify" vertical="top"/>
    </xf>
    <xf numFmtId="172" fontId="190" fillId="0" borderId="61" xfId="29" applyNumberFormat="1" applyFont="1" applyFill="1" applyBorder="1" applyAlignment="1">
      <alignment horizontal="justify" vertical="top"/>
    </xf>
    <xf numFmtId="0" fontId="192" fillId="0" borderId="40" xfId="0" applyFont="1" applyBorder="1" applyAlignment="1">
      <alignment wrapText="1"/>
    </xf>
    <xf numFmtId="172" fontId="190" fillId="0" borderId="61" xfId="43" applyNumberFormat="1" applyFont="1" applyBorder="1" applyAlignment="1">
      <alignment wrapText="1"/>
    </xf>
    <xf numFmtId="0" fontId="192" fillId="0" borderId="0" xfId="43" applyFont="1" applyBorder="1" applyAlignment="1">
      <alignment horizontal="center"/>
    </xf>
    <xf numFmtId="0" fontId="192" fillId="0" borderId="0" xfId="43" applyFont="1" applyBorder="1" applyAlignment="1">
      <alignment horizontal="right"/>
    </xf>
    <xf numFmtId="165" fontId="192" fillId="0" borderId="0" xfId="0" applyNumberFormat="1" applyFont="1" applyBorder="1" applyAlignment="1">
      <alignment horizontal="right"/>
    </xf>
    <xf numFmtId="172" fontId="192" fillId="0" borderId="0" xfId="43" applyNumberFormat="1" applyFont="1" applyBorder="1" applyAlignment="1">
      <alignment horizontal="center"/>
    </xf>
    <xf numFmtId="172" fontId="192" fillId="0" borderId="61" xfId="0" quotePrefix="1" applyNumberFormat="1" applyFont="1" applyBorder="1" applyAlignment="1">
      <alignment horizontal="right"/>
    </xf>
    <xf numFmtId="165" fontId="192" fillId="0" borderId="0" xfId="0" applyNumberFormat="1" applyFont="1" applyBorder="1" applyAlignment="1">
      <alignment horizontal="center"/>
    </xf>
    <xf numFmtId="172" fontId="192" fillId="0" borderId="0" xfId="0" applyNumberFormat="1" applyFont="1" applyBorder="1" applyAlignment="1">
      <alignment horizontal="center"/>
    </xf>
    <xf numFmtId="0" fontId="192" fillId="0" borderId="61" xfId="43" applyFont="1" applyBorder="1" applyAlignment="1">
      <alignment horizontal="center"/>
    </xf>
    <xf numFmtId="172" fontId="192" fillId="0" borderId="0" xfId="43" applyNumberFormat="1" applyFont="1" applyBorder="1" applyAlignment="1">
      <alignment horizontal="right"/>
    </xf>
    <xf numFmtId="0" fontId="192" fillId="0" borderId="61" xfId="0" applyFont="1" applyBorder="1" applyAlignment="1">
      <alignment horizontal="center"/>
    </xf>
    <xf numFmtId="172" fontId="192" fillId="0" borderId="61" xfId="29" applyNumberFormat="1" applyFont="1" applyFill="1" applyBorder="1"/>
    <xf numFmtId="165" fontId="192" fillId="0" borderId="61" xfId="29" applyNumberFormat="1" applyFont="1" applyFill="1" applyBorder="1" applyAlignment="1">
      <alignment horizontal="right"/>
    </xf>
    <xf numFmtId="165" fontId="190" fillId="0" borderId="68" xfId="29" applyNumberFormat="1" applyFont="1" applyFill="1" applyBorder="1" applyAlignment="1">
      <alignment horizontal="right"/>
    </xf>
    <xf numFmtId="172" fontId="192" fillId="0" borderId="73" xfId="29" applyNumberFormat="1" applyFont="1" applyFill="1" applyBorder="1"/>
    <xf numFmtId="172" fontId="192" fillId="0" borderId="61" xfId="29" applyNumberFormat="1" applyFont="1" applyFill="1" applyBorder="1" applyAlignment="1"/>
    <xf numFmtId="165" fontId="192" fillId="0" borderId="0" xfId="0" applyNumberFormat="1" applyFont="1" applyBorder="1"/>
    <xf numFmtId="165" fontId="190" fillId="0" borderId="0" xfId="0" applyNumberFormat="1" applyFont="1" applyBorder="1"/>
    <xf numFmtId="165" fontId="192" fillId="0" borderId="61" xfId="0" applyNumberFormat="1" applyFont="1" applyBorder="1"/>
    <xf numFmtId="165" fontId="192" fillId="0" borderId="69" xfId="29" applyNumberFormat="1" applyFont="1" applyFill="1" applyBorder="1" applyAlignment="1">
      <alignment horizontal="right"/>
    </xf>
    <xf numFmtId="172" fontId="190" fillId="0" borderId="61" xfId="0" applyNumberFormat="1" applyFont="1" applyBorder="1"/>
    <xf numFmtId="172" fontId="190" fillId="0" borderId="70" xfId="0" applyNumberFormat="1" applyFont="1" applyBorder="1"/>
    <xf numFmtId="0" fontId="190" fillId="0" borderId="0" xfId="43" applyFont="1" applyBorder="1" applyAlignment="1">
      <alignment horizontal="center"/>
    </xf>
    <xf numFmtId="165" fontId="190" fillId="0" borderId="61" xfId="29" applyNumberFormat="1" applyFont="1" applyFill="1" applyBorder="1" applyAlignment="1">
      <alignment horizontal="right"/>
    </xf>
    <xf numFmtId="37" fontId="190" fillId="0" borderId="61" xfId="29" applyFont="1" applyFill="1" applyBorder="1"/>
    <xf numFmtId="0" fontId="190" fillId="0" borderId="40" xfId="51" applyFont="1" applyBorder="1"/>
    <xf numFmtId="0" fontId="190" fillId="0" borderId="0" xfId="51" applyFont="1" applyBorder="1"/>
    <xf numFmtId="172" fontId="190" fillId="0" borderId="61" xfId="0" applyNumberFormat="1" applyFont="1" applyBorder="1" applyAlignment="1">
      <alignment horizontal="center"/>
    </xf>
    <xf numFmtId="172" fontId="192" fillId="0" borderId="0" xfId="59" applyNumberFormat="1" applyFont="1" applyFill="1" applyBorder="1"/>
    <xf numFmtId="172" fontId="190" fillId="0" borderId="68" xfId="0" applyNumberFormat="1" applyFont="1" applyBorder="1" applyAlignment="1">
      <alignment horizontal="center"/>
    </xf>
    <xf numFmtId="172" fontId="190" fillId="0" borderId="70" xfId="0" applyNumberFormat="1" applyFont="1" applyBorder="1" applyAlignment="1">
      <alignment horizontal="center"/>
    </xf>
    <xf numFmtId="172" fontId="190" fillId="0" borderId="68" xfId="43" applyNumberFormat="1" applyFont="1" applyBorder="1" applyAlignment="1">
      <alignment horizontal="right"/>
    </xf>
    <xf numFmtId="172" fontId="190" fillId="0" borderId="70" xfId="43" quotePrefix="1" applyNumberFormat="1" applyFont="1" applyBorder="1" applyAlignment="1">
      <alignment horizontal="right"/>
    </xf>
    <xf numFmtId="172" fontId="190" fillId="0" borderId="68" xfId="0" applyNumberFormat="1" applyFont="1" applyBorder="1"/>
    <xf numFmtId="0" fontId="190" fillId="0" borderId="40" xfId="43" applyFont="1" applyBorder="1" applyAlignment="1">
      <alignment horizontal="left" vertical="top" wrapText="1"/>
    </xf>
    <xf numFmtId="172" fontId="190" fillId="0" borderId="68" xfId="0" applyNumberFormat="1" applyFont="1" applyBorder="1" applyAlignment="1">
      <alignment horizontal="right"/>
    </xf>
    <xf numFmtId="172" fontId="190" fillId="0" borderId="69" xfId="0" applyNumberFormat="1" applyFont="1" applyBorder="1" applyAlignment="1">
      <alignment horizontal="right"/>
    </xf>
    <xf numFmtId="0" fontId="192" fillId="0" borderId="40" xfId="43" applyFont="1" applyBorder="1" applyAlignment="1">
      <alignment horizontal="left"/>
    </xf>
    <xf numFmtId="0" fontId="190" fillId="0" borderId="62" xfId="51" applyFont="1" applyBorder="1"/>
    <xf numFmtId="0" fontId="190" fillId="0" borderId="41" xfId="51" applyFont="1" applyBorder="1"/>
    <xf numFmtId="172" fontId="192" fillId="0" borderId="41" xfId="0" applyNumberFormat="1" applyFont="1" applyBorder="1" applyAlignment="1">
      <alignment horizontal="right"/>
    </xf>
    <xf numFmtId="172" fontId="190" fillId="0" borderId="63" xfId="0" applyNumberFormat="1" applyFont="1" applyBorder="1" applyAlignment="1">
      <alignment horizontal="right"/>
    </xf>
    <xf numFmtId="0" fontId="190" fillId="0" borderId="40" xfId="0" applyFont="1" applyBorder="1" applyAlignment="1">
      <alignment horizontal="left"/>
    </xf>
    <xf numFmtId="0" fontId="0" fillId="0" borderId="78" xfId="0" applyBorder="1"/>
    <xf numFmtId="0" fontId="196" fillId="94" borderId="78" xfId="0" applyFont="1" applyFill="1" applyBorder="1" applyAlignment="1">
      <alignment horizontal="center"/>
    </xf>
    <xf numFmtId="0" fontId="196" fillId="94" borderId="78" xfId="0" applyFont="1" applyFill="1" applyBorder="1" applyAlignment="1"/>
    <xf numFmtId="0" fontId="193" fillId="0" borderId="40" xfId="0" applyFont="1" applyBorder="1"/>
    <xf numFmtId="0" fontId="193" fillId="0" borderId="0" xfId="0" applyFont="1" applyBorder="1"/>
    <xf numFmtId="172" fontId="193" fillId="0" borderId="0" xfId="0" applyNumberFormat="1" applyFont="1" applyBorder="1"/>
    <xf numFmtId="0" fontId="193" fillId="0" borderId="61" xfId="0" applyFont="1" applyBorder="1"/>
    <xf numFmtId="0" fontId="47" fillId="0" borderId="80" xfId="0" applyFont="1" applyBorder="1" applyAlignment="1">
      <alignment horizontal="right"/>
    </xf>
    <xf numFmtId="0" fontId="199" fillId="0" borderId="0" xfId="0" applyFont="1" applyBorder="1" applyAlignment="1">
      <alignment horizontal="center"/>
    </xf>
    <xf numFmtId="0" fontId="22" fillId="0" borderId="0" xfId="0" applyFont="1" applyBorder="1" applyAlignment="1">
      <alignment horizontal="center"/>
    </xf>
    <xf numFmtId="0" fontId="200" fillId="0" borderId="0" xfId="0" applyFont="1" applyBorder="1" applyAlignment="1">
      <alignment horizontal="center"/>
    </xf>
    <xf numFmtId="172" fontId="192" fillId="0" borderId="61" xfId="43" applyNumberFormat="1" applyFont="1" applyBorder="1" applyAlignment="1">
      <alignment horizontal="center"/>
    </xf>
    <xf numFmtId="1" fontId="192" fillId="0" borderId="0" xfId="29" applyNumberFormat="1" applyFont="1" applyFill="1" applyBorder="1" applyAlignment="1">
      <alignment horizontal="center"/>
    </xf>
    <xf numFmtId="1" fontId="190" fillId="0" borderId="0" xfId="43" applyNumberFormat="1" applyFont="1" applyBorder="1" applyAlignment="1">
      <alignment horizontal="center"/>
    </xf>
    <xf numFmtId="1" fontId="192" fillId="0" borderId="61" xfId="29" applyNumberFormat="1" applyFont="1" applyFill="1" applyBorder="1" applyAlignment="1">
      <alignment horizontal="center"/>
    </xf>
    <xf numFmtId="172" fontId="190" fillId="0" borderId="69" xfId="29" applyNumberFormat="1" applyFont="1" applyFill="1" applyBorder="1" applyAlignment="1">
      <alignment horizontal="right"/>
    </xf>
    <xf numFmtId="172" fontId="192" fillId="0" borderId="0" xfId="0" quotePrefix="1" applyNumberFormat="1" applyFont="1" applyBorder="1" applyAlignment="1">
      <alignment horizontal="center"/>
    </xf>
    <xf numFmtId="172" fontId="192" fillId="0" borderId="61" xfId="0" quotePrefix="1" applyNumberFormat="1" applyFont="1" applyBorder="1" applyAlignment="1">
      <alignment horizontal="center"/>
    </xf>
    <xf numFmtId="172" fontId="192" fillId="0" borderId="61" xfId="29" applyNumberFormat="1" applyFont="1" applyFill="1" applyBorder="1" applyAlignment="1">
      <alignment horizontal="center"/>
    </xf>
    <xf numFmtId="0" fontId="203" fillId="0" borderId="0" xfId="0" applyFont="1"/>
    <xf numFmtId="0" fontId="201" fillId="0" borderId="0" xfId="0" applyFont="1" applyAlignment="1">
      <alignment horizontal="left"/>
    </xf>
    <xf numFmtId="172" fontId="190" fillId="0" borderId="0" xfId="0" quotePrefix="1" applyNumberFormat="1" applyFont="1" applyBorder="1" applyAlignment="1">
      <alignment horizontal="center"/>
    </xf>
    <xf numFmtId="165" fontId="190" fillId="0" borderId="0" xfId="56" applyNumberFormat="1" applyFont="1" applyBorder="1" applyAlignment="1">
      <alignment horizontal="center"/>
    </xf>
    <xf numFmtId="165" fontId="192" fillId="0" borderId="61" xfId="29" applyNumberFormat="1" applyFont="1" applyFill="1" applyBorder="1" applyAlignment="1">
      <alignment horizontal="center"/>
    </xf>
    <xf numFmtId="172" fontId="190" fillId="0" borderId="10" xfId="0" quotePrefix="1" applyNumberFormat="1" applyFont="1" applyBorder="1" applyAlignment="1">
      <alignment horizontal="center"/>
    </xf>
    <xf numFmtId="165" fontId="190" fillId="0" borderId="10" xfId="56" applyNumberFormat="1" applyFont="1" applyBorder="1" applyAlignment="1">
      <alignment horizontal="center"/>
    </xf>
    <xf numFmtId="165" fontId="192" fillId="0" borderId="68" xfId="56" applyNumberFormat="1" applyFont="1" applyBorder="1" applyAlignment="1">
      <alignment horizontal="center"/>
    </xf>
    <xf numFmtId="172" fontId="190" fillId="0" borderId="61" xfId="0" quotePrefix="1" applyNumberFormat="1" applyFont="1" applyBorder="1" applyAlignment="1">
      <alignment horizontal="center"/>
    </xf>
    <xf numFmtId="0" fontId="0" fillId="95" borderId="0" xfId="0" applyFill="1"/>
    <xf numFmtId="0" fontId="21" fillId="95" borderId="0" xfId="0" applyFont="1" applyFill="1"/>
    <xf numFmtId="0" fontId="196" fillId="96" borderId="40" xfId="0" applyFont="1" applyFill="1" applyBorder="1"/>
    <xf numFmtId="0" fontId="196" fillId="96" borderId="0" xfId="0" applyFont="1" applyFill="1" applyBorder="1"/>
    <xf numFmtId="0" fontId="196" fillId="96" borderId="61" xfId="0" applyFont="1" applyFill="1" applyBorder="1"/>
    <xf numFmtId="172" fontId="190" fillId="95" borderId="0" xfId="0" applyNumberFormat="1" applyFont="1" applyFill="1" applyBorder="1" applyAlignment="1">
      <alignment horizontal="center"/>
    </xf>
    <xf numFmtId="0" fontId="190" fillId="95" borderId="0" xfId="0" applyFont="1" applyFill="1" applyBorder="1" applyAlignment="1">
      <alignment horizontal="center"/>
    </xf>
    <xf numFmtId="0" fontId="192" fillId="95" borderId="61" xfId="0" applyFont="1" applyFill="1" applyBorder="1"/>
    <xf numFmtId="0" fontId="196" fillId="96" borderId="71" xfId="0" applyFont="1" applyFill="1" applyBorder="1"/>
    <xf numFmtId="0" fontId="196" fillId="96" borderId="72" xfId="0" applyFont="1" applyFill="1" applyBorder="1"/>
    <xf numFmtId="0" fontId="192" fillId="95" borderId="0" xfId="0" applyFont="1" applyFill="1" applyBorder="1"/>
    <xf numFmtId="0" fontId="193" fillId="95" borderId="61" xfId="0" applyFont="1" applyFill="1" applyBorder="1" applyAlignment="1">
      <alignment horizontal="right"/>
    </xf>
    <xf numFmtId="15" fontId="196" fillId="96" borderId="0" xfId="0" applyNumberFormat="1" applyFont="1" applyFill="1" applyBorder="1" applyAlignment="1"/>
    <xf numFmtId="0" fontId="197" fillId="96" borderId="0" xfId="0" applyFont="1" applyFill="1" applyBorder="1"/>
    <xf numFmtId="0" fontId="196" fillId="96" borderId="61" xfId="0" applyFont="1" applyFill="1" applyBorder="1" applyAlignment="1"/>
    <xf numFmtId="0" fontId="190" fillId="95" borderId="0" xfId="0" applyFont="1" applyFill="1" applyBorder="1"/>
    <xf numFmtId="0" fontId="190" fillId="95" borderId="61" xfId="0" applyFont="1" applyFill="1" applyBorder="1" applyAlignment="1">
      <alignment horizontal="right"/>
    </xf>
    <xf numFmtId="0" fontId="196" fillId="96" borderId="75" xfId="0" applyFont="1" applyFill="1" applyBorder="1" applyAlignment="1">
      <alignment horizontal="center"/>
    </xf>
    <xf numFmtId="0" fontId="196" fillId="96" borderId="75" xfId="0" applyFont="1" applyFill="1" applyBorder="1"/>
    <xf numFmtId="0" fontId="196" fillId="96" borderId="79" xfId="0" applyFont="1" applyFill="1" applyBorder="1"/>
    <xf numFmtId="172" fontId="190" fillId="95" borderId="61" xfId="0" applyNumberFormat="1" applyFont="1" applyFill="1" applyBorder="1"/>
    <xf numFmtId="0" fontId="201" fillId="95" borderId="0" xfId="0" applyFont="1" applyFill="1" applyAlignment="1">
      <alignment horizontal="left"/>
    </xf>
    <xf numFmtId="0" fontId="176" fillId="0" borderId="0" xfId="0" applyFont="1" applyAlignment="1">
      <alignment horizontal="justify" vertical="top" wrapText="1"/>
    </xf>
    <xf numFmtId="0" fontId="44" fillId="0" borderId="26" xfId="0" applyFont="1" applyBorder="1" applyAlignment="1">
      <alignment horizontal="center"/>
    </xf>
    <xf numFmtId="0" fontId="44" fillId="0" borderId="27" xfId="0" applyFont="1" applyBorder="1" applyAlignment="1">
      <alignment horizontal="center"/>
    </xf>
    <xf numFmtId="0" fontId="44" fillId="0" borderId="28" xfId="0" applyFont="1" applyBorder="1" applyAlignment="1">
      <alignment horizontal="center"/>
    </xf>
    <xf numFmtId="0" fontId="190" fillId="44" borderId="0" xfId="0" applyFont="1" applyFill="1" applyBorder="1" applyAlignment="1">
      <alignment horizontal="justify" vertical="center" wrapText="1"/>
    </xf>
    <xf numFmtId="0" fontId="196" fillId="96" borderId="61" xfId="0" applyFont="1" applyFill="1" applyBorder="1" applyAlignment="1">
      <alignment horizontal="center"/>
    </xf>
    <xf numFmtId="0" fontId="190" fillId="0" borderId="40" xfId="0" applyFont="1" applyBorder="1" applyAlignment="1">
      <alignment horizontal="left" wrapText="1"/>
    </xf>
    <xf numFmtId="0" fontId="190" fillId="0" borderId="0" xfId="0" applyFont="1" applyBorder="1" applyAlignment="1">
      <alignment horizontal="left" wrapText="1"/>
    </xf>
    <xf numFmtId="0" fontId="190" fillId="0" borderId="61" xfId="0" applyFont="1" applyBorder="1" applyAlignment="1">
      <alignment horizontal="left" wrapText="1"/>
    </xf>
    <xf numFmtId="0" fontId="198" fillId="95" borderId="0" xfId="0" applyFont="1" applyFill="1" applyBorder="1" applyAlignment="1">
      <alignment horizontal="center"/>
    </xf>
    <xf numFmtId="0" fontId="205" fillId="0" borderId="0" xfId="0" applyFont="1" applyBorder="1" applyAlignment="1">
      <alignment horizontal="center"/>
    </xf>
    <xf numFmtId="0" fontId="203" fillId="0" borderId="0" xfId="0" applyFont="1" applyBorder="1" applyAlignment="1">
      <alignment horizontal="center"/>
    </xf>
    <xf numFmtId="0" fontId="204" fillId="0" borderId="0" xfId="0" applyFont="1" applyBorder="1" applyAlignment="1">
      <alignment horizontal="center"/>
    </xf>
    <xf numFmtId="0" fontId="202" fillId="0" borderId="0" xfId="0" applyFont="1" applyBorder="1" applyAlignment="1">
      <alignment horizontal="center"/>
    </xf>
    <xf numFmtId="0" fontId="192" fillId="0" borderId="40" xfId="43" applyFont="1" applyBorder="1" applyAlignment="1">
      <alignment vertical="top" wrapText="1"/>
    </xf>
    <xf numFmtId="0" fontId="192" fillId="0" borderId="0" xfId="43" applyFont="1" applyBorder="1" applyAlignment="1">
      <alignment vertical="top" wrapText="1"/>
    </xf>
    <xf numFmtId="0" fontId="196" fillId="96" borderId="40" xfId="0" applyFont="1" applyFill="1" applyBorder="1" applyAlignment="1">
      <alignment horizontal="right"/>
    </xf>
    <xf numFmtId="0" fontId="196" fillId="96" borderId="0" xfId="0" applyFont="1" applyFill="1" applyBorder="1" applyAlignment="1">
      <alignment horizontal="right"/>
    </xf>
    <xf numFmtId="0" fontId="196" fillId="96" borderId="61" xfId="0" applyFont="1" applyFill="1" applyBorder="1" applyAlignment="1">
      <alignment horizontal="right"/>
    </xf>
    <xf numFmtId="0" fontId="196" fillId="96" borderId="40" xfId="0" applyFont="1" applyFill="1" applyBorder="1" applyAlignment="1">
      <alignment horizontal="left"/>
    </xf>
    <xf numFmtId="0" fontId="196" fillId="96" borderId="0" xfId="0" applyFont="1" applyFill="1" applyBorder="1" applyAlignment="1">
      <alignment horizontal="left"/>
    </xf>
    <xf numFmtId="0" fontId="196" fillId="96" borderId="61" xfId="0" applyFont="1" applyFill="1" applyBorder="1" applyAlignment="1">
      <alignment horizontal="left"/>
    </xf>
    <xf numFmtId="0" fontId="196" fillId="96" borderId="74" xfId="0" applyFont="1" applyFill="1" applyBorder="1" applyAlignment="1">
      <alignment horizontal="left"/>
    </xf>
    <xf numFmtId="0" fontId="196" fillId="96" borderId="75" xfId="0" applyFont="1" applyFill="1" applyBorder="1" applyAlignment="1">
      <alignment horizontal="left"/>
    </xf>
    <xf numFmtId="0" fontId="196" fillId="96" borderId="76" xfId="0" applyFont="1" applyFill="1" applyBorder="1" applyAlignment="1">
      <alignment horizontal="right"/>
    </xf>
    <xf numFmtId="0" fontId="196" fillId="96" borderId="72" xfId="0" applyFont="1" applyFill="1" applyBorder="1" applyAlignment="1">
      <alignment horizontal="right"/>
    </xf>
    <xf numFmtId="0" fontId="196" fillId="96" borderId="77" xfId="0" applyFont="1" applyFill="1" applyBorder="1" applyAlignment="1">
      <alignment horizontal="right"/>
    </xf>
    <xf numFmtId="0" fontId="170" fillId="0" borderId="0" xfId="856" applyFont="1" applyAlignment="1">
      <alignment horizontal="left"/>
    </xf>
    <xf numFmtId="0" fontId="50" fillId="0" borderId="19" xfId="40" applyFont="1" applyBorder="1" applyAlignment="1">
      <alignment horizontal="right"/>
    </xf>
    <xf numFmtId="0" fontId="49" fillId="0" borderId="0" xfId="40" applyFont="1" applyAlignment="1">
      <alignment horizontal="right"/>
    </xf>
    <xf numFmtId="0" fontId="176" fillId="0" borderId="0" xfId="1" applyFont="1" applyAlignment="1">
      <alignment horizontal="justify" vertical="top" wrapText="1"/>
    </xf>
    <xf numFmtId="0" fontId="176" fillId="0" borderId="0" xfId="0" quotePrefix="1" applyFont="1" applyAlignment="1">
      <alignment horizontal="justify" vertical="top" wrapText="1"/>
    </xf>
    <xf numFmtId="0" fontId="176" fillId="0" borderId="0" xfId="523" applyFont="1" applyAlignment="1">
      <alignment horizontal="justify" vertical="top" wrapText="1"/>
    </xf>
    <xf numFmtId="0" fontId="177" fillId="0" borderId="0" xfId="43" applyFont="1" applyAlignment="1">
      <alignment horizontal="justify" vertical="top"/>
    </xf>
    <xf numFmtId="0" fontId="176" fillId="0" borderId="0" xfId="0" applyFont="1" applyAlignment="1">
      <alignment horizontal="justify" vertical="top"/>
    </xf>
    <xf numFmtId="0" fontId="176" fillId="0" borderId="0" xfId="0" quotePrefix="1" applyFont="1" applyAlignment="1">
      <alignment horizontal="justify" vertical="top"/>
    </xf>
    <xf numFmtId="0" fontId="0" fillId="0" borderId="0" xfId="0" applyAlignment="1">
      <alignment horizontal="justify" vertical="top" wrapText="1"/>
    </xf>
    <xf numFmtId="0" fontId="177" fillId="0" borderId="0" xfId="0" applyFont="1" applyAlignment="1">
      <alignment horizontal="left" wrapText="1"/>
    </xf>
    <xf numFmtId="0" fontId="176" fillId="0" borderId="0" xfId="0" applyFont="1" applyAlignment="1">
      <alignment horizontal="left" vertical="top" wrapText="1"/>
    </xf>
    <xf numFmtId="0" fontId="176" fillId="0" borderId="0" xfId="43" applyFont="1" applyAlignment="1">
      <alignment horizontal="left"/>
    </xf>
    <xf numFmtId="0" fontId="176" fillId="0" borderId="0" xfId="43" applyFont="1" applyAlignment="1">
      <alignment horizontal="left" wrapText="1"/>
    </xf>
    <xf numFmtId="0" fontId="176" fillId="0" borderId="0" xfId="0" applyFont="1" applyAlignment="1">
      <alignment horizontal="justify"/>
    </xf>
    <xf numFmtId="0" fontId="176" fillId="0" borderId="0" xfId="0" applyFont="1" applyAlignment="1">
      <alignment horizontal="left" wrapText="1"/>
    </xf>
    <xf numFmtId="0" fontId="177" fillId="0" borderId="0" xfId="0" applyFont="1" applyAlignment="1">
      <alignment horizontal="justify" vertical="top" wrapText="1"/>
    </xf>
    <xf numFmtId="172" fontId="177" fillId="0" borderId="0" xfId="43" applyNumberFormat="1" applyFont="1" applyAlignment="1">
      <alignment horizontal="left" vertical="top"/>
    </xf>
    <xf numFmtId="0" fontId="176" fillId="0" borderId="14" xfId="1" applyFont="1" applyBorder="1" applyAlignment="1">
      <alignment horizontal="center" vertical="top" wrapText="1"/>
    </xf>
    <xf numFmtId="37" fontId="176" fillId="0" borderId="14" xfId="29" applyFont="1" applyFill="1" applyBorder="1" applyAlignment="1">
      <alignment horizontal="center" vertical="top" wrapText="1"/>
    </xf>
    <xf numFmtId="0" fontId="176" fillId="0" borderId="14" xfId="1" applyFont="1" applyBorder="1" applyAlignment="1">
      <alignment horizontal="left" vertical="top" wrapText="1"/>
    </xf>
    <xf numFmtId="0" fontId="176" fillId="0" borderId="0" xfId="1" applyFont="1" applyAlignment="1">
      <alignment horizontal="left" vertical="top" wrapText="1"/>
    </xf>
    <xf numFmtId="0" fontId="177" fillId="93" borderId="14" xfId="1" applyFont="1" applyFill="1" applyBorder="1" applyAlignment="1">
      <alignment horizontal="center" vertical="top" wrapText="1"/>
    </xf>
    <xf numFmtId="0" fontId="176" fillId="0" borderId="16" xfId="1" applyFont="1" applyBorder="1" applyAlignment="1">
      <alignment horizontal="center" vertical="top" wrapText="1"/>
    </xf>
    <xf numFmtId="0" fontId="176" fillId="0" borderId="17" xfId="1" applyFont="1" applyBorder="1" applyAlignment="1">
      <alignment horizontal="center" vertical="top" wrapText="1"/>
    </xf>
    <xf numFmtId="0" fontId="176" fillId="0" borderId="21" xfId="1" applyFont="1" applyBorder="1" applyAlignment="1">
      <alignment horizontal="center" vertical="top" wrapText="1"/>
    </xf>
    <xf numFmtId="0" fontId="176" fillId="0" borderId="66" xfId="1" applyFont="1" applyBorder="1" applyAlignment="1">
      <alignment horizontal="center" vertical="top" wrapText="1"/>
    </xf>
    <xf numFmtId="0" fontId="176" fillId="0" borderId="36" xfId="1" applyFont="1" applyBorder="1" applyAlignment="1">
      <alignment horizontal="center" vertical="top"/>
    </xf>
    <xf numFmtId="0" fontId="176" fillId="0" borderId="20" xfId="1" applyFont="1" applyBorder="1" applyAlignment="1">
      <alignment horizontal="center" vertical="top"/>
    </xf>
    <xf numFmtId="0" fontId="176" fillId="0" borderId="22" xfId="1" applyFont="1" applyBorder="1" applyAlignment="1">
      <alignment horizontal="center" vertical="top"/>
    </xf>
    <xf numFmtId="37" fontId="176" fillId="44" borderId="19" xfId="29" applyFont="1" applyFill="1" applyBorder="1" applyAlignment="1">
      <alignment horizontal="center" vertical="top" wrapText="1"/>
    </xf>
    <xf numFmtId="37" fontId="176" fillId="44" borderId="18" xfId="29" applyFont="1" applyFill="1" applyBorder="1" applyAlignment="1">
      <alignment horizontal="center" vertical="top" wrapText="1"/>
    </xf>
    <xf numFmtId="37" fontId="176" fillId="44" borderId="21" xfId="29" applyFont="1" applyFill="1" applyBorder="1" applyAlignment="1">
      <alignment horizontal="center" vertical="top" wrapText="1"/>
    </xf>
    <xf numFmtId="37" fontId="176" fillId="44" borderId="66" xfId="29" applyFont="1" applyFill="1" applyBorder="1" applyAlignment="1">
      <alignment horizontal="center" vertical="top" wrapText="1"/>
    </xf>
    <xf numFmtId="37" fontId="176" fillId="0" borderId="22" xfId="29" applyFont="1" applyFill="1" applyBorder="1" applyAlignment="1">
      <alignment horizontal="center" vertical="top" wrapText="1"/>
    </xf>
    <xf numFmtId="0" fontId="176" fillId="0" borderId="19" xfId="1" applyFont="1" applyBorder="1" applyAlignment="1">
      <alignment horizontal="center" vertical="top" wrapText="1"/>
    </xf>
    <xf numFmtId="0" fontId="176" fillId="0" borderId="18" xfId="1" applyFont="1" applyBorder="1" applyAlignment="1">
      <alignment horizontal="center" vertical="top" wrapText="1"/>
    </xf>
    <xf numFmtId="37" fontId="176" fillId="0" borderId="17" xfId="29" applyFont="1" applyFill="1" applyBorder="1" applyAlignment="1">
      <alignment horizontal="center" vertical="top" wrapText="1"/>
    </xf>
    <xf numFmtId="37" fontId="176" fillId="0" borderId="36" xfId="29" applyFont="1" applyFill="1" applyBorder="1" applyAlignment="1">
      <alignment horizontal="center" vertical="top" wrapText="1"/>
    </xf>
    <xf numFmtId="37" fontId="176" fillId="0" borderId="14" xfId="29" applyFont="1" applyFill="1" applyBorder="1" applyAlignment="1">
      <alignment horizontal="left" vertical="top" wrapText="1"/>
    </xf>
    <xf numFmtId="37" fontId="176" fillId="0" borderId="67" xfId="29" applyFont="1" applyFill="1" applyBorder="1" applyAlignment="1">
      <alignment horizontal="left" vertical="top" wrapText="1"/>
    </xf>
    <xf numFmtId="37" fontId="176" fillId="0" borderId="36" xfId="29" applyFont="1" applyFill="1" applyBorder="1" applyAlignment="1">
      <alignment horizontal="left" vertical="top" wrapText="1"/>
    </xf>
    <xf numFmtId="37" fontId="176" fillId="0" borderId="22" xfId="29" applyFont="1" applyFill="1" applyBorder="1" applyAlignment="1">
      <alignment horizontal="left" vertical="top" wrapText="1"/>
    </xf>
    <xf numFmtId="0" fontId="176" fillId="0" borderId="16" xfId="1" applyFont="1" applyBorder="1" applyAlignment="1">
      <alignment horizontal="left" vertical="top" wrapText="1"/>
    </xf>
    <xf numFmtId="0" fontId="176" fillId="0" borderId="13" xfId="1" applyFont="1" applyBorder="1" applyAlignment="1">
      <alignment horizontal="left" vertical="top" wrapText="1"/>
    </xf>
    <xf numFmtId="0" fontId="176" fillId="0" borderId="17" xfId="1" applyFont="1" applyBorder="1" applyAlignment="1">
      <alignment horizontal="left" vertical="top" wrapText="1"/>
    </xf>
    <xf numFmtId="0" fontId="176" fillId="0" borderId="21" xfId="1" applyFont="1" applyBorder="1" applyAlignment="1">
      <alignment horizontal="left" vertical="top" wrapText="1"/>
    </xf>
    <xf numFmtId="0" fontId="176" fillId="0" borderId="10" xfId="1" applyFont="1" applyBorder="1" applyAlignment="1">
      <alignment horizontal="left" vertical="top" wrapText="1"/>
    </xf>
    <xf numFmtId="0" fontId="176" fillId="0" borderId="66" xfId="1" applyFont="1" applyBorder="1" applyAlignment="1">
      <alignment horizontal="left" vertical="top" wrapText="1"/>
    </xf>
    <xf numFmtId="0" fontId="177" fillId="0" borderId="0" xfId="43" applyFont="1"/>
    <xf numFmtId="0" fontId="177" fillId="0" borderId="0" xfId="0" applyFont="1" applyAlignment="1">
      <alignment horizontal="left"/>
    </xf>
    <xf numFmtId="0" fontId="176" fillId="0" borderId="0" xfId="0" applyFont="1" applyAlignment="1">
      <alignment horizontal="justify" vertical="center" wrapText="1"/>
    </xf>
    <xf numFmtId="0" fontId="176" fillId="0" borderId="0" xfId="1" applyFont="1"/>
    <xf numFmtId="0" fontId="23" fillId="0" borderId="0" xfId="43" applyFont="1" applyAlignment="1">
      <alignment horizontal="justify" vertical="top" wrapText="1"/>
    </xf>
    <xf numFmtId="0" fontId="0" fillId="0" borderId="0" xfId="0" applyAlignment="1">
      <alignment horizontal="justify"/>
    </xf>
    <xf numFmtId="0" fontId="176" fillId="0" borderId="0" xfId="0" applyFont="1" applyAlignment="1">
      <alignment vertical="top"/>
    </xf>
    <xf numFmtId="0" fontId="177" fillId="0" borderId="0" xfId="0" applyFont="1" applyAlignment="1">
      <alignment horizontal="left" vertical="top"/>
    </xf>
    <xf numFmtId="0" fontId="177" fillId="0" borderId="0" xfId="0" applyFont="1" applyAlignment="1">
      <alignment horizontal="right" vertical="top"/>
    </xf>
    <xf numFmtId="0" fontId="176" fillId="0" borderId="0" xfId="0" applyFont="1" applyAlignment="1">
      <alignment horizontal="right" vertical="top"/>
    </xf>
    <xf numFmtId="0" fontId="177" fillId="0" borderId="0" xfId="0" applyFont="1" applyAlignment="1">
      <alignment horizontal="right" vertical="top" wrapText="1"/>
    </xf>
    <xf numFmtId="0" fontId="176" fillId="0" borderId="0" xfId="0" applyFont="1" applyAlignment="1">
      <alignment horizontal="right" vertical="top" wrapText="1"/>
    </xf>
    <xf numFmtId="15" fontId="176" fillId="0" borderId="0" xfId="0" quotePrefix="1" applyNumberFormat="1" applyFont="1" applyAlignment="1">
      <alignment horizontal="left" vertical="top" wrapText="1"/>
    </xf>
    <xf numFmtId="0" fontId="177" fillId="0" borderId="0" xfId="43" applyFont="1" applyAlignment="1">
      <alignment wrapText="1"/>
    </xf>
    <xf numFmtId="0" fontId="177" fillId="0" borderId="0" xfId="0" quotePrefix="1" applyFont="1" applyAlignment="1">
      <alignment horizontal="center" vertical="top" wrapText="1"/>
    </xf>
    <xf numFmtId="0" fontId="177" fillId="0" borderId="0" xfId="0" applyFont="1" applyAlignment="1">
      <alignment horizontal="center" vertical="top" wrapText="1"/>
    </xf>
    <xf numFmtId="0" fontId="176" fillId="0" borderId="0" xfId="0" quotePrefix="1" applyFont="1" applyAlignment="1">
      <alignment horizontal="center" vertical="top" wrapText="1"/>
    </xf>
    <xf numFmtId="0" fontId="176" fillId="0" borderId="0" xfId="0" applyFont="1" applyAlignment="1">
      <alignment horizontal="center" vertical="top" wrapText="1"/>
    </xf>
    <xf numFmtId="0" fontId="181" fillId="0" borderId="0" xfId="0" applyFont="1" applyAlignment="1">
      <alignment vertical="top" wrapText="1" readingOrder="1"/>
    </xf>
    <xf numFmtId="0" fontId="182" fillId="0" borderId="0" xfId="0" applyFont="1"/>
    <xf numFmtId="0" fontId="183" fillId="0" borderId="0" xfId="0" applyFont="1" applyAlignment="1">
      <alignment vertical="top" wrapText="1" readingOrder="1"/>
    </xf>
    <xf numFmtId="0" fontId="183" fillId="0" borderId="54" xfId="0" applyFont="1" applyBorder="1" applyAlignment="1">
      <alignment vertical="top" wrapText="1" readingOrder="1"/>
    </xf>
    <xf numFmtId="0" fontId="182" fillId="0" borderId="55" xfId="0" applyFont="1" applyBorder="1" applyAlignment="1">
      <alignment vertical="top" wrapText="1"/>
    </xf>
    <xf numFmtId="0" fontId="184" fillId="0" borderId="54" xfId="0" applyFont="1" applyBorder="1" applyAlignment="1">
      <alignment vertical="top" wrapText="1" readingOrder="1"/>
    </xf>
    <xf numFmtId="0" fontId="182" fillId="0" borderId="56" xfId="0" applyFont="1" applyBorder="1" applyAlignment="1">
      <alignment vertical="top" wrapText="1"/>
    </xf>
    <xf numFmtId="0" fontId="182" fillId="0" borderId="57" xfId="0" applyFont="1" applyBorder="1" applyAlignment="1">
      <alignment vertical="top" wrapText="1"/>
    </xf>
    <xf numFmtId="200" fontId="184" fillId="0" borderId="54" xfId="0" applyNumberFormat="1" applyFont="1" applyBorder="1" applyAlignment="1">
      <alignment vertical="top" wrapText="1" readingOrder="1"/>
    </xf>
    <xf numFmtId="200" fontId="183" fillId="0" borderId="54" xfId="0" applyNumberFormat="1" applyFont="1" applyBorder="1" applyAlignment="1">
      <alignment vertical="top" wrapText="1" readingOrder="1"/>
    </xf>
    <xf numFmtId="0" fontId="185" fillId="0" borderId="55" xfId="0" applyFont="1" applyBorder="1" applyAlignment="1">
      <alignment vertical="top" wrapText="1"/>
    </xf>
    <xf numFmtId="0" fontId="184" fillId="32" borderId="54" xfId="0" applyFont="1" applyFill="1" applyBorder="1" applyAlignment="1">
      <alignment vertical="top" wrapText="1" readingOrder="1"/>
    </xf>
    <xf numFmtId="0" fontId="182" fillId="32" borderId="55" xfId="0" applyFont="1" applyFill="1" applyBorder="1" applyAlignment="1">
      <alignment vertical="top" wrapText="1"/>
    </xf>
    <xf numFmtId="200" fontId="184" fillId="32" borderId="54" xfId="0" applyNumberFormat="1" applyFont="1" applyFill="1" applyBorder="1" applyAlignment="1">
      <alignment vertical="top" wrapText="1" readingOrder="1"/>
    </xf>
    <xf numFmtId="0" fontId="183" fillId="32" borderId="54" xfId="0" applyFont="1" applyFill="1" applyBorder="1" applyAlignment="1">
      <alignment vertical="top" wrapText="1" readingOrder="1"/>
    </xf>
    <xf numFmtId="200" fontId="183" fillId="32" borderId="54" xfId="0" applyNumberFormat="1" applyFont="1" applyFill="1" applyBorder="1" applyAlignment="1">
      <alignment vertical="top" wrapText="1" readingOrder="1"/>
    </xf>
    <xf numFmtId="170" fontId="24" fillId="0" borderId="0" xfId="29" applyNumberFormat="1" applyFont="1" applyBorder="1" applyAlignment="1">
      <alignment horizontal="right" wrapText="1"/>
    </xf>
    <xf numFmtId="170" fontId="0" fillId="0" borderId="0" xfId="29" applyNumberFormat="1" applyFont="1" applyAlignment="1">
      <alignment horizontal="right" wrapText="1"/>
    </xf>
    <xf numFmtId="200" fontId="145" fillId="0" borderId="54" xfId="0" applyNumberFormat="1" applyFont="1" applyBorder="1" applyAlignment="1">
      <alignment vertical="top" wrapText="1" readingOrder="1"/>
    </xf>
    <xf numFmtId="0" fontId="64" fillId="0" borderId="55" xfId="0" applyFont="1" applyBorder="1" applyAlignment="1">
      <alignment vertical="top" wrapText="1"/>
    </xf>
    <xf numFmtId="200" fontId="144" fillId="81" borderId="54" xfId="0" applyNumberFormat="1" applyFont="1" applyFill="1" applyBorder="1" applyAlignment="1">
      <alignment vertical="top" wrapText="1" readingOrder="1"/>
    </xf>
    <xf numFmtId="0" fontId="145" fillId="0" borderId="54" xfId="0" applyFont="1" applyBorder="1" applyAlignment="1">
      <alignment vertical="top" wrapText="1" readingOrder="1"/>
    </xf>
    <xf numFmtId="0" fontId="64" fillId="0" borderId="56" xfId="0" applyFont="1" applyBorder="1" applyAlignment="1">
      <alignment vertical="top" wrapText="1"/>
    </xf>
    <xf numFmtId="0" fontId="64" fillId="0" borderId="57" xfId="0" applyFont="1" applyBorder="1" applyAlignment="1">
      <alignment vertical="top" wrapText="1"/>
    </xf>
    <xf numFmtId="0" fontId="143" fillId="0" borderId="0" xfId="0" applyFont="1" applyAlignment="1">
      <alignment vertical="top" wrapText="1" readingOrder="1"/>
    </xf>
    <xf numFmtId="0" fontId="64" fillId="0" borderId="0" xfId="0" applyFont="1"/>
    <xf numFmtId="0" fontId="144" fillId="80" borderId="54" xfId="0" applyFont="1" applyFill="1" applyBorder="1" applyAlignment="1">
      <alignment vertical="top" wrapText="1" readingOrder="1"/>
    </xf>
    <xf numFmtId="200" fontId="144" fillId="82" borderId="54" xfId="0" applyNumberFormat="1" applyFont="1" applyFill="1" applyBorder="1" applyAlignment="1">
      <alignment vertical="top" wrapText="1" readingOrder="1"/>
    </xf>
    <xf numFmtId="200" fontId="145" fillId="0" borderId="65" xfId="0" applyNumberFormat="1" applyFont="1" applyBorder="1" applyAlignment="1">
      <alignment vertical="top" wrapText="1" readingOrder="1"/>
    </xf>
    <xf numFmtId="200" fontId="145" fillId="0" borderId="55" xfId="0" applyNumberFormat="1" applyFont="1" applyBorder="1" applyAlignment="1">
      <alignment vertical="top" wrapText="1" readingOrder="1"/>
    </xf>
    <xf numFmtId="200" fontId="144" fillId="83" borderId="54" xfId="0" applyNumberFormat="1" applyFont="1" applyFill="1" applyBorder="1" applyAlignment="1">
      <alignment vertical="top" wrapText="1" readingOrder="1"/>
    </xf>
    <xf numFmtId="0" fontId="144" fillId="81" borderId="54" xfId="0" applyFont="1" applyFill="1" applyBorder="1" applyAlignment="1">
      <alignment vertical="top" wrapText="1" readingOrder="1"/>
    </xf>
    <xf numFmtId="0" fontId="144" fillId="85" borderId="54" xfId="0" applyFont="1" applyFill="1" applyBorder="1" applyAlignment="1">
      <alignment vertical="top" wrapText="1" readingOrder="1"/>
    </xf>
    <xf numFmtId="200" fontId="144" fillId="85" borderId="54" xfId="0" applyNumberFormat="1" applyFont="1" applyFill="1" applyBorder="1" applyAlignment="1">
      <alignment vertical="top" wrapText="1" readingOrder="1"/>
    </xf>
    <xf numFmtId="200" fontId="144" fillId="80" borderId="54" xfId="0" applyNumberFormat="1" applyFont="1" applyFill="1" applyBorder="1" applyAlignment="1">
      <alignment vertical="top" wrapText="1" readingOrder="1"/>
    </xf>
  </cellXfs>
  <cellStyles count="1532">
    <cellStyle name="]_x000d__x000a_Zoomed=1_x000d__x000a_Row=0_x000d__x000a_Column=0_x000d__x000a_Height=0_x000d__x000a_Width=0_x000d__x000a_FontName=FoxFont_x000d__x000a_FontStyle=0_x000d__x000a_FontSize=9_x000d__x000a_PrtFontName=FoxPrin" xfId="62"/>
    <cellStyle name="_ BS London " xfId="63"/>
    <cellStyle name="_ PL London" xfId="64"/>
    <cellStyle name="_004003 ОАО ОГК-3 12мес.2006г." xfId="65"/>
    <cellStyle name="_20" xfId="66"/>
    <cellStyle name="_24 Свод" xfId="67"/>
    <cellStyle name="_27 Свод" xfId="68"/>
    <cellStyle name="_5340 Dealing securities - Nomos-Bank @ 31 12 2007" xfId="69"/>
    <cellStyle name="_8150 Sales testing for 3rd quarter 2008" xfId="70"/>
    <cellStyle name="_Capital ratios - NOMOS 01.01.07конс" xfId="71"/>
    <cellStyle name="_Cash flow_9m_2006" xfId="72"/>
    <cellStyle name="_ChE London-NEW!" xfId="73"/>
    <cellStyle name="_EPS" xfId="74"/>
    <cellStyle name="_Erada Prof 2007Y" xfId="75"/>
    <cellStyle name="_Holiday Inn _ 2010 finstats workings" xfId="748"/>
    <cellStyle name="_Holiday Inn _ 2010 finstats workings 2" xfId="749"/>
    <cellStyle name="_NM Leasing_Prof 2007Yl" xfId="76"/>
    <cellStyle name="_Note 23_cost 9m06" xfId="77"/>
    <cellStyle name="_Other exp 25-27_1 manual" xfId="78"/>
    <cellStyle name="_PPE NM_2007Yl" xfId="79"/>
    <cellStyle name="_PPE Promestate 2007Y" xfId="80"/>
    <cellStyle name="_PPE Promestate 9m2007" xfId="81"/>
    <cellStyle name="_PPE Промгазкомплект" xfId="82"/>
    <cellStyle name="_profy07" xfId="83"/>
    <cellStyle name="_Promestate_Prof_2007Y" xfId="84"/>
    <cellStyle name="_Promestate_Prof_2007Yl" xfId="85"/>
    <cellStyle name="_Promgaskomplekt_Prof_2007Y" xfId="86"/>
    <cellStyle name="_RJE10_Calculation" xfId="87"/>
    <cellStyle name="_RP-2000" xfId="88"/>
    <cellStyle name="_SZNP - Eqiuty Roll" xfId="89"/>
    <cellStyle name="_SZNP - rasshifrovki-002000-333" xfId="90"/>
    <cellStyle name="_SZNP - TRS-092000" xfId="91"/>
    <cellStyle name="_UKA_Prof_2007Y" xfId="92"/>
    <cellStyle name="_VESSELS  AUGUST" xfId="93"/>
    <cellStyle name="_VESSELS  JULI" xfId="94"/>
    <cellStyle name="_Worksheet in (C) 5350 Accounts Receivable testing @30 09 2008" xfId="95"/>
    <cellStyle name="_Worksheet in (C) 8121 Sales cut-off testing 30 06 08" xfId="96"/>
    <cellStyle name="_Worksheet in 5340 Dealing securities - Nomos-Bank @ 30 06 2008-COPY" xfId="97"/>
    <cellStyle name="_Worksheet in 5340 Dealing securities - Nomos-Bank @ 31 12 2007" xfId="98"/>
    <cellStyle name="_Worksheet in 9501 Promgazkomplekt Combined Leadsheet" xfId="99"/>
    <cellStyle name="_Влож в ЦБ-afvtpl-011008-Н-last13" xfId="100"/>
    <cellStyle name="_Доп корректировкапо пр-обр РЕПО" xfId="101"/>
    <cellStyle name="_Запрос 25.3_9 мес 2006" xfId="102"/>
    <cellStyle name="_Книга1" xfId="103"/>
    <cellStyle name="_Операционная аренда" xfId="104"/>
    <cellStyle name="_Ответы по прочим" xfId="105"/>
    <cellStyle name="_Отчетность НОМОС БАНК 2007г.Малярчук" xfId="106"/>
    <cellStyle name="_План счетов без связей" xfId="107"/>
    <cellStyle name="_рекласс по ответам" xfId="108"/>
    <cellStyle name="_РепоА" xfId="109"/>
    <cellStyle name="_Свод 15" xfId="110"/>
    <cellStyle name="_Свод 19" xfId="111"/>
    <cellStyle name="_Свод 2-2 общ" xfId="112"/>
    <cellStyle name="_Свод 28" xfId="113"/>
    <cellStyle name="_Свод дивиденды 2006" xfId="114"/>
    <cellStyle name="_Свод запрос 10-1206" xfId="115"/>
    <cellStyle name="_Свод проформа ОС_v1" xfId="116"/>
    <cellStyle name="_Срочные _РЕПО _300908last" xfId="117"/>
    <cellStyle name="_Шаблон FS 2007_AAP" xfId="118"/>
    <cellStyle name="”ќђќ‘ћ‚›‰" xfId="119"/>
    <cellStyle name="”ќђќ‘ћ‚›‰ 10" xfId="120"/>
    <cellStyle name="”ќђќ‘ћ‚›‰ 11" xfId="121"/>
    <cellStyle name="”ќђќ‘ћ‚›‰ 2" xfId="122"/>
    <cellStyle name="”ќђќ‘ћ‚›‰ 2 2" xfId="123"/>
    <cellStyle name="”ќђќ‘ћ‚›‰ 2 2 2" xfId="124"/>
    <cellStyle name="”ќђќ‘ћ‚›‰ 2 2 3" xfId="125"/>
    <cellStyle name="”ќђќ‘ћ‚›‰ 2 2 4" xfId="126"/>
    <cellStyle name="”ќђќ‘ћ‚›‰ 2 2 5" xfId="127"/>
    <cellStyle name="”ќђќ‘ћ‚›‰ 2 2 6" xfId="128"/>
    <cellStyle name="”ќђќ‘ћ‚›‰ 2 2 7" xfId="129"/>
    <cellStyle name="”ќђќ‘ћ‚›‰ 2 3" xfId="130"/>
    <cellStyle name="”ќђќ‘ћ‚›‰ 2 4" xfId="131"/>
    <cellStyle name="”ќђќ‘ћ‚›‰ 2 5" xfId="132"/>
    <cellStyle name="”ќђќ‘ћ‚›‰ 2 6" xfId="133"/>
    <cellStyle name="”ќђќ‘ћ‚›‰ 2 7" xfId="134"/>
    <cellStyle name="”ќђќ‘ћ‚›‰ 3" xfId="135"/>
    <cellStyle name="”ќђќ‘ћ‚›‰ 4" xfId="136"/>
    <cellStyle name="”ќђќ‘ћ‚›‰ 5" xfId="137"/>
    <cellStyle name="”ќђќ‘ћ‚›‰ 6" xfId="138"/>
    <cellStyle name="”ќђќ‘ћ‚›‰ 7" xfId="139"/>
    <cellStyle name="”ќђќ‘ћ‚›‰ 8" xfId="140"/>
    <cellStyle name="”ќђќ‘ћ‚›‰ 9" xfId="141"/>
    <cellStyle name="”љ‘ђћ‚ђќќ›‰" xfId="142"/>
    <cellStyle name="”љ‘ђћ‚ђќќ›‰ 10" xfId="143"/>
    <cellStyle name="”љ‘ђћ‚ђќќ›‰ 11" xfId="144"/>
    <cellStyle name="”љ‘ђћ‚ђќќ›‰ 2" xfId="145"/>
    <cellStyle name="”љ‘ђћ‚ђќќ›‰ 2 2" xfId="146"/>
    <cellStyle name="”љ‘ђћ‚ђќќ›‰ 2 2 2" xfId="147"/>
    <cellStyle name="”љ‘ђћ‚ђќќ›‰ 2 2 3" xfId="148"/>
    <cellStyle name="”љ‘ђћ‚ђќќ›‰ 2 2 4" xfId="149"/>
    <cellStyle name="”љ‘ђћ‚ђќќ›‰ 2 2 5" xfId="150"/>
    <cellStyle name="”љ‘ђћ‚ђќќ›‰ 2 2 6" xfId="151"/>
    <cellStyle name="”љ‘ђћ‚ђќќ›‰ 2 2 7" xfId="152"/>
    <cellStyle name="”љ‘ђћ‚ђќќ›‰ 2 3" xfId="153"/>
    <cellStyle name="”љ‘ђћ‚ђќќ›‰ 2 4" xfId="154"/>
    <cellStyle name="”љ‘ђћ‚ђќќ›‰ 2 5" xfId="155"/>
    <cellStyle name="”љ‘ђћ‚ђќќ›‰ 2 6" xfId="156"/>
    <cellStyle name="”љ‘ђћ‚ђќќ›‰ 2 7" xfId="157"/>
    <cellStyle name="”љ‘ђћ‚ђќќ›‰ 3" xfId="158"/>
    <cellStyle name="”љ‘ђћ‚ђќќ›‰ 4" xfId="159"/>
    <cellStyle name="”љ‘ђћ‚ђќќ›‰ 5" xfId="160"/>
    <cellStyle name="”љ‘ђћ‚ђќќ›‰ 6" xfId="161"/>
    <cellStyle name="”љ‘ђћ‚ђќќ›‰ 7" xfId="162"/>
    <cellStyle name="”љ‘ђћ‚ђќќ›‰ 8" xfId="163"/>
    <cellStyle name="”љ‘ђћ‚ђќќ›‰ 9" xfId="164"/>
    <cellStyle name="„…ќ…†ќ›‰" xfId="165"/>
    <cellStyle name="„…ќ…†ќ›‰ 10" xfId="166"/>
    <cellStyle name="„…ќ…†ќ›‰ 11" xfId="167"/>
    <cellStyle name="„…ќ…†ќ›‰ 2" xfId="168"/>
    <cellStyle name="„…ќ…†ќ›‰ 2 2" xfId="169"/>
    <cellStyle name="„…ќ…†ќ›‰ 2 2 2" xfId="170"/>
    <cellStyle name="„…ќ…†ќ›‰ 2 2 3" xfId="171"/>
    <cellStyle name="„…ќ…†ќ›‰ 2 2 4" xfId="172"/>
    <cellStyle name="„…ќ…†ќ›‰ 2 2 5" xfId="173"/>
    <cellStyle name="„…ќ…†ќ›‰ 2 2 6" xfId="174"/>
    <cellStyle name="„…ќ…†ќ›‰ 2 2 7" xfId="175"/>
    <cellStyle name="„…ќ…†ќ›‰ 2 3" xfId="176"/>
    <cellStyle name="„…ќ…†ќ›‰ 2 4" xfId="177"/>
    <cellStyle name="„…ќ…†ќ›‰ 2 5" xfId="178"/>
    <cellStyle name="„…ќ…†ќ›‰ 2 6" xfId="179"/>
    <cellStyle name="„…ќ…†ќ›‰ 2 7" xfId="180"/>
    <cellStyle name="„…ќ…†ќ›‰ 3" xfId="181"/>
    <cellStyle name="„…ќ…†ќ›‰ 4" xfId="182"/>
    <cellStyle name="„…ќ…†ќ›‰ 5" xfId="183"/>
    <cellStyle name="„…ќ…†ќ›‰ 6" xfId="184"/>
    <cellStyle name="„…ќ…†ќ›‰ 7" xfId="185"/>
    <cellStyle name="„…ќ…†ќ›‰ 8" xfId="186"/>
    <cellStyle name="„…ќ…†ќ›‰ 9" xfId="187"/>
    <cellStyle name="_x0004_¥" xfId="1"/>
    <cellStyle name="_x0004_¥ 10" xfId="468"/>
    <cellStyle name="_x0004_¥ 11" xfId="509"/>
    <cellStyle name="_x0004_¥ 12" xfId="750"/>
    <cellStyle name="_x0004_¥ 2" xfId="51"/>
    <cellStyle name="_x0004_¥ 2 2" xfId="467"/>
    <cellStyle name="_x0004_¥ 3" xfId="56"/>
    <cellStyle name="_x0004_¥ 3 2" xfId="510"/>
    <cellStyle name="_x0004_¥ 4" xfId="511"/>
    <cellStyle name="_x0004_¥ 5" xfId="512"/>
    <cellStyle name="_x0004_¥ 6" xfId="513"/>
    <cellStyle name="_x0004_¥ 7" xfId="514"/>
    <cellStyle name="_x0004_¥ 8" xfId="515"/>
    <cellStyle name="_x0004_¥ 9" xfId="516"/>
    <cellStyle name="_x0004_¥_Deferred Tax Note." xfId="870"/>
    <cellStyle name="‡ђѓћ‹ћ‚ћљ1" xfId="188"/>
    <cellStyle name="‡ђѓћ‹ћ‚ћљ1 10" xfId="189"/>
    <cellStyle name="‡ђѓћ‹ћ‚ћљ1 11" xfId="190"/>
    <cellStyle name="‡ђѓћ‹ћ‚ћљ1 2" xfId="191"/>
    <cellStyle name="‡ђѓћ‹ћ‚ћљ1 2 2" xfId="192"/>
    <cellStyle name="‡ђѓћ‹ћ‚ћљ1 2 2 2" xfId="193"/>
    <cellStyle name="‡ђѓћ‹ћ‚ћљ1 2 2 3" xfId="194"/>
    <cellStyle name="‡ђѓћ‹ћ‚ћљ1 2 2 4" xfId="195"/>
    <cellStyle name="‡ђѓћ‹ћ‚ћљ1 2 2 5" xfId="196"/>
    <cellStyle name="‡ђѓћ‹ћ‚ћљ1 2 2 6" xfId="197"/>
    <cellStyle name="‡ђѓћ‹ћ‚ћљ1 2 2 7" xfId="198"/>
    <cellStyle name="‡ђѓћ‹ћ‚ћљ1 2 3" xfId="199"/>
    <cellStyle name="‡ђѓћ‹ћ‚ћљ1 2 4" xfId="200"/>
    <cellStyle name="‡ђѓћ‹ћ‚ћљ1 2 5" xfId="201"/>
    <cellStyle name="‡ђѓћ‹ћ‚ћљ1 2 6" xfId="202"/>
    <cellStyle name="‡ђѓћ‹ћ‚ћљ1 2 7" xfId="203"/>
    <cellStyle name="‡ђѓћ‹ћ‚ћљ1 3" xfId="204"/>
    <cellStyle name="‡ђѓћ‹ћ‚ћљ1 4" xfId="205"/>
    <cellStyle name="‡ђѓћ‹ћ‚ћљ1 5" xfId="206"/>
    <cellStyle name="‡ђѓћ‹ћ‚ћљ1 6" xfId="207"/>
    <cellStyle name="‡ђѓћ‹ћ‚ћљ1 7" xfId="208"/>
    <cellStyle name="‡ђѓћ‹ћ‚ћљ1 8" xfId="209"/>
    <cellStyle name="‡ђѓћ‹ћ‚ћљ1 9" xfId="210"/>
    <cellStyle name="‡ђѓћ‹ћ‚ћљ2" xfId="211"/>
    <cellStyle name="‡ђѓћ‹ћ‚ћљ2 10" xfId="212"/>
    <cellStyle name="‡ђѓћ‹ћ‚ћљ2 11" xfId="213"/>
    <cellStyle name="‡ђѓћ‹ћ‚ћљ2 2" xfId="214"/>
    <cellStyle name="‡ђѓћ‹ћ‚ћљ2 2 2" xfId="215"/>
    <cellStyle name="‡ђѓћ‹ћ‚ћљ2 2 2 2" xfId="216"/>
    <cellStyle name="‡ђѓћ‹ћ‚ћљ2 2 2 3" xfId="217"/>
    <cellStyle name="‡ђѓћ‹ћ‚ћљ2 2 2 4" xfId="218"/>
    <cellStyle name="‡ђѓћ‹ћ‚ћљ2 2 2 5" xfId="219"/>
    <cellStyle name="‡ђѓћ‹ћ‚ћљ2 2 2 6" xfId="220"/>
    <cellStyle name="‡ђѓћ‹ћ‚ћљ2 2 2 7" xfId="221"/>
    <cellStyle name="‡ђѓћ‹ћ‚ћљ2 2 3" xfId="222"/>
    <cellStyle name="‡ђѓћ‹ћ‚ћљ2 2 4" xfId="223"/>
    <cellStyle name="‡ђѓћ‹ћ‚ћљ2 2 5" xfId="224"/>
    <cellStyle name="‡ђѓћ‹ћ‚ћљ2 2 6" xfId="225"/>
    <cellStyle name="‡ђѓћ‹ћ‚ћљ2 2 7" xfId="226"/>
    <cellStyle name="‡ђѓћ‹ћ‚ћљ2 3" xfId="227"/>
    <cellStyle name="‡ђѓћ‹ћ‚ћљ2 4" xfId="228"/>
    <cellStyle name="‡ђѓћ‹ћ‚ћљ2 5" xfId="229"/>
    <cellStyle name="‡ђѓћ‹ћ‚ћљ2 6" xfId="230"/>
    <cellStyle name="‡ђѓћ‹ћ‚ћљ2 7" xfId="231"/>
    <cellStyle name="‡ђѓћ‹ћ‚ћљ2 8" xfId="232"/>
    <cellStyle name="‡ђѓћ‹ћ‚ћљ2 9" xfId="233"/>
    <cellStyle name="’ћѓћ‚›‰" xfId="234"/>
    <cellStyle name="’ћѓћ‚›‰ 10" xfId="235"/>
    <cellStyle name="’ћѓћ‚›‰ 11" xfId="236"/>
    <cellStyle name="’ћѓћ‚›‰ 2" xfId="237"/>
    <cellStyle name="’ћѓћ‚›‰ 2 2" xfId="238"/>
    <cellStyle name="’ћѓћ‚›‰ 2 2 2" xfId="239"/>
    <cellStyle name="’ћѓћ‚›‰ 2 2 3" xfId="240"/>
    <cellStyle name="’ћѓћ‚›‰ 2 2 4" xfId="241"/>
    <cellStyle name="’ћѓћ‚›‰ 2 2 5" xfId="242"/>
    <cellStyle name="’ћѓћ‚›‰ 2 2 6" xfId="243"/>
    <cellStyle name="’ћѓћ‚›‰ 2 2 7" xfId="244"/>
    <cellStyle name="’ћѓћ‚›‰ 2 3" xfId="245"/>
    <cellStyle name="’ћѓћ‚›‰ 2 4" xfId="246"/>
    <cellStyle name="’ћѓћ‚›‰ 2 5" xfId="247"/>
    <cellStyle name="’ћѓћ‚›‰ 2 6" xfId="248"/>
    <cellStyle name="’ћѓћ‚›‰ 2 7" xfId="249"/>
    <cellStyle name="’ћѓћ‚›‰ 3" xfId="250"/>
    <cellStyle name="’ћѓћ‚›‰ 4" xfId="251"/>
    <cellStyle name="’ћѓћ‚›‰ 5" xfId="252"/>
    <cellStyle name="’ћѓћ‚›‰ 6" xfId="253"/>
    <cellStyle name="’ћѓћ‚›‰ 7" xfId="254"/>
    <cellStyle name="’ћѓћ‚›‰ 8" xfId="255"/>
    <cellStyle name="’ћѓћ‚›‰ 9" xfId="256"/>
    <cellStyle name="0,00;0;" xfId="257"/>
    <cellStyle name="0,00;0; 10" xfId="258"/>
    <cellStyle name="0,00;0; 11" xfId="259"/>
    <cellStyle name="0,00;0; 2" xfId="260"/>
    <cellStyle name="0,00;0; 3" xfId="261"/>
    <cellStyle name="0,00;0; 4" xfId="262"/>
    <cellStyle name="0,00;0; 5" xfId="263"/>
    <cellStyle name="0,00;0; 6" xfId="264"/>
    <cellStyle name="0,00;0; 7" xfId="265"/>
    <cellStyle name="0,00;0; 8" xfId="266"/>
    <cellStyle name="0,00;0; 9" xfId="267"/>
    <cellStyle name="1" xfId="751"/>
    <cellStyle name="1_15(2)1" xfId="752"/>
    <cellStyle name="1_15(3)" xfId="753"/>
    <cellStyle name="1_6(2Y1)" xfId="754"/>
    <cellStyle name="1_9" xfId="755"/>
    <cellStyle name="1_Libro2" xfId="756"/>
    <cellStyle name="1_MOCHASA P11-02 V0" xfId="757"/>
    <cellStyle name="2" xfId="758"/>
    <cellStyle name="2_15(2)1" xfId="759"/>
    <cellStyle name="2_15(3)" xfId="760"/>
    <cellStyle name="2_BAL.AGRIS" xfId="761"/>
    <cellStyle name="2_BALANCE SHEET" xfId="762"/>
    <cellStyle name="2_CONVERS$" xfId="763"/>
    <cellStyle name="2_DATOS" xfId="764"/>
    <cellStyle name="2_INCOME STAT." xfId="765"/>
    <cellStyle name="2_MACROS" xfId="766"/>
    <cellStyle name="2_MOCHASA P11-02 V0" xfId="767"/>
    <cellStyle name="2_VARIOS" xfId="768"/>
    <cellStyle name="20% - Accent1" xfId="2" builtinId="30" customBuiltin="1"/>
    <cellStyle name="20% - Accent1 2" xfId="527"/>
    <cellStyle name="20% - Accent1 2 2" xfId="556"/>
    <cellStyle name="20% - Accent1 2 3" xfId="645"/>
    <cellStyle name="20% - Accent1 2 3 2" xfId="1013"/>
    <cellStyle name="20% - Accent1 2 3 2 2" xfId="1423"/>
    <cellStyle name="20% - Accent1 2 3 3" xfId="1221"/>
    <cellStyle name="20% - Accent1 2 4" xfId="709"/>
    <cellStyle name="20% - Accent1 2 4 2" xfId="1077"/>
    <cellStyle name="20% - Accent1 2 4 2 2" xfId="1487"/>
    <cellStyle name="20% - Accent1 2 4 3" xfId="1285"/>
    <cellStyle name="20% - Accent1 2 5" xfId="769"/>
    <cellStyle name="20% - Accent1 2 6" xfId="950"/>
    <cellStyle name="20% - Accent1 2 6 2" xfId="1360"/>
    <cellStyle name="20% - Accent1 2 7" xfId="1156"/>
    <cellStyle name="20% - Accent1 2_Deferred Tax Note." xfId="871"/>
    <cellStyle name="20% - Accent1 3" xfId="543"/>
    <cellStyle name="20% - Accent1 3 2" xfId="659"/>
    <cellStyle name="20% - Accent1 3 2 2" xfId="1027"/>
    <cellStyle name="20% - Accent1 3 2 2 2" xfId="1437"/>
    <cellStyle name="20% - Accent1 3 2 3" xfId="1235"/>
    <cellStyle name="20% - Accent1 3 3" xfId="723"/>
    <cellStyle name="20% - Accent1 3 3 2" xfId="1091"/>
    <cellStyle name="20% - Accent1 3 3 2 2" xfId="1501"/>
    <cellStyle name="20% - Accent1 3 3 3" xfId="1299"/>
    <cellStyle name="20% - Accent1 3 4" xfId="964"/>
    <cellStyle name="20% - Accent1 3 4 2" xfId="1374"/>
    <cellStyle name="20% - Accent1 3 5" xfId="1170"/>
    <cellStyle name="20% - Accent1 4" xfId="486"/>
    <cellStyle name="20% - Accent1 4 2" xfId="629"/>
    <cellStyle name="20% - Accent1 4 2 2" xfId="997"/>
    <cellStyle name="20% - Accent1 4 2 2 2" xfId="1407"/>
    <cellStyle name="20% - Accent1 4 2 3" xfId="1205"/>
    <cellStyle name="20% - Accent1 4 3" xfId="693"/>
    <cellStyle name="20% - Accent1 4 3 2" xfId="1061"/>
    <cellStyle name="20% - Accent1 4 3 2 2" xfId="1471"/>
    <cellStyle name="20% - Accent1 4 3 3" xfId="1269"/>
    <cellStyle name="20% - Accent1 4 4" xfId="934"/>
    <cellStyle name="20% - Accent1 4 4 2" xfId="1344"/>
    <cellStyle name="20% - Accent1 4 5" xfId="1138"/>
    <cellStyle name="20% - Accent2" xfId="3" builtinId="34" customBuiltin="1"/>
    <cellStyle name="20% - Accent2 2" xfId="529"/>
    <cellStyle name="20% - Accent2 2 2" xfId="557"/>
    <cellStyle name="20% - Accent2 2 3" xfId="647"/>
    <cellStyle name="20% - Accent2 2 3 2" xfId="1015"/>
    <cellStyle name="20% - Accent2 2 3 2 2" xfId="1425"/>
    <cellStyle name="20% - Accent2 2 3 3" xfId="1223"/>
    <cellStyle name="20% - Accent2 2 4" xfId="711"/>
    <cellStyle name="20% - Accent2 2 4 2" xfId="1079"/>
    <cellStyle name="20% - Accent2 2 4 2 2" xfId="1489"/>
    <cellStyle name="20% - Accent2 2 4 3" xfId="1287"/>
    <cellStyle name="20% - Accent2 2 5" xfId="770"/>
    <cellStyle name="20% - Accent2 2 6" xfId="952"/>
    <cellStyle name="20% - Accent2 2 6 2" xfId="1362"/>
    <cellStyle name="20% - Accent2 2 7" xfId="1158"/>
    <cellStyle name="20% - Accent2 2_Deferred Tax Note." xfId="872"/>
    <cellStyle name="20% - Accent2 3" xfId="545"/>
    <cellStyle name="20% - Accent2 3 2" xfId="661"/>
    <cellStyle name="20% - Accent2 3 2 2" xfId="1029"/>
    <cellStyle name="20% - Accent2 3 2 2 2" xfId="1439"/>
    <cellStyle name="20% - Accent2 3 2 3" xfId="1237"/>
    <cellStyle name="20% - Accent2 3 3" xfId="725"/>
    <cellStyle name="20% - Accent2 3 3 2" xfId="1093"/>
    <cellStyle name="20% - Accent2 3 3 2 2" xfId="1503"/>
    <cellStyle name="20% - Accent2 3 3 3" xfId="1301"/>
    <cellStyle name="20% - Accent2 3 4" xfId="966"/>
    <cellStyle name="20% - Accent2 3 4 2" xfId="1376"/>
    <cellStyle name="20% - Accent2 3 5" xfId="1172"/>
    <cellStyle name="20% - Accent2 4" xfId="490"/>
    <cellStyle name="20% - Accent2 4 2" xfId="631"/>
    <cellStyle name="20% - Accent2 4 2 2" xfId="999"/>
    <cellStyle name="20% - Accent2 4 2 2 2" xfId="1409"/>
    <cellStyle name="20% - Accent2 4 2 3" xfId="1207"/>
    <cellStyle name="20% - Accent2 4 3" xfId="695"/>
    <cellStyle name="20% - Accent2 4 3 2" xfId="1063"/>
    <cellStyle name="20% - Accent2 4 3 2 2" xfId="1473"/>
    <cellStyle name="20% - Accent2 4 3 3" xfId="1271"/>
    <cellStyle name="20% - Accent2 4 4" xfId="936"/>
    <cellStyle name="20% - Accent2 4 4 2" xfId="1346"/>
    <cellStyle name="20% - Accent2 4 5" xfId="1140"/>
    <cellStyle name="20% - Accent3" xfId="4" builtinId="38" customBuiltin="1"/>
    <cellStyle name="20% - Accent3 2" xfId="531"/>
    <cellStyle name="20% - Accent3 2 2" xfId="558"/>
    <cellStyle name="20% - Accent3 2 3" xfId="649"/>
    <cellStyle name="20% - Accent3 2 3 2" xfId="1017"/>
    <cellStyle name="20% - Accent3 2 3 2 2" xfId="1427"/>
    <cellStyle name="20% - Accent3 2 3 3" xfId="1225"/>
    <cellStyle name="20% - Accent3 2 4" xfId="713"/>
    <cellStyle name="20% - Accent3 2 4 2" xfId="1081"/>
    <cellStyle name="20% - Accent3 2 4 2 2" xfId="1491"/>
    <cellStyle name="20% - Accent3 2 4 3" xfId="1289"/>
    <cellStyle name="20% - Accent3 2 5" xfId="771"/>
    <cellStyle name="20% - Accent3 2 6" xfId="954"/>
    <cellStyle name="20% - Accent3 2 6 2" xfId="1364"/>
    <cellStyle name="20% - Accent3 2 7" xfId="1160"/>
    <cellStyle name="20% - Accent3 2_Deferred Tax Note." xfId="873"/>
    <cellStyle name="20% - Accent3 3" xfId="547"/>
    <cellStyle name="20% - Accent3 3 2" xfId="663"/>
    <cellStyle name="20% - Accent3 3 2 2" xfId="1031"/>
    <cellStyle name="20% - Accent3 3 2 2 2" xfId="1441"/>
    <cellStyle name="20% - Accent3 3 2 3" xfId="1239"/>
    <cellStyle name="20% - Accent3 3 3" xfId="727"/>
    <cellStyle name="20% - Accent3 3 3 2" xfId="1095"/>
    <cellStyle name="20% - Accent3 3 3 2 2" xfId="1505"/>
    <cellStyle name="20% - Accent3 3 3 3" xfId="1303"/>
    <cellStyle name="20% - Accent3 3 4" xfId="968"/>
    <cellStyle name="20% - Accent3 3 4 2" xfId="1378"/>
    <cellStyle name="20% - Accent3 3 5" xfId="1174"/>
    <cellStyle name="20% - Accent3 4" xfId="494"/>
    <cellStyle name="20% - Accent3 4 2" xfId="633"/>
    <cellStyle name="20% - Accent3 4 2 2" xfId="1001"/>
    <cellStyle name="20% - Accent3 4 2 2 2" xfId="1411"/>
    <cellStyle name="20% - Accent3 4 2 3" xfId="1209"/>
    <cellStyle name="20% - Accent3 4 3" xfId="697"/>
    <cellStyle name="20% - Accent3 4 3 2" xfId="1065"/>
    <cellStyle name="20% - Accent3 4 3 2 2" xfId="1475"/>
    <cellStyle name="20% - Accent3 4 3 3" xfId="1273"/>
    <cellStyle name="20% - Accent3 4 4" xfId="938"/>
    <cellStyle name="20% - Accent3 4 4 2" xfId="1348"/>
    <cellStyle name="20% - Accent3 4 5" xfId="1142"/>
    <cellStyle name="20% - Accent4" xfId="5" builtinId="42" customBuiltin="1"/>
    <cellStyle name="20% - Accent4 2" xfId="533"/>
    <cellStyle name="20% - Accent4 2 2" xfId="559"/>
    <cellStyle name="20% - Accent4 2 3" xfId="651"/>
    <cellStyle name="20% - Accent4 2 3 2" xfId="1019"/>
    <cellStyle name="20% - Accent4 2 3 2 2" xfId="1429"/>
    <cellStyle name="20% - Accent4 2 3 3" xfId="1227"/>
    <cellStyle name="20% - Accent4 2 4" xfId="715"/>
    <cellStyle name="20% - Accent4 2 4 2" xfId="1083"/>
    <cellStyle name="20% - Accent4 2 4 2 2" xfId="1493"/>
    <cellStyle name="20% - Accent4 2 4 3" xfId="1291"/>
    <cellStyle name="20% - Accent4 2 5" xfId="772"/>
    <cellStyle name="20% - Accent4 2 6" xfId="956"/>
    <cellStyle name="20% - Accent4 2 6 2" xfId="1366"/>
    <cellStyle name="20% - Accent4 2 7" xfId="1162"/>
    <cellStyle name="20% - Accent4 2_Deferred Tax Note." xfId="874"/>
    <cellStyle name="20% - Accent4 3" xfId="549"/>
    <cellStyle name="20% - Accent4 3 2" xfId="665"/>
    <cellStyle name="20% - Accent4 3 2 2" xfId="1033"/>
    <cellStyle name="20% - Accent4 3 2 2 2" xfId="1443"/>
    <cellStyle name="20% - Accent4 3 2 3" xfId="1241"/>
    <cellStyle name="20% - Accent4 3 3" xfId="729"/>
    <cellStyle name="20% - Accent4 3 3 2" xfId="1097"/>
    <cellStyle name="20% - Accent4 3 3 2 2" xfId="1507"/>
    <cellStyle name="20% - Accent4 3 3 3" xfId="1305"/>
    <cellStyle name="20% - Accent4 3 4" xfId="970"/>
    <cellStyle name="20% - Accent4 3 4 2" xfId="1380"/>
    <cellStyle name="20% - Accent4 3 5" xfId="1176"/>
    <cellStyle name="20% - Accent4 4" xfId="498"/>
    <cellStyle name="20% - Accent4 4 2" xfId="635"/>
    <cellStyle name="20% - Accent4 4 2 2" xfId="1003"/>
    <cellStyle name="20% - Accent4 4 2 2 2" xfId="1413"/>
    <cellStyle name="20% - Accent4 4 2 3" xfId="1211"/>
    <cellStyle name="20% - Accent4 4 3" xfId="699"/>
    <cellStyle name="20% - Accent4 4 3 2" xfId="1067"/>
    <cellStyle name="20% - Accent4 4 3 2 2" xfId="1477"/>
    <cellStyle name="20% - Accent4 4 3 3" xfId="1275"/>
    <cellStyle name="20% - Accent4 4 4" xfId="940"/>
    <cellStyle name="20% - Accent4 4 4 2" xfId="1350"/>
    <cellStyle name="20% - Accent4 4 5" xfId="1144"/>
    <cellStyle name="20% - Accent5" xfId="6" builtinId="46" customBuiltin="1"/>
    <cellStyle name="20% - Accent5 2" xfId="535"/>
    <cellStyle name="20% - Accent5 2 2" xfId="560"/>
    <cellStyle name="20% - Accent5 2 3" xfId="653"/>
    <cellStyle name="20% - Accent5 2 3 2" xfId="1021"/>
    <cellStyle name="20% - Accent5 2 3 2 2" xfId="1431"/>
    <cellStyle name="20% - Accent5 2 3 3" xfId="1229"/>
    <cellStyle name="20% - Accent5 2 4" xfId="717"/>
    <cellStyle name="20% - Accent5 2 4 2" xfId="1085"/>
    <cellStyle name="20% - Accent5 2 4 2 2" xfId="1495"/>
    <cellStyle name="20% - Accent5 2 4 3" xfId="1293"/>
    <cellStyle name="20% - Accent5 2 5" xfId="773"/>
    <cellStyle name="20% - Accent5 2 6" xfId="958"/>
    <cellStyle name="20% - Accent5 2 6 2" xfId="1368"/>
    <cellStyle name="20% - Accent5 2 7" xfId="1164"/>
    <cellStyle name="20% - Accent5 2_Deferred Tax Note." xfId="875"/>
    <cellStyle name="20% - Accent5 3" xfId="551"/>
    <cellStyle name="20% - Accent5 3 2" xfId="667"/>
    <cellStyle name="20% - Accent5 3 2 2" xfId="1035"/>
    <cellStyle name="20% - Accent5 3 2 2 2" xfId="1445"/>
    <cellStyle name="20% - Accent5 3 2 3" xfId="1243"/>
    <cellStyle name="20% - Accent5 3 3" xfId="731"/>
    <cellStyle name="20% - Accent5 3 3 2" xfId="1099"/>
    <cellStyle name="20% - Accent5 3 3 2 2" xfId="1509"/>
    <cellStyle name="20% - Accent5 3 3 3" xfId="1307"/>
    <cellStyle name="20% - Accent5 3 4" xfId="972"/>
    <cellStyle name="20% - Accent5 3 4 2" xfId="1382"/>
    <cellStyle name="20% - Accent5 3 5" xfId="1178"/>
    <cellStyle name="20% - Accent5 4" xfId="502"/>
    <cellStyle name="20% - Accent5 4 2" xfId="637"/>
    <cellStyle name="20% - Accent5 4 2 2" xfId="1005"/>
    <cellStyle name="20% - Accent5 4 2 2 2" xfId="1415"/>
    <cellStyle name="20% - Accent5 4 2 3" xfId="1213"/>
    <cellStyle name="20% - Accent5 4 3" xfId="701"/>
    <cellStyle name="20% - Accent5 4 3 2" xfId="1069"/>
    <cellStyle name="20% - Accent5 4 3 2 2" xfId="1479"/>
    <cellStyle name="20% - Accent5 4 3 3" xfId="1277"/>
    <cellStyle name="20% - Accent5 4 4" xfId="942"/>
    <cellStyle name="20% - Accent5 4 4 2" xfId="1352"/>
    <cellStyle name="20% - Accent5 4 5" xfId="1146"/>
    <cellStyle name="20% - Accent6" xfId="7" builtinId="50" customBuiltin="1"/>
    <cellStyle name="20% - Accent6 2" xfId="537"/>
    <cellStyle name="20% - Accent6 2 2" xfId="561"/>
    <cellStyle name="20% - Accent6 2 3" xfId="655"/>
    <cellStyle name="20% - Accent6 2 3 2" xfId="1023"/>
    <cellStyle name="20% - Accent6 2 3 2 2" xfId="1433"/>
    <cellStyle name="20% - Accent6 2 3 3" xfId="1231"/>
    <cellStyle name="20% - Accent6 2 4" xfId="719"/>
    <cellStyle name="20% - Accent6 2 4 2" xfId="1087"/>
    <cellStyle name="20% - Accent6 2 4 2 2" xfId="1497"/>
    <cellStyle name="20% - Accent6 2 4 3" xfId="1295"/>
    <cellStyle name="20% - Accent6 2 5" xfId="774"/>
    <cellStyle name="20% - Accent6 2 6" xfId="960"/>
    <cellStyle name="20% - Accent6 2 6 2" xfId="1370"/>
    <cellStyle name="20% - Accent6 2 7" xfId="1166"/>
    <cellStyle name="20% - Accent6 2_Deferred Tax Note." xfId="876"/>
    <cellStyle name="20% - Accent6 3" xfId="553"/>
    <cellStyle name="20% - Accent6 3 2" xfId="669"/>
    <cellStyle name="20% - Accent6 3 2 2" xfId="1037"/>
    <cellStyle name="20% - Accent6 3 2 2 2" xfId="1447"/>
    <cellStyle name="20% - Accent6 3 2 3" xfId="1245"/>
    <cellStyle name="20% - Accent6 3 3" xfId="733"/>
    <cellStyle name="20% - Accent6 3 3 2" xfId="1101"/>
    <cellStyle name="20% - Accent6 3 3 2 2" xfId="1511"/>
    <cellStyle name="20% - Accent6 3 3 3" xfId="1309"/>
    <cellStyle name="20% - Accent6 3 4" xfId="974"/>
    <cellStyle name="20% - Accent6 3 4 2" xfId="1384"/>
    <cellStyle name="20% - Accent6 3 5" xfId="1180"/>
    <cellStyle name="20% - Accent6 4" xfId="506"/>
    <cellStyle name="20% - Accent6 4 2" xfId="639"/>
    <cellStyle name="20% - Accent6 4 2 2" xfId="1007"/>
    <cellStyle name="20% - Accent6 4 2 2 2" xfId="1417"/>
    <cellStyle name="20% - Accent6 4 2 3" xfId="1215"/>
    <cellStyle name="20% - Accent6 4 3" xfId="703"/>
    <cellStyle name="20% - Accent6 4 3 2" xfId="1071"/>
    <cellStyle name="20% - Accent6 4 3 2 2" xfId="1481"/>
    <cellStyle name="20% - Accent6 4 3 3" xfId="1279"/>
    <cellStyle name="20% - Accent6 4 4" xfId="944"/>
    <cellStyle name="20% - Accent6 4 4 2" xfId="1354"/>
    <cellStyle name="20% - Accent6 4 5" xfId="1148"/>
    <cellStyle name="20% - Акцент1" xfId="268"/>
    <cellStyle name="20% - Акцент2" xfId="269"/>
    <cellStyle name="20% - Акцент3" xfId="270"/>
    <cellStyle name="20% - Акцент4" xfId="271"/>
    <cellStyle name="20% - Акцент5" xfId="272"/>
    <cellStyle name="20% - Акцент6" xfId="273"/>
    <cellStyle name="40% - Accent1" xfId="8" builtinId="31" customBuiltin="1"/>
    <cellStyle name="40% - Accent1 2" xfId="528"/>
    <cellStyle name="40% - Accent1 2 2" xfId="562"/>
    <cellStyle name="40% - Accent1 2 3" xfId="646"/>
    <cellStyle name="40% - Accent1 2 3 2" xfId="1014"/>
    <cellStyle name="40% - Accent1 2 3 2 2" xfId="1424"/>
    <cellStyle name="40% - Accent1 2 3 3" xfId="1222"/>
    <cellStyle name="40% - Accent1 2 4" xfId="710"/>
    <cellStyle name="40% - Accent1 2 4 2" xfId="1078"/>
    <cellStyle name="40% - Accent1 2 4 2 2" xfId="1488"/>
    <cellStyle name="40% - Accent1 2 4 3" xfId="1286"/>
    <cellStyle name="40% - Accent1 2 5" xfId="775"/>
    <cellStyle name="40% - Accent1 2 6" xfId="951"/>
    <cellStyle name="40% - Accent1 2 6 2" xfId="1361"/>
    <cellStyle name="40% - Accent1 2 7" xfId="1157"/>
    <cellStyle name="40% - Accent1 2_Deferred Tax Note." xfId="877"/>
    <cellStyle name="40% - Accent1 3" xfId="544"/>
    <cellStyle name="40% - Accent1 3 2" xfId="660"/>
    <cellStyle name="40% - Accent1 3 2 2" xfId="1028"/>
    <cellStyle name="40% - Accent1 3 2 2 2" xfId="1438"/>
    <cellStyle name="40% - Accent1 3 2 3" xfId="1236"/>
    <cellStyle name="40% - Accent1 3 3" xfId="724"/>
    <cellStyle name="40% - Accent1 3 3 2" xfId="1092"/>
    <cellStyle name="40% - Accent1 3 3 2 2" xfId="1502"/>
    <cellStyle name="40% - Accent1 3 3 3" xfId="1300"/>
    <cellStyle name="40% - Accent1 3 4" xfId="965"/>
    <cellStyle name="40% - Accent1 3 4 2" xfId="1375"/>
    <cellStyle name="40% - Accent1 3 5" xfId="1171"/>
    <cellStyle name="40% - Accent1 4" xfId="487"/>
    <cellStyle name="40% - Accent1 4 2" xfId="630"/>
    <cellStyle name="40% - Accent1 4 2 2" xfId="998"/>
    <cellStyle name="40% - Accent1 4 2 2 2" xfId="1408"/>
    <cellStyle name="40% - Accent1 4 2 3" xfId="1206"/>
    <cellStyle name="40% - Accent1 4 3" xfId="694"/>
    <cellStyle name="40% - Accent1 4 3 2" xfId="1062"/>
    <cellStyle name="40% - Accent1 4 3 2 2" xfId="1472"/>
    <cellStyle name="40% - Accent1 4 3 3" xfId="1270"/>
    <cellStyle name="40% - Accent1 4 4" xfId="935"/>
    <cellStyle name="40% - Accent1 4 4 2" xfId="1345"/>
    <cellStyle name="40% - Accent1 4 5" xfId="1139"/>
    <cellStyle name="40% - Accent2" xfId="9" builtinId="35" customBuiltin="1"/>
    <cellStyle name="40% - Accent2 2" xfId="530"/>
    <cellStyle name="40% - Accent2 2 2" xfId="563"/>
    <cellStyle name="40% - Accent2 2 3" xfId="648"/>
    <cellStyle name="40% - Accent2 2 3 2" xfId="1016"/>
    <cellStyle name="40% - Accent2 2 3 2 2" xfId="1426"/>
    <cellStyle name="40% - Accent2 2 3 3" xfId="1224"/>
    <cellStyle name="40% - Accent2 2 4" xfId="712"/>
    <cellStyle name="40% - Accent2 2 4 2" xfId="1080"/>
    <cellStyle name="40% - Accent2 2 4 2 2" xfId="1490"/>
    <cellStyle name="40% - Accent2 2 4 3" xfId="1288"/>
    <cellStyle name="40% - Accent2 2 5" xfId="776"/>
    <cellStyle name="40% - Accent2 2 6" xfId="953"/>
    <cellStyle name="40% - Accent2 2 6 2" xfId="1363"/>
    <cellStyle name="40% - Accent2 2 7" xfId="1159"/>
    <cellStyle name="40% - Accent2 2_Deferred Tax Note." xfId="878"/>
    <cellStyle name="40% - Accent2 3" xfId="546"/>
    <cellStyle name="40% - Accent2 3 2" xfId="662"/>
    <cellStyle name="40% - Accent2 3 2 2" xfId="1030"/>
    <cellStyle name="40% - Accent2 3 2 2 2" xfId="1440"/>
    <cellStyle name="40% - Accent2 3 2 3" xfId="1238"/>
    <cellStyle name="40% - Accent2 3 3" xfId="726"/>
    <cellStyle name="40% - Accent2 3 3 2" xfId="1094"/>
    <cellStyle name="40% - Accent2 3 3 2 2" xfId="1504"/>
    <cellStyle name="40% - Accent2 3 3 3" xfId="1302"/>
    <cellStyle name="40% - Accent2 3 4" xfId="967"/>
    <cellStyle name="40% - Accent2 3 4 2" xfId="1377"/>
    <cellStyle name="40% - Accent2 3 5" xfId="1173"/>
    <cellStyle name="40% - Accent2 4" xfId="491"/>
    <cellStyle name="40% - Accent2 4 2" xfId="632"/>
    <cellStyle name="40% - Accent2 4 2 2" xfId="1000"/>
    <cellStyle name="40% - Accent2 4 2 2 2" xfId="1410"/>
    <cellStyle name="40% - Accent2 4 2 3" xfId="1208"/>
    <cellStyle name="40% - Accent2 4 3" xfId="696"/>
    <cellStyle name="40% - Accent2 4 3 2" xfId="1064"/>
    <cellStyle name="40% - Accent2 4 3 2 2" xfId="1474"/>
    <cellStyle name="40% - Accent2 4 3 3" xfId="1272"/>
    <cellStyle name="40% - Accent2 4 4" xfId="937"/>
    <cellStyle name="40% - Accent2 4 4 2" xfId="1347"/>
    <cellStyle name="40% - Accent2 4 5" xfId="1141"/>
    <cellStyle name="40% - Accent3" xfId="10" builtinId="39" customBuiltin="1"/>
    <cellStyle name="40% - Accent3 2" xfId="532"/>
    <cellStyle name="40% - Accent3 2 2" xfId="564"/>
    <cellStyle name="40% - Accent3 2 3" xfId="650"/>
    <cellStyle name="40% - Accent3 2 3 2" xfId="1018"/>
    <cellStyle name="40% - Accent3 2 3 2 2" xfId="1428"/>
    <cellStyle name="40% - Accent3 2 3 3" xfId="1226"/>
    <cellStyle name="40% - Accent3 2 4" xfId="714"/>
    <cellStyle name="40% - Accent3 2 4 2" xfId="1082"/>
    <cellStyle name="40% - Accent3 2 4 2 2" xfId="1492"/>
    <cellStyle name="40% - Accent3 2 4 3" xfId="1290"/>
    <cellStyle name="40% - Accent3 2 5" xfId="777"/>
    <cellStyle name="40% - Accent3 2 6" xfId="955"/>
    <cellStyle name="40% - Accent3 2 6 2" xfId="1365"/>
    <cellStyle name="40% - Accent3 2 7" xfId="1161"/>
    <cellStyle name="40% - Accent3 2_Deferred Tax Note." xfId="879"/>
    <cellStyle name="40% - Accent3 3" xfId="548"/>
    <cellStyle name="40% - Accent3 3 2" xfId="664"/>
    <cellStyle name="40% - Accent3 3 2 2" xfId="1032"/>
    <cellStyle name="40% - Accent3 3 2 2 2" xfId="1442"/>
    <cellStyle name="40% - Accent3 3 2 3" xfId="1240"/>
    <cellStyle name="40% - Accent3 3 3" xfId="728"/>
    <cellStyle name="40% - Accent3 3 3 2" xfId="1096"/>
    <cellStyle name="40% - Accent3 3 3 2 2" xfId="1506"/>
    <cellStyle name="40% - Accent3 3 3 3" xfId="1304"/>
    <cellStyle name="40% - Accent3 3 4" xfId="969"/>
    <cellStyle name="40% - Accent3 3 4 2" xfId="1379"/>
    <cellStyle name="40% - Accent3 3 5" xfId="1175"/>
    <cellStyle name="40% - Accent3 4" xfId="495"/>
    <cellStyle name="40% - Accent3 4 2" xfId="634"/>
    <cellStyle name="40% - Accent3 4 2 2" xfId="1002"/>
    <cellStyle name="40% - Accent3 4 2 2 2" xfId="1412"/>
    <cellStyle name="40% - Accent3 4 2 3" xfId="1210"/>
    <cellStyle name="40% - Accent3 4 3" xfId="698"/>
    <cellStyle name="40% - Accent3 4 3 2" xfId="1066"/>
    <cellStyle name="40% - Accent3 4 3 2 2" xfId="1476"/>
    <cellStyle name="40% - Accent3 4 3 3" xfId="1274"/>
    <cellStyle name="40% - Accent3 4 4" xfId="939"/>
    <cellStyle name="40% - Accent3 4 4 2" xfId="1349"/>
    <cellStyle name="40% - Accent3 4 5" xfId="1143"/>
    <cellStyle name="40% - Accent4" xfId="11" builtinId="43" customBuiltin="1"/>
    <cellStyle name="40% - Accent4 2" xfId="534"/>
    <cellStyle name="40% - Accent4 2 2" xfId="565"/>
    <cellStyle name="40% - Accent4 2 3" xfId="652"/>
    <cellStyle name="40% - Accent4 2 3 2" xfId="1020"/>
    <cellStyle name="40% - Accent4 2 3 2 2" xfId="1430"/>
    <cellStyle name="40% - Accent4 2 3 3" xfId="1228"/>
    <cellStyle name="40% - Accent4 2 4" xfId="716"/>
    <cellStyle name="40% - Accent4 2 4 2" xfId="1084"/>
    <cellStyle name="40% - Accent4 2 4 2 2" xfId="1494"/>
    <cellStyle name="40% - Accent4 2 4 3" xfId="1292"/>
    <cellStyle name="40% - Accent4 2 5" xfId="778"/>
    <cellStyle name="40% - Accent4 2 6" xfId="957"/>
    <cellStyle name="40% - Accent4 2 6 2" xfId="1367"/>
    <cellStyle name="40% - Accent4 2 7" xfId="1163"/>
    <cellStyle name="40% - Accent4 2_Deferred Tax Note." xfId="880"/>
    <cellStyle name="40% - Accent4 3" xfId="550"/>
    <cellStyle name="40% - Accent4 3 2" xfId="666"/>
    <cellStyle name="40% - Accent4 3 2 2" xfId="1034"/>
    <cellStyle name="40% - Accent4 3 2 2 2" xfId="1444"/>
    <cellStyle name="40% - Accent4 3 2 3" xfId="1242"/>
    <cellStyle name="40% - Accent4 3 3" xfId="730"/>
    <cellStyle name="40% - Accent4 3 3 2" xfId="1098"/>
    <cellStyle name="40% - Accent4 3 3 2 2" xfId="1508"/>
    <cellStyle name="40% - Accent4 3 3 3" xfId="1306"/>
    <cellStyle name="40% - Accent4 3 4" xfId="971"/>
    <cellStyle name="40% - Accent4 3 4 2" xfId="1381"/>
    <cellStyle name="40% - Accent4 3 5" xfId="1177"/>
    <cellStyle name="40% - Accent4 4" xfId="499"/>
    <cellStyle name="40% - Accent4 4 2" xfId="636"/>
    <cellStyle name="40% - Accent4 4 2 2" xfId="1004"/>
    <cellStyle name="40% - Accent4 4 2 2 2" xfId="1414"/>
    <cellStyle name="40% - Accent4 4 2 3" xfId="1212"/>
    <cellStyle name="40% - Accent4 4 3" xfId="700"/>
    <cellStyle name="40% - Accent4 4 3 2" xfId="1068"/>
    <cellStyle name="40% - Accent4 4 3 2 2" xfId="1478"/>
    <cellStyle name="40% - Accent4 4 3 3" xfId="1276"/>
    <cellStyle name="40% - Accent4 4 4" xfId="941"/>
    <cellStyle name="40% - Accent4 4 4 2" xfId="1351"/>
    <cellStyle name="40% - Accent4 4 5" xfId="1145"/>
    <cellStyle name="40% - Accent5" xfId="12" builtinId="47" customBuiltin="1"/>
    <cellStyle name="40% - Accent5 2" xfId="536"/>
    <cellStyle name="40% - Accent5 2 2" xfId="566"/>
    <cellStyle name="40% - Accent5 2 3" xfId="654"/>
    <cellStyle name="40% - Accent5 2 3 2" xfId="1022"/>
    <cellStyle name="40% - Accent5 2 3 2 2" xfId="1432"/>
    <cellStyle name="40% - Accent5 2 3 3" xfId="1230"/>
    <cellStyle name="40% - Accent5 2 4" xfId="718"/>
    <cellStyle name="40% - Accent5 2 4 2" xfId="1086"/>
    <cellStyle name="40% - Accent5 2 4 2 2" xfId="1496"/>
    <cellStyle name="40% - Accent5 2 4 3" xfId="1294"/>
    <cellStyle name="40% - Accent5 2 5" xfId="779"/>
    <cellStyle name="40% - Accent5 2 6" xfId="959"/>
    <cellStyle name="40% - Accent5 2 6 2" xfId="1369"/>
    <cellStyle name="40% - Accent5 2 7" xfId="1165"/>
    <cellStyle name="40% - Accent5 2_Deferred Tax Note." xfId="881"/>
    <cellStyle name="40% - Accent5 3" xfId="552"/>
    <cellStyle name="40% - Accent5 3 2" xfId="668"/>
    <cellStyle name="40% - Accent5 3 2 2" xfId="1036"/>
    <cellStyle name="40% - Accent5 3 2 2 2" xfId="1446"/>
    <cellStyle name="40% - Accent5 3 2 3" xfId="1244"/>
    <cellStyle name="40% - Accent5 3 3" xfId="732"/>
    <cellStyle name="40% - Accent5 3 3 2" xfId="1100"/>
    <cellStyle name="40% - Accent5 3 3 2 2" xfId="1510"/>
    <cellStyle name="40% - Accent5 3 3 3" xfId="1308"/>
    <cellStyle name="40% - Accent5 3 4" xfId="973"/>
    <cellStyle name="40% - Accent5 3 4 2" xfId="1383"/>
    <cellStyle name="40% - Accent5 3 5" xfId="1179"/>
    <cellStyle name="40% - Accent5 4" xfId="503"/>
    <cellStyle name="40% - Accent5 4 2" xfId="638"/>
    <cellStyle name="40% - Accent5 4 2 2" xfId="1006"/>
    <cellStyle name="40% - Accent5 4 2 2 2" xfId="1416"/>
    <cellStyle name="40% - Accent5 4 2 3" xfId="1214"/>
    <cellStyle name="40% - Accent5 4 3" xfId="702"/>
    <cellStyle name="40% - Accent5 4 3 2" xfId="1070"/>
    <cellStyle name="40% - Accent5 4 3 2 2" xfId="1480"/>
    <cellStyle name="40% - Accent5 4 3 3" xfId="1278"/>
    <cellStyle name="40% - Accent5 4 4" xfId="943"/>
    <cellStyle name="40% - Accent5 4 4 2" xfId="1353"/>
    <cellStyle name="40% - Accent5 4 5" xfId="1147"/>
    <cellStyle name="40% - Accent6" xfId="13" builtinId="51" customBuiltin="1"/>
    <cellStyle name="40% - Accent6 2" xfId="538"/>
    <cellStyle name="40% - Accent6 2 2" xfId="567"/>
    <cellStyle name="40% - Accent6 2 3" xfId="656"/>
    <cellStyle name="40% - Accent6 2 3 2" xfId="1024"/>
    <cellStyle name="40% - Accent6 2 3 2 2" xfId="1434"/>
    <cellStyle name="40% - Accent6 2 3 3" xfId="1232"/>
    <cellStyle name="40% - Accent6 2 4" xfId="720"/>
    <cellStyle name="40% - Accent6 2 4 2" xfId="1088"/>
    <cellStyle name="40% - Accent6 2 4 2 2" xfId="1498"/>
    <cellStyle name="40% - Accent6 2 4 3" xfId="1296"/>
    <cellStyle name="40% - Accent6 2 5" xfId="780"/>
    <cellStyle name="40% - Accent6 2 6" xfId="961"/>
    <cellStyle name="40% - Accent6 2 6 2" xfId="1371"/>
    <cellStyle name="40% - Accent6 2 7" xfId="1167"/>
    <cellStyle name="40% - Accent6 2_Deferred Tax Note." xfId="882"/>
    <cellStyle name="40% - Accent6 3" xfId="554"/>
    <cellStyle name="40% - Accent6 3 2" xfId="670"/>
    <cellStyle name="40% - Accent6 3 2 2" xfId="1038"/>
    <cellStyle name="40% - Accent6 3 2 2 2" xfId="1448"/>
    <cellStyle name="40% - Accent6 3 2 3" xfId="1246"/>
    <cellStyle name="40% - Accent6 3 3" xfId="734"/>
    <cellStyle name="40% - Accent6 3 3 2" xfId="1102"/>
    <cellStyle name="40% - Accent6 3 3 2 2" xfId="1512"/>
    <cellStyle name="40% - Accent6 3 3 3" xfId="1310"/>
    <cellStyle name="40% - Accent6 3 4" xfId="975"/>
    <cellStyle name="40% - Accent6 3 4 2" xfId="1385"/>
    <cellStyle name="40% - Accent6 3 5" xfId="1181"/>
    <cellStyle name="40% - Accent6 4" xfId="507"/>
    <cellStyle name="40% - Accent6 4 2" xfId="640"/>
    <cellStyle name="40% - Accent6 4 2 2" xfId="1008"/>
    <cellStyle name="40% - Accent6 4 2 2 2" xfId="1418"/>
    <cellStyle name="40% - Accent6 4 2 3" xfId="1216"/>
    <cellStyle name="40% - Accent6 4 3" xfId="704"/>
    <cellStyle name="40% - Accent6 4 3 2" xfId="1072"/>
    <cellStyle name="40% - Accent6 4 3 2 2" xfId="1482"/>
    <cellStyle name="40% - Accent6 4 3 3" xfId="1280"/>
    <cellStyle name="40% - Accent6 4 4" xfId="945"/>
    <cellStyle name="40% - Accent6 4 4 2" xfId="1355"/>
    <cellStyle name="40% - Accent6 4 5" xfId="1149"/>
    <cellStyle name="40% - Акцент1" xfId="274"/>
    <cellStyle name="40% - Акцент2" xfId="275"/>
    <cellStyle name="40% - Акцент3" xfId="276"/>
    <cellStyle name="40% - Акцент4" xfId="277"/>
    <cellStyle name="40% - Акцент5" xfId="278"/>
    <cellStyle name="40% - Акцент6" xfId="279"/>
    <cellStyle name="60% - Accent1" xfId="14" builtinId="32" customBuiltin="1"/>
    <cellStyle name="60% - Accent1 2" xfId="488"/>
    <cellStyle name="60% - Accent1 2 2" xfId="568"/>
    <cellStyle name="60% - Accent1 2 3" xfId="781"/>
    <cellStyle name="60% - Accent1 2_Deferred Tax Note." xfId="883"/>
    <cellStyle name="60% - Accent2" xfId="15" builtinId="36" customBuiltin="1"/>
    <cellStyle name="60% - Accent2 2" xfId="492"/>
    <cellStyle name="60% - Accent2 2 2" xfId="569"/>
    <cellStyle name="60% - Accent2 2 3" xfId="782"/>
    <cellStyle name="60% - Accent2 2_Deferred Tax Note." xfId="884"/>
    <cellStyle name="60% - Accent3" xfId="16" builtinId="40" customBuiltin="1"/>
    <cellStyle name="60% - Accent3 2" xfId="496"/>
    <cellStyle name="60% - Accent3 2 2" xfId="570"/>
    <cellStyle name="60% - Accent3 2 3" xfId="783"/>
    <cellStyle name="60% - Accent3 2_Deferred Tax Note." xfId="885"/>
    <cellStyle name="60% - Accent4" xfId="17" builtinId="44" customBuiltin="1"/>
    <cellStyle name="60% - Accent4 2" xfId="500"/>
    <cellStyle name="60% - Accent4 2 2" xfId="571"/>
    <cellStyle name="60% - Accent4 2 3" xfId="784"/>
    <cellStyle name="60% - Accent4 2_Deferred Tax Note." xfId="886"/>
    <cellStyle name="60% - Accent5" xfId="18" builtinId="48" customBuiltin="1"/>
    <cellStyle name="60% - Accent5 2" xfId="504"/>
    <cellStyle name="60% - Accent5 2 2" xfId="572"/>
    <cellStyle name="60% - Accent5 2 3" xfId="785"/>
    <cellStyle name="60% - Accent5 2_Deferred Tax Note." xfId="887"/>
    <cellStyle name="60% - Accent6" xfId="19" builtinId="52" customBuiltin="1"/>
    <cellStyle name="60% - Accent6 2" xfId="508"/>
    <cellStyle name="60% - Accent6 2 2" xfId="573"/>
    <cellStyle name="60% - Accent6 2 3" xfId="786"/>
    <cellStyle name="60% - Accent6 2_Deferred Tax Note." xfId="888"/>
    <cellStyle name="60% - Акцент1" xfId="280"/>
    <cellStyle name="60% - Акцент2" xfId="281"/>
    <cellStyle name="60% - Акцент3" xfId="282"/>
    <cellStyle name="60% - Акцент4" xfId="283"/>
    <cellStyle name="60% - Акцент5" xfId="284"/>
    <cellStyle name="60% - Акцент6" xfId="285"/>
    <cellStyle name="6Code" xfId="286"/>
    <cellStyle name="8pt" xfId="287"/>
    <cellStyle name="Accent1" xfId="20" builtinId="29" customBuiltin="1"/>
    <cellStyle name="Accent1 2" xfId="485"/>
    <cellStyle name="Accent1 2 2" xfId="574"/>
    <cellStyle name="Accent1 2 3" xfId="787"/>
    <cellStyle name="Accent1 2_Deferred Tax Note." xfId="889"/>
    <cellStyle name="Accent2" xfId="21" builtinId="33" customBuiltin="1"/>
    <cellStyle name="Accent2 2" xfId="489"/>
    <cellStyle name="Accent2 2 2" xfId="575"/>
    <cellStyle name="Accent2 2 3" xfId="788"/>
    <cellStyle name="Accent2 2_Deferred Tax Note." xfId="890"/>
    <cellStyle name="Accent3" xfId="22" builtinId="37" customBuiltin="1"/>
    <cellStyle name="Accent3 2" xfId="493"/>
    <cellStyle name="Accent3 2 2" xfId="576"/>
    <cellStyle name="Accent3 2 3" xfId="789"/>
    <cellStyle name="Accent3 2_Deferred Tax Note." xfId="891"/>
    <cellStyle name="Accent4" xfId="23" builtinId="41" customBuiltin="1"/>
    <cellStyle name="Accent4 2" xfId="497"/>
    <cellStyle name="Accent4 2 2" xfId="577"/>
    <cellStyle name="Accent4 2 3" xfId="790"/>
    <cellStyle name="Accent4 2_Deferred Tax Note." xfId="892"/>
    <cellStyle name="Accent5" xfId="24" builtinId="45" customBuiltin="1"/>
    <cellStyle name="Accent5 2" xfId="501"/>
    <cellStyle name="Accent5 2 2" xfId="578"/>
    <cellStyle name="Accent5 2 3" xfId="791"/>
    <cellStyle name="Accent5 2_Deferred Tax Note." xfId="893"/>
    <cellStyle name="Accent6" xfId="25" builtinId="49" customBuiltin="1"/>
    <cellStyle name="Accent6 2" xfId="505"/>
    <cellStyle name="Accent6 2 2" xfId="579"/>
    <cellStyle name="Accent6 2 3" xfId="792"/>
    <cellStyle name="Accent6 2_Deferred Tax Note." xfId="894"/>
    <cellStyle name="Bad" xfId="26" builtinId="27" customBuiltin="1"/>
    <cellStyle name="Bad 2" xfId="475"/>
    <cellStyle name="Bad 2 2" xfId="580"/>
    <cellStyle name="Bad 2 3" xfId="793"/>
    <cellStyle name="Bad 2_Deferred Tax Note." xfId="895"/>
    <cellStyle name="Calculation" xfId="27" builtinId="22" customBuiltin="1"/>
    <cellStyle name="Calculation 2" xfId="479"/>
    <cellStyle name="Calculation 2 2" xfId="581"/>
    <cellStyle name="Calculation 2 3" xfId="794"/>
    <cellStyle name="Calculation 2_Deferred Tax Note." xfId="896"/>
    <cellStyle name="Check Cell" xfId="28" builtinId="23" customBuiltin="1"/>
    <cellStyle name="Check Cell 2" xfId="481"/>
    <cellStyle name="Check Cell 2 2" xfId="582"/>
    <cellStyle name="Check Cell 2 3" xfId="795"/>
    <cellStyle name="Check Cell 2_Deferred Tax Note." xfId="897"/>
    <cellStyle name="Code" xfId="288"/>
    <cellStyle name="Column_Title" xfId="289"/>
    <cellStyle name="Comma" xfId="29" builtinId="3"/>
    <cellStyle name="Comma [0] 2" xfId="290"/>
    <cellStyle name="Comma 10" xfId="797"/>
    <cellStyle name="Comma 10 2" xfId="59"/>
    <cellStyle name="Comma 10 2 2" xfId="1121"/>
    <cellStyle name="Comma 10 2 2 2" xfId="683"/>
    <cellStyle name="Comma 10 2 2 2 2" xfId="1051"/>
    <cellStyle name="Comma 10 2 2 2 2 2" xfId="1461"/>
    <cellStyle name="Comma 10 2 2 2 3" xfId="1259"/>
    <cellStyle name="Comma 10 3" xfId="1324"/>
    <cellStyle name="Comma 11" xfId="583"/>
    <cellStyle name="Comma 11 2" xfId="798"/>
    <cellStyle name="Comma 11 2 2" xfId="1325"/>
    <cellStyle name="Comma 11 3" xfId="1182"/>
    <cellStyle name="Comma 11_Deferred Tax Note." xfId="898"/>
    <cellStyle name="Comma 12" xfId="796"/>
    <cellStyle name="Comma 12 2" xfId="1323"/>
    <cellStyle name="Comma 121" xfId="61"/>
    <cellStyle name="Comma 121 2" xfId="621"/>
    <cellStyle name="Comma 121 2 2" xfId="989"/>
    <cellStyle name="Comma 121 2 2 2" xfId="1399"/>
    <cellStyle name="Comma 121 2 3" xfId="1197"/>
    <cellStyle name="Comma 121 3" xfId="685"/>
    <cellStyle name="Comma 121 3 2" xfId="1053"/>
    <cellStyle name="Comma 121 3 2 2" xfId="1463"/>
    <cellStyle name="Comma 121 3 3" xfId="1261"/>
    <cellStyle name="Comma 121 4" xfId="926"/>
    <cellStyle name="Comma 121 4 2" xfId="1336"/>
    <cellStyle name="Comma 121 5" xfId="1123"/>
    <cellStyle name="Comma 123" xfId="291"/>
    <cellStyle name="Comma 123 2" xfId="622"/>
    <cellStyle name="Comma 123 2 2" xfId="990"/>
    <cellStyle name="Comma 123 2 2 2" xfId="1400"/>
    <cellStyle name="Comma 123 2 3" xfId="1198"/>
    <cellStyle name="Comma 123 3" xfId="686"/>
    <cellStyle name="Comma 123 3 2" xfId="1054"/>
    <cellStyle name="Comma 123 3 2 2" xfId="1464"/>
    <cellStyle name="Comma 123 3 3" xfId="1262"/>
    <cellStyle name="Comma 123 4" xfId="927"/>
    <cellStyle name="Comma 123 4 2" xfId="1337"/>
    <cellStyle name="Comma 123 5" xfId="1124"/>
    <cellStyle name="Comma 124" xfId="292"/>
    <cellStyle name="Comma 124 2" xfId="623"/>
    <cellStyle name="Comma 124 2 2" xfId="991"/>
    <cellStyle name="Comma 124 2 2 2" xfId="1401"/>
    <cellStyle name="Comma 124 2 3" xfId="1199"/>
    <cellStyle name="Comma 124 3" xfId="687"/>
    <cellStyle name="Comma 124 3 2" xfId="1055"/>
    <cellStyle name="Comma 124 3 2 2" xfId="1465"/>
    <cellStyle name="Comma 124 3 3" xfId="1263"/>
    <cellStyle name="Comma 124 4" xfId="928"/>
    <cellStyle name="Comma 124 4 2" xfId="1338"/>
    <cellStyle name="Comma 124 5" xfId="1125"/>
    <cellStyle name="Comma 125" xfId="293"/>
    <cellStyle name="Comma 125 2" xfId="624"/>
    <cellStyle name="Comma 125 2 2" xfId="992"/>
    <cellStyle name="Comma 125 2 2 2" xfId="1402"/>
    <cellStyle name="Comma 125 2 3" xfId="1200"/>
    <cellStyle name="Comma 125 3" xfId="688"/>
    <cellStyle name="Comma 125 3 2" xfId="1056"/>
    <cellStyle name="Comma 125 3 2 2" xfId="1466"/>
    <cellStyle name="Comma 125 3 3" xfId="1264"/>
    <cellStyle name="Comma 125 4" xfId="929"/>
    <cellStyle name="Comma 125 4 2" xfId="1339"/>
    <cellStyle name="Comma 125 5" xfId="1126"/>
    <cellStyle name="Comma 13" xfId="869"/>
    <cellStyle name="Comma 13 2" xfId="1334"/>
    <cellStyle name="Comma 14" xfId="294"/>
    <cellStyle name="Comma 14 2" xfId="1127"/>
    <cellStyle name="Comma 15" xfId="799"/>
    <cellStyle name="Comma 15 2" xfId="1115"/>
    <cellStyle name="Comma 15 2 2" xfId="1525"/>
    <cellStyle name="Comma 15 3" xfId="1326"/>
    <cellStyle name="Comma 16" xfId="1529"/>
    <cellStyle name="Comma 16 2" xfId="54"/>
    <cellStyle name="Comma 2" xfId="30"/>
    <cellStyle name="Comma 2 2" xfId="295"/>
    <cellStyle name="Comma 2 2 2" xfId="518"/>
    <cellStyle name="Comma 2 2 2 2" xfId="1151"/>
    <cellStyle name="Comma 2 2 3" xfId="1128"/>
    <cellStyle name="Comma 2 3" xfId="296"/>
    <cellStyle name="Comma 2 3 2" xfId="517"/>
    <cellStyle name="Comma 2 3 2 2" xfId="1150"/>
    <cellStyle name="Comma 2 4" xfId="461"/>
    <cellStyle name="Comma 2 5" xfId="1119"/>
    <cellStyle name="Comma 2_FIXED ASSETS LEAD SCH  NEW ACCPAC 2008-09 5" xfId="800"/>
    <cellStyle name="Comma 3" xfId="52"/>
    <cellStyle name="Comma 3 2" xfId="297"/>
    <cellStyle name="Comma 3 2 2" xfId="525"/>
    <cellStyle name="Comma 3 2 2 2" xfId="643"/>
    <cellStyle name="Comma 3 2 2 2 2" xfId="1011"/>
    <cellStyle name="Comma 3 2 2 2 2 2" xfId="1421"/>
    <cellStyle name="Comma 3 2 2 2 3" xfId="1219"/>
    <cellStyle name="Comma 3 2 2 3" xfId="707"/>
    <cellStyle name="Comma 3 2 2 3 2" xfId="1075"/>
    <cellStyle name="Comma 3 2 2 3 2 2" xfId="1485"/>
    <cellStyle name="Comma 3 2 2 3 3" xfId="1283"/>
    <cellStyle name="Comma 3 2 2 4" xfId="948"/>
    <cellStyle name="Comma 3 2 2 4 2" xfId="1358"/>
    <cellStyle name="Comma 3 2 2 5" xfId="1154"/>
    <cellStyle name="Comma 3 2 3" xfId="801"/>
    <cellStyle name="Comma 3 2 3 2" xfId="1327"/>
    <cellStyle name="Comma 3 2 4" xfId="1129"/>
    <cellStyle name="Comma 3 3" xfId="466"/>
    <cellStyle name="Comma 3 3 2" xfId="628"/>
    <cellStyle name="Comma 3 3 2 2" xfId="996"/>
    <cellStyle name="Comma 3 3 2 2 2" xfId="1406"/>
    <cellStyle name="Comma 3 3 2 3" xfId="1204"/>
    <cellStyle name="Comma 3 3 3" xfId="692"/>
    <cellStyle name="Comma 3 3 3 2" xfId="1060"/>
    <cellStyle name="Comma 3 3 3 2 2" xfId="1470"/>
    <cellStyle name="Comma 3 3 3 3" xfId="1268"/>
    <cellStyle name="Comma 3 3 4" xfId="933"/>
    <cellStyle name="Comma 3 3 4 2" xfId="1343"/>
    <cellStyle name="Comma 3 3 5" xfId="1137"/>
    <cellStyle name="Comma 3 4" xfId="584"/>
    <cellStyle name="Comma 3 5" xfId="619"/>
    <cellStyle name="Comma 3 5 2" xfId="1195"/>
    <cellStyle name="Comma 3 6" xfId="1120"/>
    <cellStyle name="Comma 3_Holiday Inn _ 2010 finstats workings" xfId="802"/>
    <cellStyle name="Comma 4" xfId="298"/>
    <cellStyle name="Comma 4 2" xfId="299"/>
    <cellStyle name="Comma 4 2 2" xfId="1130"/>
    <cellStyle name="Comma 4 3" xfId="541"/>
    <cellStyle name="Comma 4 3 2" xfId="657"/>
    <cellStyle name="Comma 4 3 2 2" xfId="1025"/>
    <cellStyle name="Comma 4 3 2 2 2" xfId="1435"/>
    <cellStyle name="Comma 4 3 2 3" xfId="1233"/>
    <cellStyle name="Comma 4 3 3" xfId="721"/>
    <cellStyle name="Comma 4 3 3 2" xfId="1089"/>
    <cellStyle name="Comma 4 3 3 2 2" xfId="1499"/>
    <cellStyle name="Comma 4 3 3 3" xfId="1297"/>
    <cellStyle name="Comma 4 3 4" xfId="962"/>
    <cellStyle name="Comma 4 3 4 2" xfId="1372"/>
    <cellStyle name="Comma 4 3 5" xfId="1168"/>
    <cellStyle name="Comma 4 4" xfId="585"/>
    <cellStyle name="Comma 4 4 2" xfId="671"/>
    <cellStyle name="Comma 4 4 2 2" xfId="1039"/>
    <cellStyle name="Comma 4 4 2 2 2" xfId="1449"/>
    <cellStyle name="Comma 4 4 2 3" xfId="1247"/>
    <cellStyle name="Comma 4 4 3" xfId="735"/>
    <cellStyle name="Comma 4 4 3 2" xfId="1103"/>
    <cellStyle name="Comma 4 4 3 2 2" xfId="1513"/>
    <cellStyle name="Comma 4 4 3 3" xfId="1311"/>
    <cellStyle name="Comma 4 4 4" xfId="976"/>
    <cellStyle name="Comma 4 4 4 2" xfId="1386"/>
    <cellStyle name="Comma 4 4 5" xfId="1183"/>
    <cellStyle name="Comma 4 5" xfId="611"/>
    <cellStyle name="Comma 4 5 2" xfId="677"/>
    <cellStyle name="Comma 4 5 2 2" xfId="1045"/>
    <cellStyle name="Comma 4 5 2 2 2" xfId="1455"/>
    <cellStyle name="Comma 4 5 2 3" xfId="1253"/>
    <cellStyle name="Comma 4 5 3" xfId="741"/>
    <cellStyle name="Comma 4 5 3 2" xfId="1109"/>
    <cellStyle name="Comma 4 5 3 2 2" xfId="1519"/>
    <cellStyle name="Comma 4 5 3 3" xfId="1317"/>
    <cellStyle name="Comma 4 5 4" xfId="982"/>
    <cellStyle name="Comma 4 5 4 2" xfId="1392"/>
    <cellStyle name="Comma 4 5 5" xfId="1189"/>
    <cellStyle name="Comma 4 6" xfId="803"/>
    <cellStyle name="Comma 4_Deferred Tax Note." xfId="899"/>
    <cellStyle name="Comma 5" xfId="300"/>
    <cellStyle name="Comma 5 2" xfId="1131"/>
    <cellStyle name="Comma 6" xfId="460"/>
    <cellStyle name="Comma 6 2" xfId="804"/>
    <cellStyle name="Comma 6 2 2" xfId="1328"/>
    <cellStyle name="Comma 6_Deferred Tax Note." xfId="900"/>
    <cellStyle name="Comma 7" xfId="519"/>
    <cellStyle name="Comma 7 2" xfId="806"/>
    <cellStyle name="Comma 7 2 2" xfId="1330"/>
    <cellStyle name="Comma 7 3" xfId="805"/>
    <cellStyle name="Comma 7 3 2" xfId="1329"/>
    <cellStyle name="Comma 7_Deferred Tax Note." xfId="901"/>
    <cellStyle name="Comma 8" xfId="807"/>
    <cellStyle name="Comma 8 2" xfId="1116"/>
    <cellStyle name="Comma 8 2 2" xfId="1526"/>
    <cellStyle name="Comma 8 3" xfId="1331"/>
    <cellStyle name="Comma 9" xfId="808"/>
    <cellStyle name="Comma 9 2" xfId="1332"/>
    <cellStyle name="Comma0" xfId="809"/>
    <cellStyle name="Comma0 - Modelo1" xfId="810"/>
    <cellStyle name="Comma0 - Style1" xfId="811"/>
    <cellStyle name="Comma1 - Modelo2" xfId="812"/>
    <cellStyle name="Comma1 - Style2" xfId="813"/>
    <cellStyle name="Currency 2" xfId="301"/>
    <cellStyle name="Currency 2 2" xfId="302"/>
    <cellStyle name="Currency EN" xfId="303"/>
    <cellStyle name="Currency RU" xfId="304"/>
    <cellStyle name="Currency RU calc" xfId="305"/>
    <cellStyle name="Currency RU_CP-P (2)" xfId="306"/>
    <cellStyle name="Date EN" xfId="307"/>
    <cellStyle name="Date RU" xfId="308"/>
    <cellStyle name="Dia" xfId="814"/>
    <cellStyle name="Encabez1" xfId="815"/>
    <cellStyle name="Encabez2" xfId="816"/>
    <cellStyle name="Euro" xfId="309"/>
    <cellStyle name="Euro 2" xfId="818"/>
    <cellStyle name="Euro 3" xfId="817"/>
    <cellStyle name="Euro_Deferred Tax Note." xfId="902"/>
    <cellStyle name="Explanatory Text" xfId="31" builtinId="53" customBuiltin="1"/>
    <cellStyle name="Explanatory Text 2" xfId="483"/>
    <cellStyle name="Explanatory Text 2 2" xfId="586"/>
    <cellStyle name="Explanatory Text 2 3" xfId="819"/>
    <cellStyle name="Explanatory Text 2_Deferred Tax Note." xfId="903"/>
    <cellStyle name="F2" xfId="820"/>
    <cellStyle name="F3" xfId="821"/>
    <cellStyle name="F4" xfId="822"/>
    <cellStyle name="F5" xfId="823"/>
    <cellStyle name="F6" xfId="824"/>
    <cellStyle name="F7" xfId="825"/>
    <cellStyle name="F8" xfId="826"/>
    <cellStyle name="fghdfhgvhgvhOR" xfId="310"/>
    <cellStyle name="fghdfhgvhgvhOR 2" xfId="1132"/>
    <cellStyle name="Fijo" xfId="827"/>
    <cellStyle name="Financiero" xfId="828"/>
    <cellStyle name="Good" xfId="32" builtinId="26" customBuiltin="1"/>
    <cellStyle name="Good 2" xfId="474"/>
    <cellStyle name="Good 2 2" xfId="587"/>
    <cellStyle name="Good 2 3" xfId="829"/>
    <cellStyle name="Good 2_Deferred Tax Note." xfId="904"/>
    <cellStyle name="Green" xfId="311"/>
    <cellStyle name="Heading" xfId="312"/>
    <cellStyle name="Heading 1" xfId="33" builtinId="16" customBuiltin="1"/>
    <cellStyle name="Heading 1 2" xfId="470"/>
    <cellStyle name="Heading 1 2 2" xfId="588"/>
    <cellStyle name="Heading 2" xfId="34" builtinId="17" customBuiltin="1"/>
    <cellStyle name="Heading 2 2" xfId="471"/>
    <cellStyle name="Heading 2 2 2" xfId="589"/>
    <cellStyle name="Heading 3" xfId="35" builtinId="18" customBuiltin="1"/>
    <cellStyle name="Heading 3 2" xfId="472"/>
    <cellStyle name="Heading 3 2 2" xfId="590"/>
    <cellStyle name="Heading 4" xfId="36" builtinId="19" customBuiltin="1"/>
    <cellStyle name="Heading 4 2" xfId="473"/>
    <cellStyle name="Heading 4 2 2" xfId="591"/>
    <cellStyle name="Hyperlink 2" xfId="313"/>
    <cellStyle name="Hyperlink 2 2" xfId="830"/>
    <cellStyle name="Hyperlink 2_Deferred Tax Note." xfId="905"/>
    <cellStyle name="Hyperlink 3" xfId="831"/>
    <cellStyle name="Hyperlink 4" xfId="832"/>
    <cellStyle name="Hyperlink 5" xfId="833"/>
    <cellStyle name="Input" xfId="37" builtinId="20" customBuiltin="1"/>
    <cellStyle name="Input 2" xfId="477"/>
    <cellStyle name="Input 2 2" xfId="592"/>
    <cellStyle name="Input 2 3" xfId="834"/>
    <cellStyle name="Input 2_Deferred Tax Note." xfId="906"/>
    <cellStyle name="KPMG Heading 1" xfId="314"/>
    <cellStyle name="KPMG Heading 2" xfId="315"/>
    <cellStyle name="KPMG Heading 3" xfId="316"/>
    <cellStyle name="KPMG Heading 4" xfId="317"/>
    <cellStyle name="KPMG Normal" xfId="318"/>
    <cellStyle name="KPMG Normal Text" xfId="319"/>
    <cellStyle name="KPMG Normal_123" xfId="320"/>
    <cellStyle name="Legal 8? x 14 in" xfId="321"/>
    <cellStyle name="Linked Cell" xfId="38" builtinId="24" customBuiltin="1"/>
    <cellStyle name="Linked Cell 2" xfId="480"/>
    <cellStyle name="Linked Cell 2 2" xfId="593"/>
    <cellStyle name="Linked Cell 2 3" xfId="835"/>
    <cellStyle name="Linked Cell 2_Deferred Tax Note." xfId="907"/>
    <cellStyle name="Millares [0]_10 AVERIAS MASIVAS + ANT" xfId="836"/>
    <cellStyle name="Millares_10 AVERIAS MASIVAS + ANT" xfId="837"/>
    <cellStyle name="Moneda [0]_10 AVERIAS MASIVAS + ANT" xfId="838"/>
    <cellStyle name="Moneda_10 AVERIAS MASIVAS + ANT" xfId="839"/>
    <cellStyle name="Monetario" xfId="840"/>
    <cellStyle name="Neutral" xfId="39" builtinId="28" customBuiltin="1"/>
    <cellStyle name="Neutral 2" xfId="476"/>
    <cellStyle name="Neutral 2 2" xfId="594"/>
    <cellStyle name="Neutral 2 3" xfId="841"/>
    <cellStyle name="Neutral 2_Deferred Tax Note." xfId="908"/>
    <cellStyle name="no dec" xfId="842"/>
    <cellStyle name="No-definido" xfId="843"/>
    <cellStyle name="Normal" xfId="0" builtinId="0"/>
    <cellStyle name="Normal - Modelo1" xfId="844"/>
    <cellStyle name="Normal - Style1" xfId="322"/>
    <cellStyle name="Normal - Style1 2" xfId="595"/>
    <cellStyle name="Normal 10" xfId="323"/>
    <cellStyle name="Normal 11" xfId="459"/>
    <cellStyle name="Normal 11 2" xfId="845"/>
    <cellStyle name="Normal 11_Deferred Tax Note." xfId="909"/>
    <cellStyle name="Normal 12" xfId="463"/>
    <cellStyle name="Normal 12 2" xfId="846"/>
    <cellStyle name="Normal 12_Deferred Tax Note." xfId="910"/>
    <cellStyle name="Normal 13" xfId="610"/>
    <cellStyle name="Normal 14" xfId="618"/>
    <cellStyle name="Normal 148" xfId="1531"/>
    <cellStyle name="Normal 15" xfId="747"/>
    <cellStyle name="Normal 16" xfId="857"/>
    <cellStyle name="Normal 17" xfId="539"/>
    <cellStyle name="Normal 18" xfId="540"/>
    <cellStyle name="Normal 19" xfId="924"/>
    <cellStyle name="Normal 2" xfId="40"/>
    <cellStyle name="Normal 2 10" xfId="55"/>
    <cellStyle name="Normal 2 2" xfId="57"/>
    <cellStyle name="Normal 2 2 2" xfId="324"/>
    <cellStyle name="Normal 2 2 3" xfId="325"/>
    <cellStyle name="Normal 2 3" xfId="326"/>
    <cellStyle name="Normal 2 4" xfId="327"/>
    <cellStyle name="Normal 2 5" xfId="847"/>
    <cellStyle name="Normal 2_Deferred Tax Note." xfId="911"/>
    <cellStyle name="Normal 20" xfId="848"/>
    <cellStyle name="Normal 21" xfId="1118"/>
    <cellStyle name="Normal 22" xfId="1134"/>
    <cellStyle name="Normal 23" xfId="1528"/>
    <cellStyle name="Normal 24" xfId="1530"/>
    <cellStyle name="Normal 25 2" xfId="617"/>
    <cellStyle name="Normal 3" xfId="41"/>
    <cellStyle name="Normal 3 2" xfId="328"/>
    <cellStyle name="Normal 3 2 2" xfId="524"/>
    <cellStyle name="Normal 3 2 2 2" xfId="642"/>
    <cellStyle name="Normal 3 2 2 2 2" xfId="1010"/>
    <cellStyle name="Normal 3 2 2 2 2 2" xfId="1420"/>
    <cellStyle name="Normal 3 2 2 2 3" xfId="1218"/>
    <cellStyle name="Normal 3 2 2 3" xfId="706"/>
    <cellStyle name="Normal 3 2 2 3 2" xfId="1074"/>
    <cellStyle name="Normal 3 2 2 3 2 2" xfId="1484"/>
    <cellStyle name="Normal 3 2 2 3 3" xfId="1282"/>
    <cellStyle name="Normal 3 2 2 4" xfId="947"/>
    <cellStyle name="Normal 3 2 2 4 2" xfId="1357"/>
    <cellStyle name="Normal 3 2 2 5" xfId="1153"/>
    <cellStyle name="Normal 3 2 3" xfId="596"/>
    <cellStyle name="Normal 3 2_Deferred Tax Note." xfId="912"/>
    <cellStyle name="Normal 3 3" xfId="329"/>
    <cellStyle name="Normal 3 4" xfId="330"/>
    <cellStyle name="Normal 3 5" xfId="60"/>
    <cellStyle name="Normal 3 5 2" xfId="620"/>
    <cellStyle name="Normal 3 5 2 2" xfId="988"/>
    <cellStyle name="Normal 3 5 2 2 2" xfId="1398"/>
    <cellStyle name="Normal 3 5 2 3" xfId="1196"/>
    <cellStyle name="Normal 3 5 3" xfId="684"/>
    <cellStyle name="Normal 3 5 3 2" xfId="1052"/>
    <cellStyle name="Normal 3 5 3 2 2" xfId="1462"/>
    <cellStyle name="Normal 3 5 3 3" xfId="1260"/>
    <cellStyle name="Normal 3 5 4" xfId="925"/>
    <cellStyle name="Normal 3 5 4 2" xfId="1335"/>
    <cellStyle name="Normal 3 5 5" xfId="1122"/>
    <cellStyle name="Normal 3 6" xfId="462"/>
    <cellStyle name="Normal 3 6 2" xfId="626"/>
    <cellStyle name="Normal 3 6 2 2" xfId="994"/>
    <cellStyle name="Normal 3 6 2 2 2" xfId="1404"/>
    <cellStyle name="Normal 3 6 2 3" xfId="1202"/>
    <cellStyle name="Normal 3 6 3" xfId="690"/>
    <cellStyle name="Normal 3 6 3 2" xfId="1058"/>
    <cellStyle name="Normal 3 6 3 2 2" xfId="1468"/>
    <cellStyle name="Normal 3 6 3 3" xfId="1266"/>
    <cellStyle name="Normal 3 6 4" xfId="931"/>
    <cellStyle name="Normal 3 6 4 2" xfId="1341"/>
    <cellStyle name="Normal 3 6 5" xfId="1135"/>
    <cellStyle name="Normal 4" xfId="58"/>
    <cellStyle name="Normal 4 2" xfId="331"/>
    <cellStyle name="Normal 4 2 2" xfId="332"/>
    <cellStyle name="Normal 4 3" xfId="465"/>
    <cellStyle name="Normal 4 3 2" xfId="627"/>
    <cellStyle name="Normal 4 3 2 2" xfId="995"/>
    <cellStyle name="Normal 4 3 2 2 2" xfId="1405"/>
    <cellStyle name="Normal 4 3 2 3" xfId="1203"/>
    <cellStyle name="Normal 4 3 3" xfId="691"/>
    <cellStyle name="Normal 4 3 3 2" xfId="1059"/>
    <cellStyle name="Normal 4 3 3 2 2" xfId="1469"/>
    <cellStyle name="Normal 4 3 3 3" xfId="1267"/>
    <cellStyle name="Normal 4 3 4" xfId="932"/>
    <cellStyle name="Normal 4 3 4 2" xfId="1342"/>
    <cellStyle name="Normal 4 3 5" xfId="1136"/>
    <cellStyle name="Normal 4 4" xfId="597"/>
    <cellStyle name="Normal 4 5" xfId="849"/>
    <cellStyle name="Normal 4_Deferred Tax Note." xfId="913"/>
    <cellStyle name="Normal 43" xfId="520"/>
    <cellStyle name="Normal 5" xfId="333"/>
    <cellStyle name="Normal 5 2" xfId="598"/>
    <cellStyle name="Normal 5 2 2" xfId="672"/>
    <cellStyle name="Normal 5 2 2 2" xfId="1040"/>
    <cellStyle name="Normal 5 2 2 2 2" xfId="1450"/>
    <cellStyle name="Normal 5 2 2 3" xfId="1248"/>
    <cellStyle name="Normal 5 2 3" xfId="736"/>
    <cellStyle name="Normal 5 2 3 2" xfId="1104"/>
    <cellStyle name="Normal 5 2 3 2 2" xfId="1514"/>
    <cellStyle name="Normal 5 2 3 3" xfId="1312"/>
    <cellStyle name="Normal 5 2 4" xfId="977"/>
    <cellStyle name="Normal 5 2 4 2" xfId="1387"/>
    <cellStyle name="Normal 5 2 5" xfId="1184"/>
    <cellStyle name="Normal 5 3" xfId="612"/>
    <cellStyle name="Normal 5 3 2" xfId="678"/>
    <cellStyle name="Normal 5 3 2 2" xfId="1046"/>
    <cellStyle name="Normal 5 3 2 2 2" xfId="1456"/>
    <cellStyle name="Normal 5 3 2 3" xfId="1254"/>
    <cellStyle name="Normal 5 3 3" xfId="742"/>
    <cellStyle name="Normal 5 3 3 2" xfId="1110"/>
    <cellStyle name="Normal 5 3 3 2 2" xfId="1520"/>
    <cellStyle name="Normal 5 3 3 3" xfId="1318"/>
    <cellStyle name="Normal 5 3 4" xfId="983"/>
    <cellStyle name="Normal 5 3 4 2" xfId="1393"/>
    <cellStyle name="Normal 5 3 5" xfId="1190"/>
    <cellStyle name="Normal 5 4" xfId="850"/>
    <cellStyle name="Normal 5_Deferred Tax Note." xfId="914"/>
    <cellStyle name="Normal 6" xfId="334"/>
    <cellStyle name="Normal 6 2" xfId="599"/>
    <cellStyle name="Normal 6 2 2" xfId="673"/>
    <cellStyle name="Normal 6 2 2 2" xfId="1041"/>
    <cellStyle name="Normal 6 2 2 2 2" xfId="1451"/>
    <cellStyle name="Normal 6 2 2 3" xfId="1249"/>
    <cellStyle name="Normal 6 2 3" xfId="737"/>
    <cellStyle name="Normal 6 2 3 2" xfId="1105"/>
    <cellStyle name="Normal 6 2 3 2 2" xfId="1515"/>
    <cellStyle name="Normal 6 2 3 3" xfId="1313"/>
    <cellStyle name="Normal 6 2 4" xfId="852"/>
    <cellStyle name="Normal 6 2 5" xfId="978"/>
    <cellStyle name="Normal 6 2 5 2" xfId="1388"/>
    <cellStyle name="Normal 6 2 6" xfId="1185"/>
    <cellStyle name="Normal 6 2_Deferred Tax Note." xfId="916"/>
    <cellStyle name="Normal 6 3" xfId="613"/>
    <cellStyle name="Normal 6 3 2" xfId="679"/>
    <cellStyle name="Normal 6 3 2 2" xfId="1047"/>
    <cellStyle name="Normal 6 3 2 2 2" xfId="1457"/>
    <cellStyle name="Normal 6 3 2 3" xfId="1255"/>
    <cellStyle name="Normal 6 3 3" xfId="743"/>
    <cellStyle name="Normal 6 3 3 2" xfId="1111"/>
    <cellStyle name="Normal 6 3 3 2 2" xfId="1521"/>
    <cellStyle name="Normal 6 3 3 3" xfId="1319"/>
    <cellStyle name="Normal 6 3 4" xfId="984"/>
    <cellStyle name="Normal 6 3 4 2" xfId="1394"/>
    <cellStyle name="Normal 6 3 5" xfId="1191"/>
    <cellStyle name="Normal 6 4" xfId="851"/>
    <cellStyle name="Normal 6 4 2" xfId="1117"/>
    <cellStyle name="Normal 6 4 2 2" xfId="1527"/>
    <cellStyle name="Normal 6 4 3" xfId="1333"/>
    <cellStyle name="Normal 6_Deferred Tax Note." xfId="915"/>
    <cellStyle name="Normal 7" xfId="335"/>
    <cellStyle name="Normal 7 2" xfId="600"/>
    <cellStyle name="Normal 7 2 2" xfId="674"/>
    <cellStyle name="Normal 7 2 2 2" xfId="1042"/>
    <cellStyle name="Normal 7 2 2 2 2" xfId="1452"/>
    <cellStyle name="Normal 7 2 2 3" xfId="1250"/>
    <cellStyle name="Normal 7 2 3" xfId="738"/>
    <cellStyle name="Normal 7 2 3 2" xfId="1106"/>
    <cellStyle name="Normal 7 2 3 2 2" xfId="1516"/>
    <cellStyle name="Normal 7 2 3 3" xfId="1314"/>
    <cellStyle name="Normal 7 2 4" xfId="979"/>
    <cellStyle name="Normal 7 2 4 2" xfId="1389"/>
    <cellStyle name="Normal 7 2 5" xfId="1186"/>
    <cellStyle name="Normal 7 3" xfId="614"/>
    <cellStyle name="Normal 7 3 2" xfId="680"/>
    <cellStyle name="Normal 7 3 2 2" xfId="1048"/>
    <cellStyle name="Normal 7 3 2 2 2" xfId="1458"/>
    <cellStyle name="Normal 7 3 2 3" xfId="1256"/>
    <cellStyle name="Normal 7 3 3" xfId="744"/>
    <cellStyle name="Normal 7 3 3 2" xfId="1112"/>
    <cellStyle name="Normal 7 3 3 2 2" xfId="1522"/>
    <cellStyle name="Normal 7 3 3 3" xfId="1320"/>
    <cellStyle name="Normal 7 3 4" xfId="985"/>
    <cellStyle name="Normal 7 3 4 2" xfId="1395"/>
    <cellStyle name="Normal 7 3 5" xfId="1192"/>
    <cellStyle name="Normal 8" xfId="336"/>
    <cellStyle name="Normal 8 2" xfId="601"/>
    <cellStyle name="Normal 8 2 2" xfId="675"/>
    <cellStyle name="Normal 8 2 2 2" xfId="1043"/>
    <cellStyle name="Normal 8 2 2 2 2" xfId="1453"/>
    <cellStyle name="Normal 8 2 2 3" xfId="1251"/>
    <cellStyle name="Normal 8 2 3" xfId="739"/>
    <cellStyle name="Normal 8 2 3 2" xfId="1107"/>
    <cellStyle name="Normal 8 2 3 2 2" xfId="1517"/>
    <cellStyle name="Normal 8 2 3 3" xfId="1315"/>
    <cellStyle name="Normal 8 2 4" xfId="980"/>
    <cellStyle name="Normal 8 2 4 2" xfId="1390"/>
    <cellStyle name="Normal 8 2 5" xfId="1187"/>
    <cellStyle name="Normal 8 3" xfId="615"/>
    <cellStyle name="Normal 8 3 2" xfId="681"/>
    <cellStyle name="Normal 8 3 2 2" xfId="1049"/>
    <cellStyle name="Normal 8 3 2 2 2" xfId="1459"/>
    <cellStyle name="Normal 8 3 2 3" xfId="1257"/>
    <cellStyle name="Normal 8 3 3" xfId="745"/>
    <cellStyle name="Normal 8 3 3 2" xfId="1113"/>
    <cellStyle name="Normal 8 3 3 2 2" xfId="1523"/>
    <cellStyle name="Normal 8 3 3 3" xfId="1321"/>
    <cellStyle name="Normal 8 3 4" xfId="986"/>
    <cellStyle name="Normal 8 3 4 2" xfId="1396"/>
    <cellStyle name="Normal 8 3 5" xfId="1193"/>
    <cellStyle name="Normal 8 4" xfId="853"/>
    <cellStyle name="Normal 8_Deferred Tax Note." xfId="917"/>
    <cellStyle name="Normal 9" xfId="337"/>
    <cellStyle name="Normal 9 2" xfId="602"/>
    <cellStyle name="Normal 9 2 2" xfId="676"/>
    <cellStyle name="Normal 9 2 2 2" xfId="1044"/>
    <cellStyle name="Normal 9 2 2 2 2" xfId="1454"/>
    <cellStyle name="Normal 9 2 2 3" xfId="1252"/>
    <cellStyle name="Normal 9 2 3" xfId="740"/>
    <cellStyle name="Normal 9 2 3 2" xfId="1108"/>
    <cellStyle name="Normal 9 2 3 2 2" xfId="1518"/>
    <cellStyle name="Normal 9 2 3 3" xfId="1316"/>
    <cellStyle name="Normal 9 2 4" xfId="981"/>
    <cellStyle name="Normal 9 2 4 2" xfId="1391"/>
    <cellStyle name="Normal 9 2 5" xfId="1188"/>
    <cellStyle name="Normal 9 3" xfId="616"/>
    <cellStyle name="Normal 9 3 2" xfId="682"/>
    <cellStyle name="Normal 9 3 2 2" xfId="1050"/>
    <cellStyle name="Normal 9 3 2 2 2" xfId="1460"/>
    <cellStyle name="Normal 9 3 2 3" xfId="1258"/>
    <cellStyle name="Normal 9 3 3" xfId="746"/>
    <cellStyle name="Normal 9 3 3 2" xfId="1114"/>
    <cellStyle name="Normal 9 3 3 2 2" xfId="1524"/>
    <cellStyle name="Normal 9 3 3 3" xfId="1322"/>
    <cellStyle name="Normal 9 3 4" xfId="987"/>
    <cellStyle name="Normal 9 3 4 2" xfId="1397"/>
    <cellStyle name="Normal 9 3 5" xfId="1194"/>
    <cellStyle name="Normal 9 4" xfId="854"/>
    <cellStyle name="Normal 9_Deferred Tax Note." xfId="918"/>
    <cellStyle name="Normal_Copy of F2005 Maxiprest Tyres Zambia" xfId="855"/>
    <cellStyle name="Normal_Deloitte Model Financial Statements - F2004 CLEAR CHANNEL INDEPENDENT" xfId="42"/>
    <cellStyle name="Normal_Prowalco Deferred tax comp 2009 2" xfId="856"/>
    <cellStyle name="Normal_SHEET" xfId="43"/>
    <cellStyle name="Normal_SHEET 2" xfId="523"/>
    <cellStyle name="Normal_SKF tax Com 2010" xfId="858"/>
    <cellStyle name="Normal_Worksheet in TB LS Blank Leadsheet Excel Template - Used by Trial Balance to Create Leadsheets" xfId="44"/>
    <cellStyle name="Normal1" xfId="338"/>
    <cellStyle name="normální_VZZ_KUMARESAN" xfId="339"/>
    <cellStyle name="Normalny_Arkusz1" xfId="340"/>
    <cellStyle name="normбlnм_laroux" xfId="341"/>
    <cellStyle name="Note" xfId="45" builtinId="10" customBuiltin="1"/>
    <cellStyle name="Note 2" xfId="342"/>
    <cellStyle name="Note 2 2" xfId="521"/>
    <cellStyle name="Note 2 2 2" xfId="641"/>
    <cellStyle name="Note 2 2 2 2" xfId="1009"/>
    <cellStyle name="Note 2 2 2 2 2" xfId="1419"/>
    <cellStyle name="Note 2 2 2 3" xfId="1217"/>
    <cellStyle name="Note 2 2 3" xfId="705"/>
    <cellStyle name="Note 2 2 3 2" xfId="1073"/>
    <cellStyle name="Note 2 2 3 2 2" xfId="1483"/>
    <cellStyle name="Note 2 2 3 3" xfId="1281"/>
    <cellStyle name="Note 2 2 4" xfId="946"/>
    <cellStyle name="Note 2 2 4 2" xfId="1356"/>
    <cellStyle name="Note 2 2 5" xfId="1152"/>
    <cellStyle name="Note 2 3" xfId="603"/>
    <cellStyle name="Note 2 4" xfId="859"/>
    <cellStyle name="Note 3" xfId="526"/>
    <cellStyle name="Note 3 2" xfId="644"/>
    <cellStyle name="Note 3 2 2" xfId="1012"/>
    <cellStyle name="Note 3 2 2 2" xfId="1422"/>
    <cellStyle name="Note 3 2 3" xfId="1220"/>
    <cellStyle name="Note 3 3" xfId="708"/>
    <cellStyle name="Note 3 3 2" xfId="1076"/>
    <cellStyle name="Note 3 3 2 2" xfId="1486"/>
    <cellStyle name="Note 3 3 3" xfId="1284"/>
    <cellStyle name="Note 3 4" xfId="949"/>
    <cellStyle name="Note 3 4 2" xfId="1359"/>
    <cellStyle name="Note 3 5" xfId="1155"/>
    <cellStyle name="Note 4" xfId="542"/>
    <cellStyle name="Note 4 2" xfId="658"/>
    <cellStyle name="Note 4 2 2" xfId="1026"/>
    <cellStyle name="Note 4 2 2 2" xfId="1436"/>
    <cellStyle name="Note 4 2 3" xfId="1234"/>
    <cellStyle name="Note 4 3" xfId="722"/>
    <cellStyle name="Note 4 3 2" xfId="1090"/>
    <cellStyle name="Note 4 3 2 2" xfId="1500"/>
    <cellStyle name="Note 4 3 3" xfId="1298"/>
    <cellStyle name="Note 4 4" xfId="963"/>
    <cellStyle name="Note 4 4 2" xfId="1373"/>
    <cellStyle name="Note 4 5" xfId="1169"/>
    <cellStyle name="Output" xfId="46" builtinId="21" customBuiltin="1"/>
    <cellStyle name="Output 2" xfId="478"/>
    <cellStyle name="Output 2 2" xfId="604"/>
    <cellStyle name="Output 2 3" xfId="860"/>
    <cellStyle name="Output 2_Deferred Tax Note." xfId="919"/>
    <cellStyle name="Percent" xfId="47" builtinId="5"/>
    <cellStyle name="Percent (0)" xfId="343"/>
    <cellStyle name="Percent (0) 10" xfId="344"/>
    <cellStyle name="Percent (0) 11" xfId="345"/>
    <cellStyle name="Percent (0) 2" xfId="346"/>
    <cellStyle name="Percent (0) 3" xfId="347"/>
    <cellStyle name="Percent (0) 4" xfId="348"/>
    <cellStyle name="Percent (0) 5" xfId="349"/>
    <cellStyle name="Percent (0) 6" xfId="350"/>
    <cellStyle name="Percent (0) 7" xfId="351"/>
    <cellStyle name="Percent (0) 8" xfId="352"/>
    <cellStyle name="Percent (0) 9" xfId="353"/>
    <cellStyle name="Percent 2" xfId="53"/>
    <cellStyle name="Percent 2 2" xfId="522"/>
    <cellStyle name="Percent 3" xfId="354"/>
    <cellStyle name="Percent 3 2" xfId="625"/>
    <cellStyle name="Percent 3 2 2" xfId="993"/>
    <cellStyle name="Percent 3 2 2 2" xfId="1403"/>
    <cellStyle name="Percent 3 2 3" xfId="1201"/>
    <cellStyle name="Percent 3 3" xfId="689"/>
    <cellStyle name="Percent 3 3 2" xfId="1057"/>
    <cellStyle name="Percent 3 3 2 2" xfId="1467"/>
    <cellStyle name="Percent 3 3 3" xfId="1265"/>
    <cellStyle name="Percent 3 4" xfId="861"/>
    <cellStyle name="Percent 3 5" xfId="930"/>
    <cellStyle name="Percent 3 5 2" xfId="1340"/>
    <cellStyle name="Percent 3 6" xfId="1133"/>
    <cellStyle name="Percent 4" xfId="464"/>
    <cellStyle name="Percent 5" xfId="555"/>
    <cellStyle name="Percent.0" xfId="605"/>
    <cellStyle name="Percent.00" xfId="606"/>
    <cellStyle name="Porcentaje" xfId="862"/>
    <cellStyle name="Price_Body" xfId="355"/>
    <cellStyle name="RM" xfId="863"/>
    <cellStyle name="small" xfId="356"/>
    <cellStyle name="Style 1" xfId="357"/>
    <cellStyle name="Style 1 10" xfId="358"/>
    <cellStyle name="Style 1 11" xfId="359"/>
    <cellStyle name="Style 1 12" xfId="864"/>
    <cellStyle name="Style 1 2" xfId="360"/>
    <cellStyle name="Style 1 2 2" xfId="361"/>
    <cellStyle name="Style 1 2 2 2" xfId="362"/>
    <cellStyle name="Style 1 2 2 3" xfId="363"/>
    <cellStyle name="Style 1 2 2 4" xfId="364"/>
    <cellStyle name="Style 1 2 2 5" xfId="365"/>
    <cellStyle name="Style 1 2 2 6" xfId="366"/>
    <cellStyle name="Style 1 2 2 7" xfId="367"/>
    <cellStyle name="Style 1 2 3" xfId="368"/>
    <cellStyle name="Style 1 2 4" xfId="369"/>
    <cellStyle name="Style 1 2 5" xfId="370"/>
    <cellStyle name="Style 1 2 6" xfId="371"/>
    <cellStyle name="Style 1 2 7" xfId="372"/>
    <cellStyle name="Style 1 2 8" xfId="865"/>
    <cellStyle name="Style 1 2_Deferred Tax Note." xfId="921"/>
    <cellStyle name="Style 1 3" xfId="373"/>
    <cellStyle name="Style 1 4" xfId="374"/>
    <cellStyle name="Style 1 5" xfId="375"/>
    <cellStyle name="Style 1 6" xfId="376"/>
    <cellStyle name="Style 1 7" xfId="377"/>
    <cellStyle name="Style 1 8" xfId="378"/>
    <cellStyle name="Style 1 9" xfId="379"/>
    <cellStyle name="Style 1_Deferred Tax Note." xfId="920"/>
    <cellStyle name="Style 2" xfId="380"/>
    <cellStyle name="Tickmark" xfId="381"/>
    <cellStyle name="Title" xfId="48" builtinId="15" customBuiltin="1"/>
    <cellStyle name="Title 2" xfId="469"/>
    <cellStyle name="Title 2 2" xfId="607"/>
    <cellStyle name="Total" xfId="49" builtinId="25" customBuiltin="1"/>
    <cellStyle name="Total 2" xfId="484"/>
    <cellStyle name="Total 2 2" xfId="608"/>
    <cellStyle name="Total 2 3" xfId="866"/>
    <cellStyle name="Total 2_Deferred Tax Note." xfId="922"/>
    <cellStyle name="Ujke,jq" xfId="382"/>
    <cellStyle name="User_Defined_A" xfId="867"/>
    <cellStyle name="Warning Text" xfId="50" builtinId="11" customBuiltin="1"/>
    <cellStyle name="Warning Text 2" xfId="482"/>
    <cellStyle name="Warning Text 2 2" xfId="609"/>
    <cellStyle name="Warning Text 2 3" xfId="868"/>
    <cellStyle name="Warning Text 2_Deferred Tax Note." xfId="923"/>
    <cellStyle name="Year EN" xfId="383"/>
    <cellStyle name="Year RU" xfId="384"/>
    <cellStyle name="Абзац" xfId="385"/>
    <cellStyle name="Акцент1" xfId="386"/>
    <cellStyle name="Акцент2" xfId="387"/>
    <cellStyle name="Акцент3" xfId="388"/>
    <cellStyle name="Акцент4" xfId="389"/>
    <cellStyle name="Акцент5" xfId="390"/>
    <cellStyle name="Акцент6" xfId="391"/>
    <cellStyle name="Беззащитный" xfId="392"/>
    <cellStyle name="Блок" xfId="393"/>
    <cellStyle name="Ввод " xfId="394"/>
    <cellStyle name="Вывод" xfId="395"/>
    <cellStyle name="Вычисление" xfId="396"/>
    <cellStyle name="Гиперссылка" xfId="397"/>
    <cellStyle name="Дата" xfId="398"/>
    <cellStyle name="Денежный [0]_FA Note" xfId="399"/>
    <cellStyle name="Денежный_FA Note" xfId="400"/>
    <cellStyle name="Заголовок 1" xfId="401"/>
    <cellStyle name="Заголовок 2" xfId="402"/>
    <cellStyle name="Заголовок 3" xfId="403"/>
    <cellStyle name="Заголовок 4" xfId="404"/>
    <cellStyle name="ЗаголовокБланка" xfId="405"/>
    <cellStyle name="ЗаголовокТаблицы" xfId="406"/>
    <cellStyle name="Защитный" xfId="407"/>
    <cellStyle name="ЗвездочкаСноски" xfId="408"/>
    <cellStyle name="Итог" xfId="409"/>
    <cellStyle name="Количество" xfId="410"/>
    <cellStyle name="Контрольная ячейка" xfId="411"/>
    <cellStyle name="Название" xfId="412"/>
    <cellStyle name="Нейтральный" xfId="413"/>
    <cellStyle name="Обычный_~8977181" xfId="414"/>
    <cellStyle name="Открывавшаяся гиперссылка" xfId="415"/>
    <cellStyle name="Плохой" xfId="416"/>
    <cellStyle name="Подпись" xfId="417"/>
    <cellStyle name="Подстрочный" xfId="418"/>
    <cellStyle name="Поле ввода" xfId="419"/>
    <cellStyle name="ПоляЗаполнения" xfId="420"/>
    <cellStyle name="Пояснение" xfId="421"/>
    <cellStyle name="Приложение" xfId="422"/>
    <cellStyle name="Примечание" xfId="423"/>
    <cellStyle name="Процентный_Hyperinflation 1999 calculations" xfId="424"/>
    <cellStyle name="Связанная ячейка" xfId="425"/>
    <cellStyle name="Стиль 1" xfId="426"/>
    <cellStyle name="Табличный" xfId="427"/>
    <cellStyle name="Текст предупреждения" xfId="428"/>
    <cellStyle name="ТекстСноски" xfId="429"/>
    <cellStyle name="Тысячи [0]_2 месяца" xfId="430"/>
    <cellStyle name="Тысячи_2 месяца" xfId="431"/>
    <cellStyle name="Финансовый [0]_FA Note" xfId="432"/>
    <cellStyle name="Финансовый_05 (Новая)-010408" xfId="433"/>
    <cellStyle name="Хороший" xfId="434"/>
    <cellStyle name="Цена" xfId="435"/>
    <cellStyle name="Џђћ–…ќ’ќ›‰" xfId="436"/>
    <cellStyle name="Џђћ–…ќ’ќ›‰ 10" xfId="437"/>
    <cellStyle name="Џђћ–…ќ’ќ›‰ 11" xfId="438"/>
    <cellStyle name="Џђћ–…ќ’ќ›‰ 2" xfId="439"/>
    <cellStyle name="Џђћ–…ќ’ќ›‰ 2 2" xfId="440"/>
    <cellStyle name="Џђћ–…ќ’ќ›‰ 2 2 2" xfId="441"/>
    <cellStyle name="Џђћ–…ќ’ќ›‰ 2 2 3" xfId="442"/>
    <cellStyle name="Џђћ–…ќ’ќ›‰ 2 2 4" xfId="443"/>
    <cellStyle name="Џђћ–…ќ’ќ›‰ 2 2 5" xfId="444"/>
    <cellStyle name="Џђћ–…ќ’ќ›‰ 2 2 6" xfId="445"/>
    <cellStyle name="Џђћ–…ќ’ќ›‰ 2 2 7" xfId="446"/>
    <cellStyle name="Џђћ–…ќ’ќ›‰ 2 3" xfId="447"/>
    <cellStyle name="Џђћ–…ќ’ќ›‰ 2 4" xfId="448"/>
    <cellStyle name="Џђћ–…ќ’ќ›‰ 2 5" xfId="449"/>
    <cellStyle name="Џђћ–…ќ’ќ›‰ 2 6" xfId="450"/>
    <cellStyle name="Џђћ–…ќ’ќ›‰ 2 7" xfId="451"/>
    <cellStyle name="Џђћ–…ќ’ќ›‰ 3" xfId="452"/>
    <cellStyle name="Џђћ–…ќ’ќ›‰ 4" xfId="453"/>
    <cellStyle name="Џђћ–…ќ’ќ›‰ 5" xfId="454"/>
    <cellStyle name="Џђћ–…ќ’ќ›‰ 6" xfId="455"/>
    <cellStyle name="Џђћ–…ќ’ќ›‰ 7" xfId="456"/>
    <cellStyle name="Џђћ–…ќ’ќ›‰ 8" xfId="457"/>
    <cellStyle name="Џђћ–…ќ’ќ›‰ 9" xfId="458"/>
  </cellStyles>
  <dxfs count="0"/>
  <tableStyles count="0" defaultTableStyle="TableStyleMedium9" defaultPivotStyle="PivotStyleLight16"/>
  <colors>
    <mruColors>
      <color rgb="FFB50938"/>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externalLink" Target="externalLinks/externalLink42.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87" Type="http://schemas.openxmlformats.org/officeDocument/2006/relationships/externalLink" Target="externalLinks/externalLink63.xml"/><Relationship Id="rId102" Type="http://schemas.openxmlformats.org/officeDocument/2006/relationships/externalLink" Target="externalLinks/externalLink78.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sharedStrings" Target="sharedStrings.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47625</xdr:rowOff>
    </xdr:from>
    <xdr:to>
      <xdr:col>11</xdr:col>
      <xdr:colOff>18554</xdr:colOff>
      <xdr:row>2</xdr:row>
      <xdr:rowOff>8465</xdr:rowOff>
    </xdr:to>
    <xdr:pic>
      <xdr:nvPicPr>
        <xdr:cNvPr id="3"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4819"/>
        <a:stretch/>
      </xdr:blipFill>
      <xdr:spPr bwMode="auto">
        <a:xfrm>
          <a:off x="0" y="47625"/>
          <a:ext cx="7829054" cy="14943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0</xdr:col>
      <xdr:colOff>28574</xdr:colOff>
      <xdr:row>1</xdr:row>
      <xdr:rowOff>76200</xdr:rowOff>
    </xdr:from>
    <xdr:to>
      <xdr:col>33</xdr:col>
      <xdr:colOff>588644</xdr:colOff>
      <xdr:row>1</xdr:row>
      <xdr:rowOff>76200</xdr:rowOff>
    </xdr:to>
    <xdr:cxnSp macro="">
      <xdr:nvCxnSpPr>
        <xdr:cNvPr id="7" name="Straight Connector 6"/>
        <xdr:cNvCxnSpPr/>
      </xdr:nvCxnSpPr>
      <xdr:spPr bwMode="auto">
        <a:xfrm flipV="1">
          <a:off x="28574" y="1409700"/>
          <a:ext cx="27249120" cy="0"/>
        </a:xfrm>
        <a:prstGeom prst="line">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FINANCE\Finance%20-%20Shared\Local%20Financial%20Reporting%20Packages\2002\Ecuador\P11%20(Nov02)\MOCHASA%20P11-02%20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Data\CommDoc\534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6740%20Term%20transactions%20-%20NOMOS%20@%2031.12.05"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ctuals\F2009\Fixed%20Assets%20Project\Master%20Africa%20Agg%20F2009\UNITS\LUS\Unit%20Switchboard.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Worksheet%20in%206202%20Testing%20-%20Loans%20and%20Advances%20from%20Banks%20-%20IFRS%20201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csanchez\SUB-CONTADOR\ESTADOS%20FINANCIEROS\FEB-98\FINPACK-MOLIDOR%20P4-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Documents%20and%20Settings\mickeyes\Local%20Settings\Temporary%20Internet%20Files\OLK3\5140%20Cash%20-%20Workpap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ocuments%20and%20Settings\roberts\Local%20Settings\Temporary%20Internet%20Files\OLKE\GRANPORSA%20P%23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M44-FS\FileStore\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M44-FS\FileStore\Documents%20and%20Settings\shchegolev\&#1056;&#1072;&#1073;&#1086;&#1095;&#1080;&#1081;%20&#1089;&#1090;&#1086;&#1083;\&#1055;&#1086;&#1083;&#1080;&#1075;&#1086;&#1085;\&#1071;&#1082;&#1091;&#1090;&#1091;&#1075;&#1086;&#1083;&#1100;\&#1079;&#1072;&#1087;&#1088;&#1086;&#1089;&#1099;\2004\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Users\kmajors\AppData\Local\Temp\wz6379\backup\2340%20Evaluation%20of%20Misstatements%20(06-02)%20%20S%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ATA\T%20folder\TMLEASE01(1stversio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Documents%20and%20Settings\mcholeva\My%20Documents\Avangard2\102mai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1\amwamba\LOCALS~1\Temp\Xl00000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nts%20and%20Settings\Idreen\Local%20Settings\Temporary%20Internet%20Files\Content.Outlook\CRMFIW0U\FAR%202011-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ld%20laptop\IDREEN%20FROM%20DESKTOP\IDREEN%20DESKTOP\IDREEN%20M\AUDIT%202011\FAR%202011.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5650%20Fixed%20assets%20testing%20-%20Template"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Documents%20and%20Settings\akutueva\My%20Documents\Engagements\&#1053;&#1086;&#1084;&#1086;&#1089;%2030.06.2006\Loans\spb\&#1057;&#1055;&#1041;_KRT_30.06.2006%20&#1085;&#1086;&#1074;&#1099;&#108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W\FRAME\lomakin\vabank\VEDO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Documents%20and%20Settings\chriso.SEABOARD\My%20Documents\R%20DRIVE%20DATA\Local\2002\Ecuador\P08%20(Aug02)\MOLIDOR%20P8-2002%20v2%209-27-02.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C)%205101%20&#1044;&#1077;&#1085;&#1077;&#1078;&#1085;&#1099;&#1077;%20&#1089;&#1088;&#1077;&#1076;&#1089;&#1090;&#1074;&#1072;%20Combined%20Lead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gyemldr01\users\hmedina\MisDocumentos\henry\Traslaci&#243;n\gaap1199.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AMKR"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umos0100\Data\Documents%20and%20Settings\eyakovleva\My%20Documents\MTS%209%20months%202003\Tests%20KYOM.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C)%206701%20SPOT%20&amp;%20TERM%20TRANSACTIONS%20Combined%20Leadsheet%20-%20NOMOS%20@%2031.12.05"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Documents%20and%20Settings\lcurran\My%20Documents\India\blank%20files\MD98.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MOD-FUP99.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8140%20Interest%20Income%20from%20Customers%20_%20Substantive%20Analytical%20Procedure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736E3972\&#1054;&#1089;&#1085;&#1086;&#1074;&#1085;&#1099;&#1077;%20&#1089;&#1088;&#1077;&#1076;&#1089;&#1090;&#1074;&#1072;%20&#1089;%200104%20&#1087;&#1086;%2030092005&#1075;-%20&#1056;&#1077;&#1075;&#1080;&#1086;&#1073;&#1072;&#1085;&#108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ctuals\F2009\Fixed%20Assets%20Project\Master%20Africa%20Agg%20F2009\UNITS\DAR\Unit%20Switchboar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amwamba\My%20Documents\Client_Files\Madison_General_Insurance\2009.2010\Madison_Gen.3rd_Draft_Tax%20Com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BBS.ABS\BANK\STNDFRM\IASCONV\Examples\conv_E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Nomos_leasing_adj_%20Journal%20Set%20-%20AJE%20-%20%20Trial%20Balance%202261.02%20(28-May-07%2011%2043%2037%20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CC712CB\&#1057;&#1088;&#1086;&#1095;&#1085;&#1099;&#1077;%20_&#1055;&#1077;&#1088;&#1077;&#1086;&#1094;&#1077;&#1085;&#1082;&#1072;%20_311208-n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Users\SalomeBanda\Documents\Pannar%20Seed\AFS%2030%20June%20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sk.fbk.ru\root\Documents%20and%20Settings\Lepekhin\Desktop\&#1062;&#1052;&#1044;_&#1048;&#1085;&#1074;&#1077;&#1089;&#1090;&#1080;&#1094;&#1080;&#1080;________.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vr\common\&#1054;&#1090;&#1095;&#1077;&#1090;&#1099;%20&#1082;&#1083;&#1080;&#1077;&#1085;&#1090;&#1072;&#1084;\_&#1053;&#1054;&#1052;&#1054;&#1057;-&#1041;&#1072;&#1085;&#1082;\&#1048;&#1090;&#1086;&#1075;&#1086;&#1074;&#1099;&#1081;%20&#1080;&#1085;&#1074;&#1077;&#1089;&#1090;&#1087;&#1086;&#1088;&#1090;&#1092;&#1077;&#1083;&#1100;%2030.09.08-8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Zmlskfsr01\departments\OMB\Harriets%20Main\Kiran%20&amp;%20Musonda\2008%20Working%20papers\working%20papers%2020081.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5340%20Dealing%20securities%20-%20NOMOS%20@%2030.09.05"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Users\mnatsvlishvili\Desktop\New%20Audit%20approach\Substantive%20Analytical%20Procedures%20(Revised%20for%202009).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2270%20FS%20in%20Excel%20FINCA%20Arm%202012"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6740%20Derivatives%20and%20spot%20deals,%20Sviaz%2031%2012%202006"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790%20Derivatives%20-%20TCB%2030%2006%2006"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C)%205340%20Debtor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TEMP\Rar$DI60.3578\5440%20Loan%20Impairment%20Summary%20-%20NOMOS%20@%2030%2009%2006.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6860%20RAS%20OFF-BS%20testing%20-%20NOMOS%20@%2031.12.04"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5445%20LLS%20@31%2012%202002"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9640%20Promestate%20review%20@%2031%2003%202007"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C)%205340%20Dealing%20securities%20test%20@%2030%2009%2003%20-%20Rosbank"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5140%20Cash%20and%20balances%20with%20CBR_template"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TEMP\C.Lotus.Notes.Data\2001_FSAP%20(answer%20to%20C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NFT-U%20Tax%20rollforward%20and%20test%202003%20-%205%20months%202"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C)%206160%20Payables%20-%2031%2012%202009"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240%20Loans%20to%20banks,%20Sviaz@31%2012%200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hmedina\MisDocumentos\henry\ESTADOS%20FINANCIEROS\FINPACK-MOLIDOR%20P12-99.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5241%20Test%20of%20Investment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2007/122007/Sergey/fx_28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M44-FS\FileStore\Project\IFRG\&#1058;&#1088;&#1072;&#1085;&#1089;&#1085;&#1077;&#1092;&#1090;&#1077;&#1087;&#1088;&#1086;&#1076;&#1091;&#1082;&#1090;-%20&#1087;&#1083;&#1072;&#1085;&#1080;&#1088;&#1086;&#1074;&#1072;&#1085;&#1080;&#1077;\&#1058;&#1053;&#1055;%202002\&#1041;&#1072;&#1079;&#1072;%20TNP%20CaseWare%202002\&#1041;&#1077;&#1083;&#1086;&#1088;&#1091;&#1089;&#1089;&#1082;&#1080;&#1081;%20&#1062;&#1069;&#1057;\&#1041;&#1077;&#1083;&#1086;&#1088;&#1091;&#1089;&#1089;&#1082;&#1080;&#1081;%20&#1062;&#1069;&#105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ctuals\F2009\Master%20Africa%20Agg%20F2009\UNITS\MAIA\Unit%20Switchboar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Y:\Documents%20and%20Settings\Malyarchuk_VP\&#1056;&#1072;&#1073;&#1086;&#1095;&#1080;&#1081;%20&#1089;&#1090;&#1086;&#1083;\Eurobonds%20Issued%20%20-%20Nomos-Bank%20@%20311207.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114446703_VedModOS1"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Documents%20and%20Settings\apankratov\My%20Documents\02_Projects\14_Nomos\Review%206m%20'07\&#1056;&#1077;&#1075;&#1080;&#1086;%20-%20&#1073;&#1072;&#1085;&#1082;\FA_&#1087;.%206,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MY%20FINANALIZ\&#1054;&#1058;&#1063;&#1045;&#1058;&#1067;%20&#1053;&#1040;%20&#1055;&#1045;&#1056;&#1048;&#1054;&#1044;%20&#1054;&#1058;&#1055;&#1059;&#1057;&#1050;&#1040;%20&#1057;.&#1042;\Documents%20and%20Settings\Pankova_UR\Local%20Settings\Temporary%20Internet%20Files\OLK3\&#1057;&#1055;&#1073;_krp_15.06.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vr\common\&#1054;&#1090;&#1095;&#1077;&#1090;&#1099;%20&#1082;&#1083;&#1080;&#1077;&#1085;&#1090;&#1072;&#1084;\_&#1053;&#1054;&#1052;&#1054;&#1057;-&#1041;&#1072;&#1085;&#1082;\&#1054;&#1057;&#1042;.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Worksheet%20in%208450%20Petro%20FOREX%20test%20FY2006"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8302%20Analytics%20&amp;%20Testing%20-%20Net%20unrealised%20Gain%20Loss%20-%20IFRS%20Audit'08%20Final"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Worksheet%20in%20(C)%205600%20Other%20assets%20EXAMPLE%20Combined%20Leadsheet"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Worksheet%20in%208352%20Operating%20Expenses%20Testing"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if_server\disk_z\Project\IFRG\&#1062;&#1052;&#1044;\&#1058;&#1056;&#1040;&#1053;&#1057;&#1060;&#1054;&#1056;&#1052;&#1040;&#1062;&#1048;&#1071;\&#1062;&#1052;&#1044;_1998\Restatement\&#1055;&#1088;&#1086;&#1095;&#1080;&#1077;%20&#1088;&#1072;&#1079;&#1076;&#1077;&#1083;&#1099;\&#1062;&#1052;&#1044;_&#1048;&#1085;&#1074;&#1077;&#1089;&#1090;&#1080;&#1094;&#1080;&#108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Y:\MY%20FINANALIZ\&#1054;&#1058;&#1063;&#1045;&#1058;&#1067;%20&#1053;&#1040;%20&#1055;&#1045;&#1056;&#1048;&#1054;&#1044;%20&#1054;&#1058;&#1055;&#1059;&#1057;&#1050;&#1040;%20&#1057;.&#1042;\&#1054;&#1074;&#1077;&#1088;&#107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89092807\&#1057;&#1088;&#1086;&#1095;&#1085;&#1099;&#1077;%20_&#1055;&#1077;&#1088;&#1077;&#1086;&#1094;&#1077;&#1085;&#1082;&#1072;%20_300620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DOCUME~1\ESOKOL~1\LOCALS~1\Temp\Rar$DI00.026\&#1057;&#1088;&#1086;&#1095;&#1085;&#1099;&#1077;%20_&#1055;&#1077;&#1088;&#1077;&#1086;&#1094;&#1077;&#1085;&#1082;&#1072;%20_3009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Users\vkashin\Desktop\NOMOS%2031.12.08\06.02.09\&#1085;&#1086;&#1084;&#1086;&#1089;\REPO%20&#1055;%20&#1080;%20&#1040;-3112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Y:\BANK\CBR\!CB_OTCH\pismo\MSFO\2006\010706\&#1053;&#1054;&#1052;&#1054;&#1057;\&#1055;&#1077;&#1088;&#1077;&#1086;&#1094;&#1077;&#1085;&#1082;&#1072;&#1052;&#1057;&#1060;&#1054;-0107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if_server\disk_z\Project\IFRG\&#1062;&#1052;&#1044;\&#1058;&#1056;&#1040;&#1053;&#1057;&#1060;&#1054;&#1056;&#1052;&#1040;&#1062;&#1048;&#1071;\&#1062;&#1052;&#1044;_1998\Restatement\&#1055;&#1088;&#1086;&#1095;&#1080;&#1077;%20&#1088;&#1072;&#1079;&#1076;&#1077;&#1083;&#1099;\&#1090;&#1077;&#1093;&#1085;&#1086;&#1087;&#1086;&#1083;&#1080;&#1089;_&#1089;&#1074;&#1086;&#1076;\&#1062;&#1052;&#1044;_&#1048;&#1085;&#1074;&#1077;&#1089;&#1090;&#1080;&#1094;&#1080;&#108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7E56270\&#1056;&#1072;&#1089;&#1096;&#1080;&#1092;&#1088;&#1086;&#1074;&#1082;&#1072;%20&#1082;&#1088;&#1077;&#1076;&#1080;&#1090;&#1086;&#1074;%20&#1085;&#1072;%2001.03.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BR\Giga\5500%20Investment%20Securities\5340%20Trading%20securities%20-%20IFRS%60201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Y:\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TAX\Clients\M-N\MBRD-Bank\2004\9mnth\tax%20registrs\&#1044;&#1086;&#1093;&#1086;&#1076;&#1099;%20&#1080;%20&#1088;&#1072;&#1089;&#1093;&#1086;&#1076;&#1099;%20%20III%2001.01.04-30.09.0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BANK\CBR\!CB_OTCH\pismo\MSFO\2008\011008\NOMOS%20011008\&#1044;&#1072;&#1085;&#1085;&#1099;&#1077;\&#1042;&#1072;&#1088;&#1080;&#1072;&#1085;&#1090;&#1099;\&#1057;&#1088;&#1086;&#1095;&#1085;&#1099;&#1077;%20_&#1056;&#1045;&#1055;&#1054;%20_300908las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rchinyama\AppData\Local\Microsoft\Windows\Temporary%20Internet%20Files\Content.Outlook\SAW387W2\windows\TEMP\MyClients\1998\Neftehim\con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KC"/>
      <sheetName val="INCOME STATEMENT- ECUADOR"/>
      <sheetName val="BALANCE SHEET-KC"/>
      <sheetName val="BALANCE SHEET-ECUADOR"/>
      <sheetName val="ENTRIES OF ADJUSTMENTS-KC"/>
      <sheetName val="ENTRIES OF ADJUSTMENTS-ECUADOR"/>
      <sheetName val="INDEX"/>
      <sheetName val="0"/>
      <sheetName val="1-KC"/>
      <sheetName val="ATTACHEMENT TO SCH-1KC"/>
      <sheetName val="1-ECUADOR"/>
      <sheetName val="2-KC"/>
      <sheetName val="2-ECUADOR"/>
      <sheetName val="3"/>
      <sheetName val="4"/>
      <sheetName val="4A(1)"/>
      <sheetName val="4B(1)"/>
      <sheetName val="5(1)"/>
      <sheetName val="5A"/>
      <sheetName val="5B"/>
      <sheetName val="5C"/>
      <sheetName val="5 D"/>
      <sheetName val="6(1)"/>
      <sheetName val="7"/>
      <sheetName val="8"/>
      <sheetName val="8A(1)"/>
      <sheetName val="8A"/>
      <sheetName val="8B "/>
      <sheetName val="9"/>
      <sheetName val="10"/>
      <sheetName val="10A"/>
      <sheetName val="10B"/>
      <sheetName val="11"/>
      <sheetName val="11A"/>
      <sheetName val="12"/>
      <sheetName val="13"/>
      <sheetName val="14"/>
      <sheetName val="15"/>
      <sheetName val="INCOME_STATEMENT-KC"/>
      <sheetName val="INCOME_STATEMENT-_ECUADOR"/>
      <sheetName val="BALANCE_SHEET-KC"/>
      <sheetName val="BALANCE_SHEET-ECUADOR"/>
      <sheetName val="ENTRIES_OF_ADJUSTMENTS-KC"/>
      <sheetName val="ENTRIES_OF_ADJUSTMENTS-ECUADOR"/>
      <sheetName val="ATTACHEMENT_TO_SCH-1KC"/>
      <sheetName val="5_D"/>
      <sheetName val="8B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Confirm"/>
      <sheetName val="Allow {pbc}"/>
      <sheetName val="Statistics {pbc}"/>
      <sheetName val="Tickmarks"/>
      <sheetName val="modRollFWD"/>
    </sheetNames>
    <sheetDataSet>
      <sheetData sheetId="0" refreshError="1"/>
      <sheetData sheetId="1" refreshError="1"/>
      <sheetData sheetId="2" refreshError="1"/>
      <sheetData sheetId="3" refreshError="1"/>
      <sheetData sheetId="4"/>
      <sheetData sheetId="5">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est"/>
      <sheetName val="REPO"/>
      <sheetName val="CCY revaluation"/>
      <sheetName val="IFRS"/>
      <sheetName val="Tickmarks"/>
      <sheetName val="Brkdwn_96"/>
      <sheetName val="REPO_example"/>
      <sheetName val="Brkdwn"/>
      <sheetName val="Request1"/>
      <sheetName val="Req_2"/>
      <sheetName val="Anlagevermögen"/>
      <sheetName val="Baku IM&amp; Consolid Trial balanc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mp; Dates"/>
      <sheetName val="Account Classification"/>
      <sheetName val="Account Mapping"/>
      <sheetName val="SSG Accounts"/>
    </sheetNames>
    <sheetDataSet>
      <sheetData sheetId="0" refreshError="1">
        <row r="10">
          <cell r="C10">
            <v>1</v>
          </cell>
          <cell r="D10">
            <v>39539</v>
          </cell>
          <cell r="E10">
            <v>39568</v>
          </cell>
          <cell r="F10">
            <v>1</v>
          </cell>
          <cell r="G10">
            <v>30</v>
          </cell>
          <cell r="H10">
            <v>3670</v>
          </cell>
          <cell r="I10">
            <v>3475</v>
          </cell>
          <cell r="J10">
            <v>3524.2367855025805</v>
          </cell>
          <cell r="K10">
            <v>0</v>
          </cell>
          <cell r="L10">
            <v>8.1463000000000001</v>
          </cell>
          <cell r="M10">
            <v>7.5975999999999999</v>
          </cell>
          <cell r="N10">
            <v>7.87195</v>
          </cell>
          <cell r="O10">
            <v>0</v>
          </cell>
        </row>
        <row r="11">
          <cell r="C11">
            <v>2</v>
          </cell>
          <cell r="D11">
            <v>39569</v>
          </cell>
          <cell r="E11">
            <v>39599</v>
          </cell>
          <cell r="F11">
            <v>1</v>
          </cell>
          <cell r="G11">
            <v>31</v>
          </cell>
          <cell r="H11">
            <v>3475</v>
          </cell>
          <cell r="I11">
            <v>3425</v>
          </cell>
          <cell r="J11">
            <v>3398.578586992679</v>
          </cell>
          <cell r="K11">
            <v>0</v>
          </cell>
          <cell r="L11">
            <v>7.5975999999999999</v>
          </cell>
          <cell r="M11">
            <v>7.6151999999999997</v>
          </cell>
          <cell r="N11">
            <v>7.6063999999999998</v>
          </cell>
          <cell r="O11">
            <v>0</v>
          </cell>
        </row>
        <row r="12">
          <cell r="C12">
            <v>3</v>
          </cell>
          <cell r="D12">
            <v>39600</v>
          </cell>
          <cell r="E12">
            <v>39629</v>
          </cell>
          <cell r="F12">
            <v>1</v>
          </cell>
          <cell r="G12">
            <v>30</v>
          </cell>
          <cell r="H12">
            <v>3425</v>
          </cell>
          <cell r="I12">
            <v>3205</v>
          </cell>
          <cell r="J12">
            <v>3259.3816901747496</v>
          </cell>
          <cell r="K12">
            <v>0</v>
          </cell>
          <cell r="L12">
            <v>7.6151999999999997</v>
          </cell>
          <cell r="M12">
            <v>7.8460999999999999</v>
          </cell>
          <cell r="N12">
            <v>7.7306499999999998</v>
          </cell>
          <cell r="O12">
            <v>0</v>
          </cell>
        </row>
        <row r="13">
          <cell r="C13">
            <v>4</v>
          </cell>
          <cell r="D13">
            <v>39630</v>
          </cell>
          <cell r="E13">
            <v>39660</v>
          </cell>
          <cell r="F13">
            <v>2</v>
          </cell>
          <cell r="G13">
            <v>31</v>
          </cell>
          <cell r="H13">
            <v>3205</v>
          </cell>
          <cell r="I13">
            <v>3520</v>
          </cell>
          <cell r="J13">
            <v>3413.2918513139339</v>
          </cell>
          <cell r="K13">
            <v>0</v>
          </cell>
          <cell r="L13">
            <v>7.8460999999999999</v>
          </cell>
          <cell r="M13">
            <v>7.3407</v>
          </cell>
          <cell r="N13">
            <v>7.5933999999999999</v>
          </cell>
          <cell r="O13">
            <v>0</v>
          </cell>
        </row>
        <row r="14">
          <cell r="C14">
            <v>5</v>
          </cell>
          <cell r="D14">
            <v>39661</v>
          </cell>
          <cell r="E14">
            <v>39691</v>
          </cell>
          <cell r="F14">
            <v>2</v>
          </cell>
          <cell r="G14">
            <v>31</v>
          </cell>
          <cell r="H14">
            <v>3520</v>
          </cell>
          <cell r="I14">
            <v>3500</v>
          </cell>
          <cell r="J14">
            <v>3441.24</v>
          </cell>
          <cell r="K14">
            <v>0</v>
          </cell>
          <cell r="L14">
            <v>7.3407</v>
          </cell>
          <cell r="M14">
            <v>7.7041000000000004</v>
          </cell>
          <cell r="N14">
            <v>7.5224000000000002</v>
          </cell>
          <cell r="O14">
            <v>0</v>
          </cell>
        </row>
        <row r="15">
          <cell r="C15">
            <v>6</v>
          </cell>
          <cell r="D15">
            <v>39692</v>
          </cell>
          <cell r="E15">
            <v>39721</v>
          </cell>
          <cell r="F15">
            <v>2</v>
          </cell>
          <cell r="G15">
            <v>30</v>
          </cell>
          <cell r="H15">
            <v>3500</v>
          </cell>
          <cell r="I15">
            <v>3590</v>
          </cell>
          <cell r="J15">
            <v>3538.8019718154692</v>
          </cell>
          <cell r="K15">
            <v>0</v>
          </cell>
          <cell r="L15">
            <v>7.7041000000000004</v>
          </cell>
          <cell r="M15">
            <v>8.2949999999999999</v>
          </cell>
          <cell r="N15">
            <v>7.9995500000000002</v>
          </cell>
          <cell r="O15">
            <v>0</v>
          </cell>
        </row>
        <row r="16">
          <cell r="C16">
            <v>7</v>
          </cell>
          <cell r="D16">
            <v>39722</v>
          </cell>
          <cell r="E16">
            <v>39752</v>
          </cell>
          <cell r="F16">
            <v>3</v>
          </cell>
          <cell r="G16">
            <v>31</v>
          </cell>
          <cell r="H16">
            <v>3590</v>
          </cell>
          <cell r="I16">
            <v>4460</v>
          </cell>
          <cell r="J16">
            <v>4037.8775965442678</v>
          </cell>
          <cell r="K16">
            <v>0</v>
          </cell>
          <cell r="L16">
            <v>8.2949999999999999</v>
          </cell>
          <cell r="M16">
            <v>9.8000000000000007</v>
          </cell>
          <cell r="N16">
            <v>9.67</v>
          </cell>
          <cell r="O16">
            <v>0</v>
          </cell>
        </row>
        <row r="17">
          <cell r="C17">
            <v>8</v>
          </cell>
          <cell r="D17">
            <v>39753</v>
          </cell>
          <cell r="E17">
            <v>39782</v>
          </cell>
          <cell r="F17">
            <v>3</v>
          </cell>
          <cell r="G17">
            <v>30</v>
          </cell>
          <cell r="H17">
            <v>4460</v>
          </cell>
          <cell r="I17">
            <v>4495</v>
          </cell>
          <cell r="J17">
            <v>4245.9336375551575</v>
          </cell>
          <cell r="K17">
            <v>0</v>
          </cell>
          <cell r="L17">
            <v>9.8000000000000007</v>
          </cell>
          <cell r="M17">
            <v>10.215</v>
          </cell>
          <cell r="N17">
            <v>10.0075</v>
          </cell>
          <cell r="O17">
            <v>0</v>
          </cell>
        </row>
        <row r="18">
          <cell r="C18">
            <v>9</v>
          </cell>
          <cell r="D18">
            <v>39783</v>
          </cell>
          <cell r="E18">
            <v>39813</v>
          </cell>
          <cell r="F18">
            <v>3</v>
          </cell>
          <cell r="G18">
            <v>31</v>
          </cell>
          <cell r="H18">
            <v>4495</v>
          </cell>
          <cell r="I18">
            <v>4810</v>
          </cell>
          <cell r="J18">
            <v>4880.59</v>
          </cell>
          <cell r="K18">
            <v>0</v>
          </cell>
          <cell r="L18">
            <v>10.215</v>
          </cell>
          <cell r="M18">
            <v>9.6</v>
          </cell>
          <cell r="N18">
            <v>9.9074999999999989</v>
          </cell>
          <cell r="O18">
            <v>0</v>
          </cell>
        </row>
        <row r="19">
          <cell r="C19">
            <v>10</v>
          </cell>
          <cell r="D19">
            <v>39814</v>
          </cell>
          <cell r="E19">
            <v>39844</v>
          </cell>
          <cell r="F19">
            <v>4</v>
          </cell>
          <cell r="G19">
            <v>31</v>
          </cell>
          <cell r="H19">
            <v>4810</v>
          </cell>
          <cell r="I19">
            <v>5135</v>
          </cell>
          <cell r="J19">
            <v>5039.9457031125057</v>
          </cell>
          <cell r="K19">
            <v>0</v>
          </cell>
          <cell r="L19">
            <v>9.6</v>
          </cell>
          <cell r="M19">
            <v>10.256</v>
          </cell>
          <cell r="N19">
            <v>9.9280000000000008</v>
          </cell>
          <cell r="O19">
            <v>0</v>
          </cell>
        </row>
        <row r="20">
          <cell r="C20">
            <v>11</v>
          </cell>
          <cell r="D20">
            <v>39845</v>
          </cell>
          <cell r="E20">
            <v>39872</v>
          </cell>
          <cell r="F20">
            <v>4</v>
          </cell>
          <cell r="G20">
            <v>28</v>
          </cell>
          <cell r="H20">
            <v>5135</v>
          </cell>
          <cell r="I20">
            <v>3670</v>
          </cell>
          <cell r="J20">
            <v>3755.9286519370507</v>
          </cell>
          <cell r="K20">
            <v>0</v>
          </cell>
          <cell r="L20">
            <v>10.256</v>
          </cell>
          <cell r="M20">
            <v>8.1463000000000001</v>
          </cell>
          <cell r="N20">
            <v>9.2011500000000002</v>
          </cell>
          <cell r="O20">
            <v>0</v>
          </cell>
        </row>
        <row r="21">
          <cell r="C21">
            <v>12</v>
          </cell>
          <cell r="H21">
            <v>3670</v>
          </cell>
          <cell r="I21">
            <v>3670</v>
          </cell>
          <cell r="J21">
            <v>3676.7872063299828</v>
          </cell>
          <cell r="K21">
            <v>0</v>
          </cell>
          <cell r="L21">
            <v>8.1463000000000001</v>
          </cell>
          <cell r="M21">
            <v>8.1463000000000001</v>
          </cell>
          <cell r="N21">
            <v>8.1463000000000001</v>
          </cell>
          <cell r="O21">
            <v>0</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N"/>
      <sheetName val="RJE"/>
      <sheetName val="Loro"/>
      <sheetName val="Loans from Banks"/>
      <sheetName val="Movements of loro and cut-off"/>
      <sheetName val="IFRS-notes"/>
      <sheetName val="2011-12 Ex. Rates"/>
      <sheetName val="Audit Sampling Table"/>
      <sheetName val="Tickmarks"/>
      <sheetName val="AJE"/>
      <sheetName val="inputs"/>
      <sheetName val="FELINE PUMAS"/>
      <sheetName val="Cvt. Debt"/>
      <sheetName val="Common"/>
      <sheetName val="F. FLEXCAPS"/>
      <sheetName val="LYONs"/>
      <sheetName val="Pro Forma"/>
      <sheetName val="cc20"/>
    </sheetNames>
    <sheetDataSet>
      <sheetData sheetId="0" refreshError="1"/>
      <sheetData sheetId="1" refreshError="1"/>
      <sheetData sheetId="2" refreshError="1">
        <row r="29">
          <cell r="H29" t="str">
            <v>GEL</v>
          </cell>
          <cell r="J29">
            <v>1005.11</v>
          </cell>
        </row>
        <row r="30">
          <cell r="H30" t="str">
            <v>GEL</v>
          </cell>
          <cell r="J30">
            <v>564.35</v>
          </cell>
        </row>
        <row r="31">
          <cell r="H31" t="str">
            <v>EUR</v>
          </cell>
          <cell r="J31">
            <v>1.7723479999999998</v>
          </cell>
        </row>
        <row r="32">
          <cell r="H32" t="str">
            <v>EUR</v>
          </cell>
          <cell r="J32">
            <v>575.32145200000002</v>
          </cell>
        </row>
        <row r="33">
          <cell r="H33" t="str">
            <v>GBP</v>
          </cell>
          <cell r="J33">
            <v>65.471039999999988</v>
          </cell>
        </row>
        <row r="34">
          <cell r="H34" t="str">
            <v>RUB</v>
          </cell>
          <cell r="J34">
            <v>214.58295738000001</v>
          </cell>
        </row>
        <row r="35">
          <cell r="H35" t="str">
            <v>USD</v>
          </cell>
          <cell r="J35">
            <v>2082.1792769999997</v>
          </cell>
        </row>
        <row r="36">
          <cell r="H36" t="str">
            <v>EUR</v>
          </cell>
          <cell r="J36">
            <v>23.991540000000001</v>
          </cell>
        </row>
        <row r="37">
          <cell r="H37" t="str">
            <v>USD</v>
          </cell>
          <cell r="J37">
            <v>642.56440999999995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
      <sheetName val="INDEX"/>
      <sheetName val="O"/>
      <sheetName val="1"/>
      <sheetName val="1a"/>
      <sheetName val="2"/>
      <sheetName val="3"/>
      <sheetName val="4"/>
      <sheetName val="4A(1)"/>
      <sheetName val="4B(1)"/>
      <sheetName val="4D(1)"/>
      <sheetName val="4E(1)"/>
      <sheetName val="5(1)"/>
      <sheetName val="5A"/>
      <sheetName val="5B"/>
      <sheetName val="5C"/>
      <sheetName val="5D"/>
      <sheetName val="6(1)"/>
      <sheetName val="7"/>
      <sheetName val="8"/>
      <sheetName val="8A (1)"/>
      <sheetName val="8A (2)"/>
      <sheetName val="8B"/>
      <sheetName val="9"/>
      <sheetName val="10"/>
      <sheetName val="10B"/>
      <sheetName val="11(1)"/>
      <sheetName val="11(2)"/>
      <sheetName val="11B"/>
      <sheetName val="12"/>
      <sheetName val="13"/>
      <sheetName val="14A(1)"/>
      <sheetName val="14B(1)"/>
      <sheetName val="15(1)"/>
      <sheetName val="INDO"/>
      <sheetName val="FINPACK-MOLIDOR P4-2001"/>
      <sheetName val="Monthly Budget"/>
      <sheetName val="Product Sales1100"/>
      <sheetName val="INCOME_STATEMENT-GAAP"/>
      <sheetName val="BALANCE_SHEET-GAAP"/>
      <sheetName val="ENTRIES_OF_ADJUSMENTS-GAAP_"/>
      <sheetName val="8A_(1)"/>
      <sheetName val="8A_(2)"/>
      <sheetName val="FINPACK-MOLIDOR_P4-200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Overview "/>
      <sheetName val="Bank Confirmations"/>
      <sheetName val="Testing of Bank Reconciliations"/>
      <sheetName val="Additive Items Testing"/>
      <sheetName val="Subtractive Items Testing"/>
      <sheetName val="Testing FX Balances"/>
      <sheetName val="Tickmarks"/>
      <sheetName val="HideSheet"/>
    </sheetNames>
    <sheetDataSet>
      <sheetData sheetId="0"/>
      <sheetData sheetId="1"/>
      <sheetData sheetId="2"/>
      <sheetData sheetId="3"/>
      <sheetData sheetId="4"/>
      <sheetData sheetId="5"/>
      <sheetData sheetId="6"/>
      <sheetData sheetId="7"/>
      <sheetData sheetId="8">
        <row r="17">
          <cell r="A17" t="str">
            <v xml:space="preserve">Based on the procedures performed we conclude the required assurance has been obtained and NO misstatements have been identified. </v>
          </cell>
        </row>
        <row r="18">
          <cell r="A18" t="str">
            <v xml:space="preserve">Based on the procedures performed we conclude the required assurance has been obtained and misstatements have been identified. </v>
          </cell>
        </row>
        <row r="19">
          <cell r="A19" t="str">
            <v xml:space="preserve">Based on the procedures performed we conclude the required assurance has been obtained and material misstatements have been identified.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AP - BALANC SHEET"/>
      <sheetName val="GAAP - INCOME STAT."/>
      <sheetName val="GAAP - ADJUSTMENT"/>
      <sheetName val="INDEX"/>
      <sheetName val="COMMENTARY"/>
      <sheetName val="1"/>
      <sheetName val="2"/>
      <sheetName val="4"/>
      <sheetName val="4A(1)"/>
      <sheetName val="4A(2)"/>
      <sheetName val="5(1)"/>
      <sheetName val="5(2)"/>
      <sheetName val="5C"/>
      <sheetName val="5D"/>
      <sheetName val="6(1)"/>
      <sheetName val="6(2)"/>
      <sheetName val="7"/>
      <sheetName val="8A"/>
      <sheetName val="8B"/>
      <sheetName val="10"/>
      <sheetName val="10A"/>
      <sheetName val="Set_Up"/>
      <sheetName val="Benefits &amp; ROI"/>
      <sheetName val="Input"/>
      <sheetName val="Directors Report etc"/>
      <sheetName val="Parameters"/>
      <sheetName val="GAAP_-_BALANC_SHEET"/>
      <sheetName val="GAAP_-_INCOME_STAT_"/>
      <sheetName val="GAAP_-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Rules"/>
      <sheetName val="Examples"/>
      <sheetName val="Лист3"/>
      <sheetName val="Anlagevermögen"/>
      <sheetName val="General"/>
      <sheetName val="misc"/>
      <sheetName val="Comps"/>
      <sheetName val="Sprint"/>
      <sheetName val="MetaData"/>
      <sheetName val="Список"/>
      <sheetName val="COVER"/>
    </sheetNames>
    <sheetDataSet>
      <sheetData sheetId="0" refreshError="1"/>
      <sheetData sheetId="1" refreshError="1">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8">
          <cell r="B78" t="str">
            <v>К</v>
          </cell>
          <cell r="C78">
            <v>3000001</v>
          </cell>
        </row>
        <row r="81">
          <cell r="B81" t="str">
            <v>К</v>
          </cell>
          <cell r="C81">
            <v>3000004</v>
          </cell>
        </row>
        <row r="84">
          <cell r="B84" t="str">
            <v>К</v>
          </cell>
          <cell r="C84">
            <v>3000002</v>
          </cell>
        </row>
        <row r="89">
          <cell r="B89" t="str">
            <v>К</v>
          </cell>
          <cell r="C89">
            <v>3000005</v>
          </cell>
        </row>
        <row r="98">
          <cell r="B98" t="str">
            <v>Д</v>
          </cell>
          <cell r="C98">
            <v>3000005</v>
          </cell>
        </row>
        <row r="101">
          <cell r="B101" t="str">
            <v>Д</v>
          </cell>
          <cell r="C101">
            <v>1011715</v>
          </cell>
        </row>
        <row r="104">
          <cell r="B104" t="str">
            <v>Д</v>
          </cell>
          <cell r="C104">
            <v>3000005</v>
          </cell>
        </row>
        <row r="108">
          <cell r="B108" t="str">
            <v>Д</v>
          </cell>
          <cell r="C108">
            <v>3000005</v>
          </cell>
        </row>
        <row r="111">
          <cell r="B111" t="str">
            <v>Д</v>
          </cell>
          <cell r="C111">
            <v>1011715</v>
          </cell>
        </row>
        <row r="118">
          <cell r="B118" t="str">
            <v>Д</v>
          </cell>
          <cell r="C118">
            <v>3000004</v>
          </cell>
        </row>
        <row r="119">
          <cell r="B119" t="str">
            <v>Д</v>
          </cell>
          <cell r="C119">
            <v>3000005</v>
          </cell>
        </row>
        <row r="121">
          <cell r="B121">
            <v>0</v>
          </cell>
          <cell r="C121">
            <v>0</v>
          </cell>
        </row>
        <row r="124">
          <cell r="B124">
            <v>0</v>
          </cell>
          <cell r="C124">
            <v>0</v>
          </cell>
        </row>
        <row r="127">
          <cell r="B127">
            <v>0</v>
          </cell>
          <cell r="C127">
            <v>0</v>
          </cell>
        </row>
        <row r="130">
          <cell r="B130">
            <v>0</v>
          </cell>
          <cell r="C130">
            <v>0</v>
          </cell>
        </row>
        <row r="138">
          <cell r="B138">
            <v>0</v>
          </cell>
          <cell r="C1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Rules"/>
      <sheetName val="Examples"/>
      <sheetName val="Лист3"/>
      <sheetName val="Comps"/>
      <sheetName val="Anlagevermögen"/>
      <sheetName val="General"/>
      <sheetName val="misc"/>
      <sheetName val="Sprint"/>
      <sheetName val="MetaData"/>
      <sheetName val="Список"/>
      <sheetName val="Creditors"/>
      <sheetName val="Debtors"/>
      <sheetName val="Waste - Prod"/>
      <sheetName val="F OH per Unit"/>
      <sheetName val="OH Pdn"/>
      <sheetName val="Mapping MC"/>
      <sheetName val="Procurement"/>
      <sheetName val="Man Inc Statement"/>
      <sheetName val="V OH per Unit"/>
    </sheetNames>
    <sheetDataSet>
      <sheetData sheetId="0" refreshError="1"/>
      <sheetData sheetId="1" refreshError="1">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3">
          <cell r="A73" t="str">
            <v>Проводки у СОТ-Транса</v>
          </cell>
        </row>
        <row r="78">
          <cell r="B78" t="str">
            <v>К</v>
          </cell>
          <cell r="C78">
            <v>3000001</v>
          </cell>
        </row>
        <row r="81">
          <cell r="B81" t="str">
            <v>К</v>
          </cell>
          <cell r="C81">
            <v>3000004</v>
          </cell>
        </row>
        <row r="84">
          <cell r="B84" t="str">
            <v>К</v>
          </cell>
          <cell r="C84">
            <v>3000002</v>
          </cell>
        </row>
        <row r="89">
          <cell r="B89" t="str">
            <v>К</v>
          </cell>
          <cell r="C89">
            <v>3000005</v>
          </cell>
        </row>
        <row r="93">
          <cell r="A93" t="str">
            <v>Проводки у ОАО "Урал ТНП"</v>
          </cell>
        </row>
        <row r="99">
          <cell r="B99" t="str">
            <v>К</v>
          </cell>
          <cell r="C99">
            <v>3000001</v>
          </cell>
        </row>
        <row r="117">
          <cell r="A117" t="str">
            <v xml:space="preserve">7. Инфлирование консолидируемых инвестиций </v>
          </cell>
        </row>
        <row r="123">
          <cell r="B123">
            <v>0</v>
          </cell>
          <cell r="C123">
            <v>0</v>
          </cell>
        </row>
        <row r="124">
          <cell r="B124">
            <v>0</v>
          </cell>
          <cell r="C124">
            <v>0</v>
          </cell>
        </row>
        <row r="126">
          <cell r="B126" t="str">
            <v>Д</v>
          </cell>
          <cell r="C126">
            <v>3000004</v>
          </cell>
        </row>
        <row r="129">
          <cell r="B129">
            <v>0</v>
          </cell>
          <cell r="C129">
            <v>0</v>
          </cell>
        </row>
        <row r="132">
          <cell r="B132">
            <v>0</v>
          </cell>
          <cell r="C132">
            <v>0</v>
          </cell>
        </row>
        <row r="135">
          <cell r="B135">
            <v>0</v>
          </cell>
          <cell r="C135">
            <v>0</v>
          </cell>
        </row>
        <row r="138">
          <cell r="A138" t="str">
            <v xml:space="preserve">5. Инфлирование консолидируемых инвестиций </v>
          </cell>
        </row>
        <row r="144">
          <cell r="B144">
            <v>0</v>
          </cell>
          <cell r="C144">
            <v>0</v>
          </cell>
        </row>
        <row r="159">
          <cell r="A159" t="str">
            <v xml:space="preserve">5. Инфлирование консолидируемых инвестиций </v>
          </cell>
        </row>
        <row r="179">
          <cell r="A179">
            <v>0</v>
          </cell>
        </row>
        <row r="204">
          <cell r="A204" t="str">
            <v>Ровенский цех электросвязи</v>
          </cell>
        </row>
        <row r="231">
          <cell r="A231" t="str">
            <v>Сот-Транс</v>
          </cell>
        </row>
        <row r="251">
          <cell r="A251">
            <v>0</v>
          </cell>
        </row>
        <row r="271">
          <cell r="A271">
            <v>0</v>
          </cell>
        </row>
        <row r="291">
          <cell r="A291">
            <v>0</v>
          </cell>
        </row>
        <row r="310">
          <cell r="A310">
            <v>0</v>
          </cell>
        </row>
        <row r="331">
          <cell r="A331" t="str">
            <v xml:space="preserve">5. Инфлирование консолидируемых инвестиций </v>
          </cell>
        </row>
        <row r="351">
          <cell r="A351">
            <v>0</v>
          </cell>
        </row>
        <row r="370">
          <cell r="A37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red to Complete Form"/>
      <sheetName val="Carryover Effects"/>
      <sheetName val="Summary of Misstatements"/>
      <sheetName val="Other Conditions"/>
      <sheetName val="Qualitative Considerations"/>
      <sheetName val="Conclusions"/>
      <sheetName val="Tickmarks"/>
      <sheetName val="MetaData"/>
    </sheetNames>
    <sheetDataSet>
      <sheetData sheetId="0" refreshError="1"/>
      <sheetData sheetId="1" refreshError="1"/>
      <sheetData sheetId="2" refreshError="1">
        <row r="12">
          <cell r="D12">
            <v>0</v>
          </cell>
          <cell r="E12">
            <v>0</v>
          </cell>
          <cell r="G12">
            <v>0</v>
          </cell>
          <cell r="H12">
            <v>0</v>
          </cell>
          <cell r="J12">
            <v>0</v>
          </cell>
          <cell r="K12">
            <v>0</v>
          </cell>
          <cell r="L12">
            <v>0</v>
          </cell>
          <cell r="M12">
            <v>0</v>
          </cell>
        </row>
        <row r="35">
          <cell r="D35">
            <v>0</v>
          </cell>
          <cell r="E35">
            <v>0</v>
          </cell>
          <cell r="G35">
            <v>0</v>
          </cell>
          <cell r="H35">
            <v>0</v>
          </cell>
          <cell r="K35">
            <v>0</v>
          </cell>
          <cell r="L35">
            <v>0</v>
          </cell>
          <cell r="M35">
            <v>0</v>
          </cell>
        </row>
        <row r="44">
          <cell r="F44">
            <v>0</v>
          </cell>
          <cell r="H44">
            <v>0</v>
          </cell>
          <cell r="K44">
            <v>0</v>
          </cell>
          <cell r="M44">
            <v>0</v>
          </cell>
        </row>
        <row r="52">
          <cell r="F52">
            <v>0</v>
          </cell>
          <cell r="H52">
            <v>0</v>
          </cell>
          <cell r="K52">
            <v>0</v>
          </cell>
          <cell r="M52">
            <v>0</v>
          </cell>
        </row>
        <row r="53">
          <cell r="J53">
            <v>0</v>
          </cell>
        </row>
      </sheetData>
      <sheetData sheetId="3" refreshError="1"/>
      <sheetData sheetId="4" refreshError="1"/>
      <sheetData sheetId="5" refreshError="1"/>
      <sheetData sheetId="6" refreshError="1"/>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ors"/>
      <sheetName val="pg 3-4 "/>
      <sheetName val="Pg5"/>
      <sheetName val="pg 6"/>
      <sheetName val="pg 7-8 "/>
      <sheetName val="PG 9"/>
      <sheetName val="pg 10-18"/>
      <sheetName val="PG 19"/>
      <sheetName val="pg_3-4_"/>
      <sheetName val="pg_6"/>
      <sheetName val="pg_7-8_"/>
      <sheetName val="PG_9"/>
      <sheetName val="pg_10-18"/>
      <sheetName val="PG_19"/>
      <sheetName val="Sheet2"/>
      <sheetName val="BALANCEAUG03"/>
      <sheetName val="ess1"/>
      <sheetName val="Bud"/>
      <sheetName val="Sheet1"/>
      <sheetName val="BroFees"/>
      <sheetName val="data"/>
      <sheetName val="weekly capacity"/>
      <sheetName val="CASHFLOW"/>
      <sheetName val="TMLEASE01(1stversion)"/>
      <sheetName val="ETB"/>
      <sheetName val="pg_3-4_1"/>
      <sheetName val="pg_61"/>
      <sheetName val="pg_7-8_1"/>
      <sheetName val="PG_91"/>
      <sheetName val="pg_10-181"/>
      <sheetName val="PG_191"/>
      <sheetName val="weekly_capacity"/>
      <sheetName val="danmo"/>
      <sheetName val="CC_PROD"/>
      <sheetName val="Notes"/>
      <sheetName val="OH"/>
      <sheetName val="pg_3-4_2"/>
      <sheetName val="pg_62"/>
      <sheetName val="pg_7-8_2"/>
      <sheetName val="PG_92"/>
      <sheetName val="pg_10-182"/>
      <sheetName val="PG_192"/>
      <sheetName val="weekly_capacity1"/>
      <sheetName val="batc"/>
      <sheetName val="B100-  Property,plant &amp; equip."/>
      <sheetName val="Monthly P&amp;L"/>
      <sheetName val="TB-31.04.2011"/>
      <sheetName val="pg 2-6"/>
      <sheetName val="U-1 Fixed Assets"/>
      <sheetName val="Accs"/>
      <sheetName val="B100-__Property,plant_&amp;_equip_"/>
      <sheetName val="Monthly_P&amp;L"/>
      <sheetName val="TB-31_04_2011"/>
      <sheetName val="2.D.1 Trade &amp; Other Debtors"/>
      <sheetName val="pg_2-6"/>
      <sheetName val="U-1_Fixed_Assets"/>
      <sheetName val="pg_3-4_3"/>
      <sheetName val="pg_63"/>
      <sheetName val="pg_7-8_3"/>
      <sheetName val="PG_93"/>
      <sheetName val="pg_10-183"/>
      <sheetName val="PG_193"/>
      <sheetName val="weekly_capacity2"/>
      <sheetName val="B100-__Property,plant_&amp;_equip_1"/>
      <sheetName val="Monthly_P&amp;L1"/>
      <sheetName val="TB-31_04_20111"/>
      <sheetName val="pg_2-61"/>
      <sheetName val="U-1_Fixed_Assets1"/>
      <sheetName val="2_D_1_Trade_&amp;_Other_Debtors"/>
      <sheetName val="Pg 12-14, 16-21"/>
      <sheetName val="Workings"/>
      <sheetName val="Vatreturn"/>
      <sheetName val=""/>
      <sheetName val="weekly_capacity3"/>
      <sheetName val="B100-__Property,plant_&amp;_equip_2"/>
      <sheetName val="Monthly_P&amp;L2"/>
      <sheetName val="TB-31_04_20112"/>
      <sheetName val="pg_2-62"/>
      <sheetName val="Category options"/>
      <sheetName val="pg_3-4_4"/>
      <sheetName val="pg_64"/>
      <sheetName val="pg_7-8_4"/>
      <sheetName val="PG_94"/>
      <sheetName val="pg_10-184"/>
      <sheetName val="PG_194"/>
      <sheetName val="weekly_capacity4"/>
      <sheetName val="B100-__Property,plant_&amp;_equip_3"/>
      <sheetName val="Monthly_P&amp;L3"/>
      <sheetName val="TB-31_04_20113"/>
      <sheetName val="pg_2-63"/>
      <sheetName val="U-1_Fixed_Assets2"/>
      <sheetName val="2_D_1_Trade_&amp;_Other_Debtors1"/>
      <sheetName val="Pg_12-14,_16-21"/>
      <sheetName val="BS"/>
      <sheetName val="Eqn2"/>
      <sheetName val="1_Info requested"/>
      <sheetName val="COF"/>
      <sheetName val="Category_options"/>
      <sheetName val="pg_3-4_5"/>
      <sheetName val="pg_65"/>
      <sheetName val="pg_7-8_5"/>
      <sheetName val="PG_95"/>
      <sheetName val="pg_10-185"/>
      <sheetName val="PG_195"/>
      <sheetName val="weekly_capacity5"/>
      <sheetName val="pg_2-64"/>
      <sheetName val="B100-__Property,plant_&amp;_equip_4"/>
      <sheetName val="Monthly_P&amp;L4"/>
      <sheetName val="TB-31_04_20114"/>
      <sheetName val="U-1_Fixed_Assets3"/>
      <sheetName val="2_D_1_Trade_&amp;_Other_Debtors2"/>
      <sheetName val="Pg_12-14,_16-211"/>
      <sheetName val="Category_options1"/>
      <sheetName val="Comments"/>
      <sheetName val="PropValue Dec2014"/>
      <sheetName val="pg_3-4_6"/>
      <sheetName val="pg_66"/>
      <sheetName val="pg_7-8_6"/>
      <sheetName val="PG_96"/>
      <sheetName val="pg_10-186"/>
      <sheetName val="PG_196"/>
      <sheetName val="weekly_capacity6"/>
      <sheetName val="B100-__Property,plant_&amp;_equip_5"/>
      <sheetName val="Monthly_P&amp;L5"/>
      <sheetName val="TB-31_04_20115"/>
      <sheetName val="pg_2-65"/>
      <sheetName val="U-1_Fixed_Assets4"/>
      <sheetName val="2_D_1_Trade_&amp;_Other_Debtors3"/>
      <sheetName val="Pg_12-14,_16-212"/>
      <sheetName val="Category_options2"/>
      <sheetName val="1_Info_requested"/>
      <sheetName val="PropValue_Dec2014"/>
      <sheetName val="sheet6"/>
      <sheetName val="TANA"/>
      <sheetName val="pg 1"/>
      <sheetName val="IRR 1 (8)"/>
      <sheetName val="IRR 1 (9)"/>
      <sheetName val="IRR 1 (6)"/>
      <sheetName val="Dividend"/>
      <sheetName val="Reference"/>
      <sheetName val="OFF  QUO  29.12.06"/>
      <sheetName val="IRR_1_(8)1"/>
      <sheetName val="IRR_1_(9)1"/>
      <sheetName val="IRR_1_(6)1"/>
      <sheetName val="IRR_1_(8)"/>
      <sheetName val="IRR_1_(9)"/>
      <sheetName val="IRR_1_(6)"/>
      <sheetName val="IRR_1_(8)2"/>
      <sheetName val="IRR_1_(9)2"/>
      <sheetName val="IRR_1_(6)2"/>
      <sheetName val="pg_3-4_7"/>
      <sheetName val="pg_67"/>
      <sheetName val="pg_7-8_7"/>
      <sheetName val="PG_97"/>
      <sheetName val="pg_10-187"/>
      <sheetName val="PG_197"/>
      <sheetName val="weekly_capacity7"/>
      <sheetName val="pg_2-66"/>
      <sheetName val="B100-__Property,plant_&amp;_equip_6"/>
      <sheetName val="Monthly_P&amp;L6"/>
      <sheetName val="TB-31_04_20116"/>
      <sheetName val="U-1_Fixed_Assets5"/>
      <sheetName val="2_D_1_Trade_&amp;_Other_Debtors4"/>
      <sheetName val="Pg_12-14,_16-213"/>
      <sheetName val="Category_options3"/>
      <sheetName val="1_Info_requested1"/>
      <sheetName val="pg_1"/>
      <sheetName val="OFF__QUO__29_12_06"/>
      <sheetName val="pg_3-4_8"/>
      <sheetName val="pg_68"/>
      <sheetName val="pg_7-8_8"/>
      <sheetName val="PG_98"/>
      <sheetName val="pg_10-188"/>
      <sheetName val="PG_198"/>
      <sheetName val="weekly_capacity8"/>
      <sheetName val="B100-__Property,plant_&amp;_equip_7"/>
      <sheetName val="Monthly_P&amp;L7"/>
      <sheetName val="TB-31_04_20117"/>
      <sheetName val="pg_2-67"/>
      <sheetName val="U-1_Fixed_Assets6"/>
      <sheetName val="2_D_1_Trade_&amp;_Other_Debtors5"/>
      <sheetName val="Pg_12-14,_16-214"/>
      <sheetName val="Category_options4"/>
      <sheetName val="1_Info_requested2"/>
      <sheetName val="PropValue_Dec20141"/>
      <sheetName val="pg_11"/>
      <sheetName val="IRR_1_(8)3"/>
      <sheetName val="IRR_1_(9)3"/>
      <sheetName val="IRR_1_(6)3"/>
      <sheetName val="OFF__QUO__29_12_061"/>
      <sheetName val="PR Summary"/>
      <sheetName val="Consolidated Report"/>
      <sheetName val="Fuel Cons"/>
      <sheetName val="R&amp;M"/>
      <sheetName val="Blasting"/>
      <sheetName val="Electricity"/>
      <sheetName val="Kagem HEMM"/>
      <sheetName val="PR_Summary"/>
      <sheetName val="Consolidated_Report"/>
      <sheetName val="Fuel_Cons"/>
      <sheetName val="Kagem_HEMM"/>
      <sheetName val="HEMM"/>
      <sheetName val="Accounts"/>
      <sheetName val="pg_3-4_9"/>
      <sheetName val="pg_69"/>
      <sheetName val="pg_7-8_9"/>
      <sheetName val="PG_99"/>
      <sheetName val="pg_10-189"/>
      <sheetName val="PG_199"/>
      <sheetName val="weekly_capacity9"/>
      <sheetName val="B100-__Property,plant_&amp;_equip_8"/>
      <sheetName val="Monthly_P&amp;L8"/>
      <sheetName val="TB-31_04_20118"/>
      <sheetName val="pg_2-68"/>
      <sheetName val="U-1_Fixed_Assets7"/>
      <sheetName val="2_D_1_Trade_&amp;_Other_Debtors6"/>
      <sheetName val="Pg_12-14,_16-215"/>
      <sheetName val="Category_options5"/>
      <sheetName val="1_Info_requested3"/>
      <sheetName val="PropValue_Dec20142"/>
      <sheetName val="pg_12"/>
      <sheetName val="IRR_1_(8)4"/>
      <sheetName val="IRR_1_(9)4"/>
      <sheetName val="IRR_1_(6)4"/>
      <sheetName val="OFF__QUO__29_12_062"/>
      <sheetName val="Output09-12"/>
      <sheetName val="COST OF VESSEL"/>
      <sheetName val="B-1"/>
      <sheetName val="Data validation lists"/>
      <sheetName val="TB01"/>
      <sheetName val="Rates"/>
      <sheetName val="inv"/>
      <sheetName val="Translation"/>
      <sheetName val="Master"/>
      <sheetName val="MVeh0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ummary"/>
      <sheetName val="Balance Sheet"/>
      <sheetName val="Income Statement"/>
      <sheetName val="Ratios"/>
      <sheetName val="Graphs"/>
      <sheetName val="Graphs Data"/>
      <sheetName val="Other Analytical Procedures"/>
      <sheetName val="Tickmarks"/>
      <sheetName val="12 разд. все"/>
      <sheetName val="HideSheet"/>
      <sheetName val="CF"/>
      <sheetName val="Profit and loss"/>
      <sheetName val="Summary of Misstatements"/>
      <sheetName val="Проводки'02"/>
      <sheetName val="misc"/>
      <sheetName val="CMA Calculations- Figure 5440.1"/>
      <sheetName val="Bal Sheet"/>
      <sheetName val="Profit'n'loss st"/>
      <sheetName val="Inf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
      <sheetName val="4"/>
      <sheetName val="3"/>
      <sheetName val="2"/>
      <sheetName val="1"/>
      <sheetName val="Меню"/>
      <sheetName val="DATA"/>
      <sheetName val="RestrVB"/>
      <sheetName val="RestrSprint"/>
      <sheetName val="Sheet1"/>
      <sheetName val="Employee"/>
      <sheetName val="IS Budget - Services Cost"/>
    </sheetNames>
    <sheetDataSet>
      <sheetData sheetId="0" refreshError="1">
        <row r="19">
          <cell r="C19">
            <v>11101</v>
          </cell>
          <cell r="D19">
            <v>0</v>
          </cell>
          <cell r="E19">
            <v>0</v>
          </cell>
          <cell r="F19">
            <v>0</v>
          </cell>
        </row>
        <row r="20">
          <cell r="C20">
            <v>11102</v>
          </cell>
          <cell r="D20">
            <v>0</v>
          </cell>
          <cell r="E20">
            <v>0</v>
          </cell>
          <cell r="F20">
            <v>0</v>
          </cell>
        </row>
        <row r="21">
          <cell r="C21">
            <v>11103</v>
          </cell>
          <cell r="D21">
            <v>0</v>
          </cell>
          <cell r="E21">
            <v>0</v>
          </cell>
          <cell r="F21">
            <v>0</v>
          </cell>
        </row>
        <row r="22">
          <cell r="C22">
            <v>11104</v>
          </cell>
          <cell r="D22">
            <v>0</v>
          </cell>
          <cell r="E22">
            <v>0</v>
          </cell>
          <cell r="F22">
            <v>0</v>
          </cell>
        </row>
        <row r="23">
          <cell r="C23">
            <v>11105</v>
          </cell>
          <cell r="D23">
            <v>0</v>
          </cell>
          <cell r="E23">
            <v>0</v>
          </cell>
          <cell r="F23">
            <v>0</v>
          </cell>
        </row>
        <row r="24">
          <cell r="C24">
            <v>11106</v>
          </cell>
          <cell r="D24">
            <v>0</v>
          </cell>
          <cell r="E24">
            <v>0</v>
          </cell>
          <cell r="F24">
            <v>0</v>
          </cell>
        </row>
        <row r="25">
          <cell r="C25">
            <v>11107</v>
          </cell>
          <cell r="D25">
            <v>0</v>
          </cell>
          <cell r="E25">
            <v>0</v>
          </cell>
          <cell r="F25">
            <v>0</v>
          </cell>
        </row>
        <row r="26">
          <cell r="C26">
            <v>11108</v>
          </cell>
          <cell r="D26">
            <v>0</v>
          </cell>
          <cell r="E26">
            <v>0</v>
          </cell>
          <cell r="F26">
            <v>0</v>
          </cell>
        </row>
        <row r="27">
          <cell r="C27">
            <v>11109</v>
          </cell>
          <cell r="D27">
            <v>0</v>
          </cell>
          <cell r="E27">
            <v>0</v>
          </cell>
          <cell r="F27">
            <v>0</v>
          </cell>
        </row>
        <row r="28">
          <cell r="C28">
            <v>11110</v>
          </cell>
          <cell r="D28">
            <v>0</v>
          </cell>
          <cell r="E28">
            <v>0</v>
          </cell>
          <cell r="F28">
            <v>0</v>
          </cell>
        </row>
        <row r="29">
          <cell r="C29">
            <v>11111</v>
          </cell>
          <cell r="D29">
            <v>0</v>
          </cell>
          <cell r="E29">
            <v>0</v>
          </cell>
          <cell r="F29">
            <v>0</v>
          </cell>
        </row>
        <row r="30">
          <cell r="C30">
            <v>11112</v>
          </cell>
          <cell r="D30">
            <v>840</v>
          </cell>
          <cell r="E30">
            <v>22453</v>
          </cell>
          <cell r="F30">
            <v>23293</v>
          </cell>
        </row>
        <row r="31">
          <cell r="C31">
            <v>11113</v>
          </cell>
          <cell r="D31">
            <v>0</v>
          </cell>
          <cell r="E31">
            <v>0</v>
          </cell>
          <cell r="F31">
            <v>0</v>
          </cell>
        </row>
        <row r="32">
          <cell r="C32">
            <v>11114</v>
          </cell>
          <cell r="D32">
            <v>149</v>
          </cell>
          <cell r="E32">
            <v>0</v>
          </cell>
          <cell r="F32">
            <v>149</v>
          </cell>
        </row>
        <row r="33">
          <cell r="C33">
            <v>11115</v>
          </cell>
          <cell r="D33">
            <v>0</v>
          </cell>
          <cell r="E33">
            <v>62</v>
          </cell>
          <cell r="F33">
            <v>62</v>
          </cell>
        </row>
        <row r="34">
          <cell r="C34">
            <v>11116</v>
          </cell>
          <cell r="D34">
            <v>0</v>
          </cell>
          <cell r="E34">
            <v>0</v>
          </cell>
          <cell r="F34">
            <v>0</v>
          </cell>
        </row>
        <row r="35">
          <cell r="C35">
            <v>11117</v>
          </cell>
          <cell r="D35">
            <v>0</v>
          </cell>
          <cell r="E35">
            <v>0</v>
          </cell>
          <cell r="F35">
            <v>0</v>
          </cell>
        </row>
        <row r="36">
          <cell r="C36">
            <v>11118</v>
          </cell>
          <cell r="D36">
            <v>0</v>
          </cell>
          <cell r="E36">
            <v>0</v>
          </cell>
          <cell r="F36">
            <v>0</v>
          </cell>
        </row>
        <row r="37">
          <cell r="C37">
            <v>11119</v>
          </cell>
          <cell r="D37">
            <v>0</v>
          </cell>
          <cell r="E37">
            <v>0</v>
          </cell>
          <cell r="F37">
            <v>0</v>
          </cell>
        </row>
        <row r="38">
          <cell r="D38">
            <v>989</v>
          </cell>
          <cell r="E38">
            <v>22515</v>
          </cell>
          <cell r="F38">
            <v>23504</v>
          </cell>
        </row>
        <row r="40">
          <cell r="C40">
            <v>11201</v>
          </cell>
          <cell r="D40">
            <v>0</v>
          </cell>
          <cell r="E40">
            <v>0</v>
          </cell>
          <cell r="F40">
            <v>0</v>
          </cell>
        </row>
        <row r="41">
          <cell r="C41">
            <v>11202</v>
          </cell>
          <cell r="D41">
            <v>0</v>
          </cell>
          <cell r="E41">
            <v>0</v>
          </cell>
          <cell r="F41">
            <v>0</v>
          </cell>
        </row>
        <row r="42">
          <cell r="C42">
            <v>11203</v>
          </cell>
          <cell r="D42">
            <v>0</v>
          </cell>
          <cell r="E42">
            <v>0</v>
          </cell>
          <cell r="F42">
            <v>0</v>
          </cell>
        </row>
        <row r="43">
          <cell r="C43">
            <v>11204</v>
          </cell>
          <cell r="D43">
            <v>0</v>
          </cell>
          <cell r="E43">
            <v>0</v>
          </cell>
          <cell r="F43">
            <v>0</v>
          </cell>
        </row>
        <row r="44">
          <cell r="C44">
            <v>11205</v>
          </cell>
          <cell r="D44">
            <v>0</v>
          </cell>
          <cell r="E44">
            <v>0</v>
          </cell>
          <cell r="F44">
            <v>0</v>
          </cell>
        </row>
        <row r="45">
          <cell r="C45">
            <v>11206</v>
          </cell>
          <cell r="D45">
            <v>0</v>
          </cell>
          <cell r="E45">
            <v>0</v>
          </cell>
          <cell r="F45">
            <v>0</v>
          </cell>
        </row>
        <row r="46">
          <cell r="C46">
            <v>11207</v>
          </cell>
          <cell r="D46">
            <v>0</v>
          </cell>
          <cell r="E46">
            <v>0</v>
          </cell>
          <cell r="F46">
            <v>0</v>
          </cell>
        </row>
        <row r="47">
          <cell r="C47">
            <v>11208</v>
          </cell>
          <cell r="D47">
            <v>0</v>
          </cell>
          <cell r="E47">
            <v>0</v>
          </cell>
          <cell r="F47">
            <v>0</v>
          </cell>
        </row>
        <row r="48">
          <cell r="C48">
            <v>11209</v>
          </cell>
          <cell r="D48">
            <v>0</v>
          </cell>
          <cell r="E48">
            <v>0</v>
          </cell>
          <cell r="F48">
            <v>0</v>
          </cell>
        </row>
        <row r="49">
          <cell r="C49">
            <v>11210</v>
          </cell>
          <cell r="D49">
            <v>0</v>
          </cell>
          <cell r="E49">
            <v>0</v>
          </cell>
          <cell r="F49">
            <v>0</v>
          </cell>
        </row>
        <row r="50">
          <cell r="C50">
            <v>11211</v>
          </cell>
          <cell r="D50">
            <v>0</v>
          </cell>
          <cell r="E50">
            <v>0</v>
          </cell>
          <cell r="F50">
            <v>0</v>
          </cell>
        </row>
        <row r="51">
          <cell r="C51">
            <v>11212</v>
          </cell>
          <cell r="D51">
            <v>0</v>
          </cell>
          <cell r="E51">
            <v>325</v>
          </cell>
          <cell r="F51">
            <v>325</v>
          </cell>
        </row>
        <row r="52">
          <cell r="C52">
            <v>11213</v>
          </cell>
          <cell r="D52">
            <v>0</v>
          </cell>
          <cell r="E52">
            <v>0</v>
          </cell>
          <cell r="F52">
            <v>0</v>
          </cell>
        </row>
        <row r="53">
          <cell r="C53">
            <v>11214</v>
          </cell>
          <cell r="D53">
            <v>48</v>
          </cell>
          <cell r="E53">
            <v>0</v>
          </cell>
          <cell r="F53">
            <v>48</v>
          </cell>
        </row>
        <row r="54">
          <cell r="C54">
            <v>11215</v>
          </cell>
          <cell r="D54">
            <v>0</v>
          </cell>
          <cell r="E54">
            <v>0</v>
          </cell>
          <cell r="F54">
            <v>0</v>
          </cell>
        </row>
        <row r="55">
          <cell r="C55">
            <v>11216</v>
          </cell>
          <cell r="D55">
            <v>0</v>
          </cell>
          <cell r="E55">
            <v>0</v>
          </cell>
          <cell r="F55">
            <v>0</v>
          </cell>
        </row>
        <row r="56">
          <cell r="C56">
            <v>11217</v>
          </cell>
          <cell r="D56">
            <v>0</v>
          </cell>
          <cell r="E56">
            <v>0</v>
          </cell>
          <cell r="F56">
            <v>0</v>
          </cell>
        </row>
        <row r="57">
          <cell r="C57">
            <v>11218</v>
          </cell>
          <cell r="D57">
            <v>0</v>
          </cell>
          <cell r="E57">
            <v>0</v>
          </cell>
          <cell r="F57">
            <v>0</v>
          </cell>
        </row>
        <row r="58">
          <cell r="C58">
            <v>11219</v>
          </cell>
          <cell r="D58">
            <v>0</v>
          </cell>
          <cell r="E58">
            <v>0</v>
          </cell>
          <cell r="F58">
            <v>0</v>
          </cell>
        </row>
        <row r="59">
          <cell r="D59">
            <v>48</v>
          </cell>
          <cell r="E59">
            <v>325</v>
          </cell>
          <cell r="F59">
            <v>373</v>
          </cell>
        </row>
        <row r="62">
          <cell r="C62">
            <v>11301</v>
          </cell>
          <cell r="D62">
            <v>0</v>
          </cell>
          <cell r="E62">
            <v>0</v>
          </cell>
          <cell r="F62">
            <v>0</v>
          </cell>
        </row>
        <row r="63">
          <cell r="C63">
            <v>11302</v>
          </cell>
          <cell r="D63">
            <v>0</v>
          </cell>
          <cell r="E63">
            <v>0</v>
          </cell>
          <cell r="F63">
            <v>0</v>
          </cell>
        </row>
        <row r="64">
          <cell r="C64">
            <v>11303</v>
          </cell>
          <cell r="D64">
            <v>0</v>
          </cell>
          <cell r="E64">
            <v>0</v>
          </cell>
          <cell r="F64">
            <v>0</v>
          </cell>
        </row>
        <row r="65">
          <cell r="C65">
            <v>11304</v>
          </cell>
          <cell r="D65">
            <v>0</v>
          </cell>
          <cell r="E65">
            <v>0</v>
          </cell>
          <cell r="F65">
            <v>0</v>
          </cell>
        </row>
        <row r="66">
          <cell r="C66">
            <v>11305</v>
          </cell>
          <cell r="D66">
            <v>0</v>
          </cell>
          <cell r="E66">
            <v>0</v>
          </cell>
          <cell r="F66">
            <v>0</v>
          </cell>
        </row>
        <row r="67">
          <cell r="C67">
            <v>11306</v>
          </cell>
          <cell r="D67">
            <v>0</v>
          </cell>
          <cell r="E67">
            <v>0</v>
          </cell>
          <cell r="F67">
            <v>0</v>
          </cell>
        </row>
        <row r="68">
          <cell r="C68">
            <v>11307</v>
          </cell>
          <cell r="D68">
            <v>0</v>
          </cell>
          <cell r="E68">
            <v>0</v>
          </cell>
          <cell r="F68">
            <v>0</v>
          </cell>
        </row>
        <row r="69">
          <cell r="C69">
            <v>11308</v>
          </cell>
          <cell r="D69">
            <v>0</v>
          </cell>
          <cell r="E69">
            <v>0</v>
          </cell>
          <cell r="F69">
            <v>0</v>
          </cell>
        </row>
        <row r="70">
          <cell r="C70">
            <v>11309</v>
          </cell>
          <cell r="D70">
            <v>0</v>
          </cell>
          <cell r="E70">
            <v>0</v>
          </cell>
          <cell r="F70">
            <v>0</v>
          </cell>
        </row>
        <row r="71">
          <cell r="C71">
            <v>11310</v>
          </cell>
          <cell r="D71">
            <v>0</v>
          </cell>
          <cell r="E71">
            <v>0</v>
          </cell>
          <cell r="F71">
            <v>0</v>
          </cell>
        </row>
        <row r="72">
          <cell r="C72">
            <v>11311</v>
          </cell>
          <cell r="D72">
            <v>0</v>
          </cell>
          <cell r="E72">
            <v>0</v>
          </cell>
          <cell r="F72">
            <v>0</v>
          </cell>
        </row>
        <row r="73">
          <cell r="C73">
            <v>11312</v>
          </cell>
          <cell r="D73">
            <v>0</v>
          </cell>
          <cell r="E73">
            <v>543</v>
          </cell>
          <cell r="F73">
            <v>543</v>
          </cell>
        </row>
        <row r="74">
          <cell r="C74">
            <v>11313</v>
          </cell>
          <cell r="D74">
            <v>0</v>
          </cell>
          <cell r="E74">
            <v>0</v>
          </cell>
          <cell r="F74">
            <v>0</v>
          </cell>
        </row>
        <row r="75">
          <cell r="C75">
            <v>11314</v>
          </cell>
          <cell r="D75">
            <v>0</v>
          </cell>
          <cell r="E75">
            <v>0</v>
          </cell>
          <cell r="F75">
            <v>0</v>
          </cell>
        </row>
        <row r="76">
          <cell r="C76">
            <v>11315</v>
          </cell>
          <cell r="D76">
            <v>0</v>
          </cell>
          <cell r="E76">
            <v>0</v>
          </cell>
          <cell r="F76">
            <v>0</v>
          </cell>
        </row>
        <row r="77">
          <cell r="C77">
            <v>11316</v>
          </cell>
          <cell r="D77">
            <v>0</v>
          </cell>
          <cell r="E77">
            <v>0</v>
          </cell>
          <cell r="F77">
            <v>0</v>
          </cell>
        </row>
        <row r="78">
          <cell r="C78">
            <v>11317</v>
          </cell>
          <cell r="D78">
            <v>0</v>
          </cell>
          <cell r="E78">
            <v>0</v>
          </cell>
          <cell r="F78">
            <v>0</v>
          </cell>
        </row>
        <row r="79">
          <cell r="C79">
            <v>11318</v>
          </cell>
          <cell r="D79">
            <v>0</v>
          </cell>
          <cell r="E79">
            <v>0</v>
          </cell>
          <cell r="F79">
            <v>0</v>
          </cell>
        </row>
        <row r="80">
          <cell r="C80">
            <v>11319</v>
          </cell>
          <cell r="D80">
            <v>0</v>
          </cell>
          <cell r="E80">
            <v>0</v>
          </cell>
          <cell r="F80">
            <v>0</v>
          </cell>
        </row>
        <row r="81">
          <cell r="D81">
            <v>0</v>
          </cell>
          <cell r="E81">
            <v>543</v>
          </cell>
          <cell r="F81">
            <v>543</v>
          </cell>
        </row>
        <row r="84">
          <cell r="C84">
            <v>11401</v>
          </cell>
          <cell r="D84">
            <v>0</v>
          </cell>
          <cell r="E84">
            <v>0</v>
          </cell>
          <cell r="F84">
            <v>0</v>
          </cell>
        </row>
        <row r="85">
          <cell r="C85">
            <v>11402</v>
          </cell>
          <cell r="D85">
            <v>0</v>
          </cell>
          <cell r="E85">
            <v>0</v>
          </cell>
          <cell r="F85">
            <v>0</v>
          </cell>
        </row>
        <row r="86">
          <cell r="C86">
            <v>11403</v>
          </cell>
          <cell r="D86">
            <v>0</v>
          </cell>
          <cell r="E86">
            <v>0</v>
          </cell>
          <cell r="F86">
            <v>0</v>
          </cell>
        </row>
        <row r="87">
          <cell r="C87">
            <v>11404</v>
          </cell>
          <cell r="D87">
            <v>0</v>
          </cell>
          <cell r="E87">
            <v>0</v>
          </cell>
          <cell r="F87">
            <v>0</v>
          </cell>
        </row>
        <row r="88">
          <cell r="C88">
            <v>11405</v>
          </cell>
          <cell r="D88">
            <v>0</v>
          </cell>
          <cell r="E88">
            <v>0</v>
          </cell>
          <cell r="F88">
            <v>0</v>
          </cell>
        </row>
        <row r="89">
          <cell r="C89">
            <v>11406</v>
          </cell>
          <cell r="D89">
            <v>0</v>
          </cell>
          <cell r="E89">
            <v>0</v>
          </cell>
          <cell r="F89">
            <v>0</v>
          </cell>
        </row>
        <row r="90">
          <cell r="C90">
            <v>11407</v>
          </cell>
          <cell r="D90">
            <v>0</v>
          </cell>
          <cell r="E90">
            <v>0</v>
          </cell>
          <cell r="F90">
            <v>0</v>
          </cell>
        </row>
        <row r="91">
          <cell r="C91">
            <v>11408</v>
          </cell>
          <cell r="D91">
            <v>0</v>
          </cell>
          <cell r="E91">
            <v>0</v>
          </cell>
          <cell r="F91">
            <v>0</v>
          </cell>
        </row>
        <row r="92">
          <cell r="C92">
            <v>11409</v>
          </cell>
          <cell r="D92">
            <v>0</v>
          </cell>
          <cell r="E92">
            <v>0</v>
          </cell>
          <cell r="F92">
            <v>0</v>
          </cell>
        </row>
        <row r="93">
          <cell r="C93">
            <v>11410</v>
          </cell>
          <cell r="D93">
            <v>0</v>
          </cell>
          <cell r="E93">
            <v>0</v>
          </cell>
          <cell r="F93">
            <v>0</v>
          </cell>
        </row>
        <row r="94">
          <cell r="C94">
            <v>11411</v>
          </cell>
          <cell r="D94">
            <v>0</v>
          </cell>
          <cell r="E94">
            <v>0</v>
          </cell>
          <cell r="F94">
            <v>0</v>
          </cell>
        </row>
        <row r="95">
          <cell r="C95">
            <v>11412</v>
          </cell>
          <cell r="D95">
            <v>0</v>
          </cell>
          <cell r="E95">
            <v>0</v>
          </cell>
          <cell r="F95">
            <v>0</v>
          </cell>
        </row>
        <row r="96">
          <cell r="C96">
            <v>11413</v>
          </cell>
          <cell r="D96">
            <v>0</v>
          </cell>
          <cell r="E96">
            <v>0</v>
          </cell>
          <cell r="F96">
            <v>0</v>
          </cell>
        </row>
        <row r="97">
          <cell r="C97">
            <v>11414</v>
          </cell>
          <cell r="D97">
            <v>0</v>
          </cell>
          <cell r="E97">
            <v>0</v>
          </cell>
          <cell r="F97">
            <v>0</v>
          </cell>
        </row>
        <row r="98">
          <cell r="C98">
            <v>11415</v>
          </cell>
          <cell r="D98">
            <v>0</v>
          </cell>
          <cell r="E98">
            <v>0</v>
          </cell>
          <cell r="F98">
            <v>0</v>
          </cell>
        </row>
        <row r="99">
          <cell r="C99">
            <v>11416</v>
          </cell>
          <cell r="D99">
            <v>0</v>
          </cell>
          <cell r="E99">
            <v>0</v>
          </cell>
          <cell r="F99">
            <v>0</v>
          </cell>
        </row>
        <row r="100">
          <cell r="D100">
            <v>0</v>
          </cell>
          <cell r="E100">
            <v>0</v>
          </cell>
          <cell r="F100">
            <v>0</v>
          </cell>
        </row>
        <row r="103">
          <cell r="C103">
            <v>11501</v>
          </cell>
          <cell r="D103">
            <v>0</v>
          </cell>
          <cell r="E103">
            <v>0</v>
          </cell>
          <cell r="F103">
            <v>0</v>
          </cell>
        </row>
        <row r="104">
          <cell r="C104">
            <v>11502</v>
          </cell>
          <cell r="D104">
            <v>0</v>
          </cell>
          <cell r="E104">
            <v>0</v>
          </cell>
          <cell r="F104">
            <v>0</v>
          </cell>
        </row>
        <row r="105">
          <cell r="C105">
            <v>11503</v>
          </cell>
          <cell r="D105">
            <v>0</v>
          </cell>
          <cell r="E105">
            <v>0</v>
          </cell>
          <cell r="F105">
            <v>0</v>
          </cell>
        </row>
        <row r="106">
          <cell r="D106">
            <v>0</v>
          </cell>
          <cell r="E106">
            <v>0</v>
          </cell>
          <cell r="F106">
            <v>0</v>
          </cell>
        </row>
        <row r="107">
          <cell r="F107">
            <v>0</v>
          </cell>
        </row>
        <row r="109">
          <cell r="C109">
            <v>11601</v>
          </cell>
          <cell r="D109">
            <v>0</v>
          </cell>
          <cell r="E109">
            <v>0</v>
          </cell>
          <cell r="F109">
            <v>0</v>
          </cell>
        </row>
        <row r="110">
          <cell r="C110">
            <v>11602</v>
          </cell>
          <cell r="D110">
            <v>0</v>
          </cell>
          <cell r="E110">
            <v>0</v>
          </cell>
          <cell r="F110">
            <v>0</v>
          </cell>
        </row>
        <row r="111">
          <cell r="C111">
            <v>11603</v>
          </cell>
          <cell r="D111">
            <v>0</v>
          </cell>
          <cell r="E111">
            <v>0</v>
          </cell>
          <cell r="F111">
            <v>0</v>
          </cell>
        </row>
        <row r="112">
          <cell r="D112">
            <v>0</v>
          </cell>
          <cell r="E112">
            <v>0</v>
          </cell>
          <cell r="F112">
            <v>0</v>
          </cell>
        </row>
        <row r="113">
          <cell r="C113">
            <v>0</v>
          </cell>
          <cell r="D113">
            <v>1037</v>
          </cell>
          <cell r="E113">
            <v>23383</v>
          </cell>
          <cell r="F113">
            <v>24420</v>
          </cell>
        </row>
        <row r="117">
          <cell r="C117">
            <v>12101</v>
          </cell>
          <cell r="D117">
            <v>0</v>
          </cell>
          <cell r="E117">
            <v>0</v>
          </cell>
          <cell r="F117">
            <v>0</v>
          </cell>
        </row>
        <row r="118">
          <cell r="C118">
            <v>12102</v>
          </cell>
          <cell r="D118">
            <v>0</v>
          </cell>
          <cell r="E118">
            <v>0</v>
          </cell>
          <cell r="F118">
            <v>0</v>
          </cell>
        </row>
        <row r="119">
          <cell r="C119">
            <v>12103</v>
          </cell>
          <cell r="D119">
            <v>0</v>
          </cell>
          <cell r="E119">
            <v>0</v>
          </cell>
          <cell r="F119">
            <v>0</v>
          </cell>
        </row>
        <row r="120">
          <cell r="C120">
            <v>12104</v>
          </cell>
          <cell r="D120">
            <v>0</v>
          </cell>
          <cell r="E120">
            <v>0</v>
          </cell>
          <cell r="F120">
            <v>0</v>
          </cell>
        </row>
        <row r="121">
          <cell r="C121">
            <v>12105</v>
          </cell>
          <cell r="D121">
            <v>0</v>
          </cell>
          <cell r="E121">
            <v>0</v>
          </cell>
          <cell r="F121">
            <v>0</v>
          </cell>
        </row>
        <row r="122">
          <cell r="C122">
            <v>12106</v>
          </cell>
          <cell r="D122">
            <v>0</v>
          </cell>
          <cell r="E122">
            <v>0</v>
          </cell>
          <cell r="F122">
            <v>0</v>
          </cell>
        </row>
        <row r="123">
          <cell r="C123">
            <v>12107</v>
          </cell>
          <cell r="D123">
            <v>0</v>
          </cell>
          <cell r="E123">
            <v>0</v>
          </cell>
          <cell r="F123">
            <v>0</v>
          </cell>
        </row>
        <row r="125">
          <cell r="D125">
            <v>0</v>
          </cell>
          <cell r="E125">
            <v>0</v>
          </cell>
          <cell r="F125">
            <v>0</v>
          </cell>
        </row>
        <row r="128">
          <cell r="C128">
            <v>12201</v>
          </cell>
          <cell r="D128">
            <v>0</v>
          </cell>
          <cell r="E128">
            <v>0</v>
          </cell>
          <cell r="F128">
            <v>0</v>
          </cell>
        </row>
        <row r="129">
          <cell r="C129">
            <v>12202</v>
          </cell>
          <cell r="D129">
            <v>0</v>
          </cell>
          <cell r="E129">
            <v>0</v>
          </cell>
          <cell r="F129">
            <v>0</v>
          </cell>
        </row>
        <row r="130">
          <cell r="C130">
            <v>12203</v>
          </cell>
          <cell r="D130">
            <v>0</v>
          </cell>
          <cell r="E130">
            <v>0</v>
          </cell>
          <cell r="F130">
            <v>0</v>
          </cell>
        </row>
        <row r="131">
          <cell r="C131">
            <v>12204</v>
          </cell>
          <cell r="D131">
            <v>0</v>
          </cell>
          <cell r="E131">
            <v>0</v>
          </cell>
          <cell r="F131">
            <v>0</v>
          </cell>
        </row>
        <row r="132">
          <cell r="C132">
            <v>12205</v>
          </cell>
          <cell r="D132">
            <v>0</v>
          </cell>
          <cell r="E132">
            <v>0</v>
          </cell>
          <cell r="F132">
            <v>0</v>
          </cell>
        </row>
        <row r="133">
          <cell r="C133">
            <v>12206</v>
          </cell>
          <cell r="D133">
            <v>0</v>
          </cell>
          <cell r="E133">
            <v>0</v>
          </cell>
          <cell r="F133">
            <v>0</v>
          </cell>
        </row>
        <row r="134">
          <cell r="C134">
            <v>12207</v>
          </cell>
          <cell r="D134">
            <v>0</v>
          </cell>
          <cell r="E134">
            <v>0</v>
          </cell>
          <cell r="F134">
            <v>0</v>
          </cell>
        </row>
        <row r="135">
          <cell r="C135">
            <v>12208</v>
          </cell>
          <cell r="D135">
            <v>0</v>
          </cell>
          <cell r="E135">
            <v>0</v>
          </cell>
          <cell r="F135">
            <v>0</v>
          </cell>
        </row>
        <row r="136">
          <cell r="D136">
            <v>0</v>
          </cell>
          <cell r="E136">
            <v>0</v>
          </cell>
          <cell r="F136">
            <v>0</v>
          </cell>
        </row>
        <row r="139">
          <cell r="C139">
            <v>12301</v>
          </cell>
          <cell r="D139">
            <v>0</v>
          </cell>
          <cell r="E139">
            <v>0</v>
          </cell>
          <cell r="F139">
            <v>0</v>
          </cell>
        </row>
        <row r="140">
          <cell r="C140">
            <v>12302</v>
          </cell>
          <cell r="D140">
            <v>0</v>
          </cell>
          <cell r="E140">
            <v>0</v>
          </cell>
          <cell r="F140">
            <v>0</v>
          </cell>
        </row>
        <row r="141">
          <cell r="C141">
            <v>12303</v>
          </cell>
          <cell r="D141">
            <v>0</v>
          </cell>
          <cell r="E141">
            <v>0</v>
          </cell>
          <cell r="F141">
            <v>0</v>
          </cell>
        </row>
        <row r="142">
          <cell r="C142">
            <v>12304</v>
          </cell>
          <cell r="D142">
            <v>0</v>
          </cell>
          <cell r="E142">
            <v>0</v>
          </cell>
          <cell r="F142">
            <v>0</v>
          </cell>
        </row>
        <row r="143">
          <cell r="C143">
            <v>12305</v>
          </cell>
          <cell r="D143">
            <v>0</v>
          </cell>
          <cell r="E143">
            <v>0</v>
          </cell>
          <cell r="F143">
            <v>0</v>
          </cell>
        </row>
        <row r="144">
          <cell r="C144">
            <v>12306</v>
          </cell>
          <cell r="D144">
            <v>0</v>
          </cell>
          <cell r="E144">
            <v>0</v>
          </cell>
          <cell r="F144">
            <v>0</v>
          </cell>
        </row>
        <row r="145">
          <cell r="C145">
            <v>12307</v>
          </cell>
          <cell r="D145">
            <v>0</v>
          </cell>
          <cell r="E145">
            <v>0</v>
          </cell>
          <cell r="F145">
            <v>0</v>
          </cell>
        </row>
        <row r="146">
          <cell r="C146">
            <v>12308</v>
          </cell>
          <cell r="D146">
            <v>0</v>
          </cell>
          <cell r="E146">
            <v>0</v>
          </cell>
          <cell r="F146">
            <v>0</v>
          </cell>
        </row>
        <row r="147">
          <cell r="D147">
            <v>0</v>
          </cell>
          <cell r="E147">
            <v>0</v>
          </cell>
          <cell r="F147">
            <v>0</v>
          </cell>
        </row>
        <row r="150">
          <cell r="C150">
            <v>12401</v>
          </cell>
          <cell r="D150">
            <v>0</v>
          </cell>
          <cell r="E150">
            <v>0</v>
          </cell>
          <cell r="F150">
            <v>0</v>
          </cell>
        </row>
        <row r="151">
          <cell r="C151">
            <v>12402</v>
          </cell>
          <cell r="D151">
            <v>0</v>
          </cell>
          <cell r="E151">
            <v>0</v>
          </cell>
          <cell r="F151">
            <v>0</v>
          </cell>
        </row>
        <row r="152">
          <cell r="C152">
            <v>12403</v>
          </cell>
          <cell r="D152">
            <v>0</v>
          </cell>
          <cell r="E152">
            <v>0</v>
          </cell>
          <cell r="F152">
            <v>0</v>
          </cell>
        </row>
        <row r="153">
          <cell r="C153">
            <v>12404</v>
          </cell>
          <cell r="D153">
            <v>0</v>
          </cell>
          <cell r="E153">
            <v>0</v>
          </cell>
          <cell r="F153">
            <v>0</v>
          </cell>
        </row>
        <row r="154">
          <cell r="C154">
            <v>12405</v>
          </cell>
          <cell r="D154">
            <v>0</v>
          </cell>
          <cell r="E154">
            <v>0</v>
          </cell>
          <cell r="F154">
            <v>0</v>
          </cell>
        </row>
        <row r="155">
          <cell r="C155">
            <v>12406</v>
          </cell>
          <cell r="D155">
            <v>0</v>
          </cell>
          <cell r="E155">
            <v>0</v>
          </cell>
          <cell r="F155">
            <v>0</v>
          </cell>
        </row>
        <row r="156">
          <cell r="C156">
            <v>12407</v>
          </cell>
          <cell r="D156">
            <v>0</v>
          </cell>
          <cell r="E156">
            <v>0</v>
          </cell>
          <cell r="F156">
            <v>0</v>
          </cell>
        </row>
        <row r="157">
          <cell r="D157">
            <v>0</v>
          </cell>
          <cell r="E157">
            <v>0</v>
          </cell>
          <cell r="F157">
            <v>0</v>
          </cell>
        </row>
        <row r="160">
          <cell r="C160">
            <v>12501</v>
          </cell>
          <cell r="D160">
            <v>0</v>
          </cell>
          <cell r="E160">
            <v>0</v>
          </cell>
          <cell r="F160">
            <v>0</v>
          </cell>
        </row>
        <row r="161">
          <cell r="C161">
            <v>12502</v>
          </cell>
          <cell r="D161">
            <v>0</v>
          </cell>
          <cell r="E161">
            <v>0</v>
          </cell>
          <cell r="F161">
            <v>0</v>
          </cell>
        </row>
        <row r="162">
          <cell r="C162">
            <v>12503</v>
          </cell>
          <cell r="D162">
            <v>0</v>
          </cell>
          <cell r="E162">
            <v>0</v>
          </cell>
          <cell r="F162">
            <v>0</v>
          </cell>
        </row>
        <row r="163">
          <cell r="C163">
            <v>12504</v>
          </cell>
          <cell r="D163">
            <v>0</v>
          </cell>
          <cell r="E163">
            <v>0</v>
          </cell>
          <cell r="F163">
            <v>0</v>
          </cell>
        </row>
        <row r="164">
          <cell r="D164">
            <v>0</v>
          </cell>
          <cell r="E164">
            <v>0</v>
          </cell>
          <cell r="F164">
            <v>0</v>
          </cell>
        </row>
        <row r="167">
          <cell r="C167">
            <v>12601</v>
          </cell>
          <cell r="D167">
            <v>0</v>
          </cell>
          <cell r="E167">
            <v>0</v>
          </cell>
          <cell r="F167">
            <v>0</v>
          </cell>
        </row>
        <row r="168">
          <cell r="C168">
            <v>12605</v>
          </cell>
          <cell r="D168">
            <v>0</v>
          </cell>
          <cell r="E168">
            <v>0</v>
          </cell>
          <cell r="F168">
            <v>0</v>
          </cell>
        </row>
        <row r="169">
          <cell r="C169">
            <v>12606</v>
          </cell>
          <cell r="D169">
            <v>0</v>
          </cell>
          <cell r="E169">
            <v>0</v>
          </cell>
          <cell r="F169">
            <v>0</v>
          </cell>
        </row>
        <row r="170">
          <cell r="D170">
            <v>0</v>
          </cell>
          <cell r="E170">
            <v>0</v>
          </cell>
          <cell r="F170">
            <v>0</v>
          </cell>
        </row>
        <row r="171">
          <cell r="C171">
            <v>0</v>
          </cell>
          <cell r="D171">
            <v>0</v>
          </cell>
          <cell r="E171">
            <v>0</v>
          </cell>
          <cell r="F171">
            <v>0</v>
          </cell>
        </row>
        <row r="176">
          <cell r="C176">
            <v>13101</v>
          </cell>
          <cell r="D176">
            <v>3368</v>
          </cell>
          <cell r="E176">
            <v>26</v>
          </cell>
          <cell r="F176">
            <v>3394</v>
          </cell>
        </row>
        <row r="177">
          <cell r="D177">
            <v>3368</v>
          </cell>
          <cell r="E177">
            <v>26</v>
          </cell>
          <cell r="F177">
            <v>3394</v>
          </cell>
        </row>
        <row r="178">
          <cell r="F178">
            <v>0</v>
          </cell>
        </row>
        <row r="180">
          <cell r="C180">
            <v>13201</v>
          </cell>
          <cell r="D180">
            <v>42666</v>
          </cell>
          <cell r="E180">
            <v>0</v>
          </cell>
          <cell r="F180">
            <v>42666</v>
          </cell>
        </row>
        <row r="181">
          <cell r="C181">
            <v>0</v>
          </cell>
          <cell r="D181">
            <v>46034</v>
          </cell>
          <cell r="E181">
            <v>26</v>
          </cell>
          <cell r="F181">
            <v>46060</v>
          </cell>
        </row>
        <row r="185">
          <cell r="C185">
            <v>14101</v>
          </cell>
          <cell r="D185">
            <v>0</v>
          </cell>
          <cell r="E185">
            <v>0</v>
          </cell>
          <cell r="F185">
            <v>0</v>
          </cell>
        </row>
        <row r="186">
          <cell r="C186">
            <v>14102</v>
          </cell>
          <cell r="D186">
            <v>0</v>
          </cell>
          <cell r="E186">
            <v>0</v>
          </cell>
          <cell r="F186">
            <v>0</v>
          </cell>
        </row>
        <row r="187">
          <cell r="C187">
            <v>14103</v>
          </cell>
          <cell r="D187">
            <v>0</v>
          </cell>
          <cell r="E187">
            <v>0</v>
          </cell>
          <cell r="F187">
            <v>0</v>
          </cell>
        </row>
        <row r="188">
          <cell r="C188">
            <v>14104</v>
          </cell>
          <cell r="D188">
            <v>0</v>
          </cell>
          <cell r="E188">
            <v>0</v>
          </cell>
          <cell r="F188">
            <v>0</v>
          </cell>
        </row>
        <row r="189">
          <cell r="D189">
            <v>0</v>
          </cell>
          <cell r="E189">
            <v>0</v>
          </cell>
          <cell r="F189">
            <v>0</v>
          </cell>
        </row>
        <row r="192">
          <cell r="C192">
            <v>14201</v>
          </cell>
          <cell r="D192">
            <v>0</v>
          </cell>
          <cell r="E192">
            <v>0</v>
          </cell>
          <cell r="F192">
            <v>0</v>
          </cell>
        </row>
        <row r="193">
          <cell r="C193">
            <v>14202</v>
          </cell>
          <cell r="D193">
            <v>0</v>
          </cell>
          <cell r="E193">
            <v>0</v>
          </cell>
          <cell r="F193">
            <v>0</v>
          </cell>
        </row>
        <row r="194">
          <cell r="C194">
            <v>14203</v>
          </cell>
          <cell r="D194">
            <v>0</v>
          </cell>
          <cell r="E194">
            <v>0</v>
          </cell>
          <cell r="F194">
            <v>0</v>
          </cell>
        </row>
        <row r="195">
          <cell r="C195">
            <v>14204</v>
          </cell>
          <cell r="D195">
            <v>0</v>
          </cell>
          <cell r="E195">
            <v>0</v>
          </cell>
          <cell r="F195">
            <v>0</v>
          </cell>
        </row>
        <row r="196">
          <cell r="C196">
            <v>14205</v>
          </cell>
          <cell r="D196">
            <v>0</v>
          </cell>
          <cell r="E196">
            <v>0</v>
          </cell>
          <cell r="F196">
            <v>0</v>
          </cell>
        </row>
        <row r="197">
          <cell r="D197">
            <v>0</v>
          </cell>
          <cell r="E197">
            <v>0</v>
          </cell>
          <cell r="F197">
            <v>0</v>
          </cell>
        </row>
        <row r="198">
          <cell r="C198">
            <v>0</v>
          </cell>
          <cell r="D198">
            <v>0</v>
          </cell>
          <cell r="E198">
            <v>0</v>
          </cell>
          <cell r="F198">
            <v>0</v>
          </cell>
        </row>
        <row r="202">
          <cell r="C202">
            <v>16101</v>
          </cell>
          <cell r="D202">
            <v>0</v>
          </cell>
          <cell r="E202">
            <v>27</v>
          </cell>
          <cell r="F202">
            <v>27</v>
          </cell>
        </row>
        <row r="203">
          <cell r="C203">
            <v>16104</v>
          </cell>
          <cell r="D203">
            <v>0</v>
          </cell>
          <cell r="E203">
            <v>0</v>
          </cell>
          <cell r="F203">
            <v>0</v>
          </cell>
        </row>
        <row r="204">
          <cell r="C204">
            <v>16105</v>
          </cell>
          <cell r="D204">
            <v>0</v>
          </cell>
          <cell r="E204">
            <v>0</v>
          </cell>
          <cell r="F204">
            <v>0</v>
          </cell>
        </row>
        <row r="205">
          <cell r="D205">
            <v>0</v>
          </cell>
          <cell r="E205">
            <v>27</v>
          </cell>
          <cell r="F205">
            <v>27</v>
          </cell>
        </row>
        <row r="206">
          <cell r="C206">
            <v>0</v>
          </cell>
          <cell r="D206">
            <v>0</v>
          </cell>
          <cell r="E206">
            <v>27</v>
          </cell>
          <cell r="F206">
            <v>27</v>
          </cell>
        </row>
        <row r="210">
          <cell r="C210">
            <v>17101</v>
          </cell>
          <cell r="D210">
            <v>10192</v>
          </cell>
          <cell r="E210">
            <v>0</v>
          </cell>
          <cell r="F210">
            <v>10192</v>
          </cell>
        </row>
        <row r="211">
          <cell r="C211">
            <v>17103</v>
          </cell>
          <cell r="D211">
            <v>0</v>
          </cell>
          <cell r="E211">
            <v>0</v>
          </cell>
          <cell r="F211">
            <v>0</v>
          </cell>
        </row>
        <row r="212">
          <cell r="D212">
            <v>10192</v>
          </cell>
          <cell r="E212">
            <v>0</v>
          </cell>
          <cell r="F212">
            <v>10192</v>
          </cell>
        </row>
        <row r="215">
          <cell r="C215">
            <v>17201</v>
          </cell>
          <cell r="D215">
            <v>1421</v>
          </cell>
          <cell r="E215">
            <v>0</v>
          </cell>
          <cell r="F215">
            <v>1421</v>
          </cell>
        </row>
        <row r="216">
          <cell r="C216">
            <v>17202</v>
          </cell>
          <cell r="D216">
            <v>0</v>
          </cell>
          <cell r="E216">
            <v>0</v>
          </cell>
          <cell r="F216">
            <v>0</v>
          </cell>
        </row>
        <row r="217">
          <cell r="C217">
            <v>17203</v>
          </cell>
          <cell r="D217">
            <v>622</v>
          </cell>
          <cell r="E217">
            <v>195</v>
          </cell>
          <cell r="F217">
            <v>817</v>
          </cell>
        </row>
        <row r="218">
          <cell r="C218">
            <v>17204</v>
          </cell>
          <cell r="D218">
            <v>0</v>
          </cell>
          <cell r="E218">
            <v>0</v>
          </cell>
          <cell r="F218">
            <v>0</v>
          </cell>
        </row>
        <row r="219">
          <cell r="C219">
            <v>17205</v>
          </cell>
          <cell r="D219">
            <v>122</v>
          </cell>
          <cell r="E219">
            <v>22</v>
          </cell>
          <cell r="F219">
            <v>144</v>
          </cell>
        </row>
        <row r="220">
          <cell r="D220">
            <v>2165</v>
          </cell>
          <cell r="E220">
            <v>217</v>
          </cell>
          <cell r="F220">
            <v>2382</v>
          </cell>
        </row>
        <row r="223">
          <cell r="C223">
            <v>17301</v>
          </cell>
          <cell r="D223">
            <v>0</v>
          </cell>
          <cell r="E223">
            <v>0</v>
          </cell>
          <cell r="F223">
            <v>0</v>
          </cell>
        </row>
        <row r="224">
          <cell r="C224">
            <v>17302</v>
          </cell>
          <cell r="D224">
            <v>0</v>
          </cell>
          <cell r="E224">
            <v>0</v>
          </cell>
          <cell r="F224">
            <v>0</v>
          </cell>
        </row>
        <row r="225">
          <cell r="C225">
            <v>17303</v>
          </cell>
          <cell r="D225">
            <v>0</v>
          </cell>
          <cell r="E225">
            <v>0</v>
          </cell>
          <cell r="F225">
            <v>0</v>
          </cell>
        </row>
        <row r="226">
          <cell r="C226">
            <v>17304</v>
          </cell>
          <cell r="D226">
            <v>0</v>
          </cell>
          <cell r="E226">
            <v>0</v>
          </cell>
          <cell r="F226">
            <v>0</v>
          </cell>
        </row>
        <row r="227">
          <cell r="C227">
            <v>17305</v>
          </cell>
          <cell r="D227">
            <v>0</v>
          </cell>
          <cell r="E227">
            <v>0</v>
          </cell>
          <cell r="F227">
            <v>0</v>
          </cell>
        </row>
        <row r="228">
          <cell r="C228">
            <v>17306</v>
          </cell>
          <cell r="D228">
            <v>0</v>
          </cell>
          <cell r="E228">
            <v>0</v>
          </cell>
          <cell r="F228">
            <v>0</v>
          </cell>
        </row>
        <row r="229">
          <cell r="C229">
            <v>17307</v>
          </cell>
          <cell r="D229">
            <v>0</v>
          </cell>
          <cell r="E229">
            <v>0</v>
          </cell>
          <cell r="F229">
            <v>0</v>
          </cell>
        </row>
        <row r="230">
          <cell r="C230">
            <v>17308</v>
          </cell>
          <cell r="D230">
            <v>0</v>
          </cell>
          <cell r="E230">
            <v>0</v>
          </cell>
          <cell r="F230">
            <v>0</v>
          </cell>
        </row>
        <row r="231">
          <cell r="C231">
            <v>17309</v>
          </cell>
          <cell r="D231">
            <v>0</v>
          </cell>
          <cell r="E231">
            <v>0</v>
          </cell>
          <cell r="F231">
            <v>0</v>
          </cell>
        </row>
        <row r="232">
          <cell r="C232">
            <v>17310</v>
          </cell>
          <cell r="D232">
            <v>0</v>
          </cell>
          <cell r="E232">
            <v>0</v>
          </cell>
          <cell r="F232">
            <v>0</v>
          </cell>
        </row>
        <row r="233">
          <cell r="C233">
            <v>17311</v>
          </cell>
          <cell r="D233">
            <v>0</v>
          </cell>
          <cell r="E233">
            <v>0</v>
          </cell>
          <cell r="F233">
            <v>0</v>
          </cell>
        </row>
        <row r="234">
          <cell r="C234">
            <v>17312</v>
          </cell>
          <cell r="D234">
            <v>0</v>
          </cell>
          <cell r="E234">
            <v>0</v>
          </cell>
          <cell r="F234">
            <v>0</v>
          </cell>
        </row>
        <row r="235">
          <cell r="C235">
            <v>17313</v>
          </cell>
          <cell r="D235">
            <v>0</v>
          </cell>
          <cell r="E235">
            <v>0</v>
          </cell>
          <cell r="F235">
            <v>0</v>
          </cell>
        </row>
        <row r="236">
          <cell r="C236">
            <v>17314</v>
          </cell>
          <cell r="D236">
            <v>0</v>
          </cell>
          <cell r="E236">
            <v>0</v>
          </cell>
          <cell r="F236">
            <v>0</v>
          </cell>
        </row>
        <row r="237">
          <cell r="C237">
            <v>17315</v>
          </cell>
          <cell r="D237">
            <v>0</v>
          </cell>
          <cell r="E237">
            <v>0</v>
          </cell>
          <cell r="F237">
            <v>0</v>
          </cell>
        </row>
        <row r="238">
          <cell r="C238">
            <v>17316</v>
          </cell>
          <cell r="D238">
            <v>0</v>
          </cell>
          <cell r="E238">
            <v>0</v>
          </cell>
          <cell r="F238">
            <v>0</v>
          </cell>
        </row>
        <row r="239">
          <cell r="C239">
            <v>17317</v>
          </cell>
          <cell r="D239">
            <v>0</v>
          </cell>
          <cell r="E239">
            <v>0</v>
          </cell>
          <cell r="F239">
            <v>0</v>
          </cell>
        </row>
        <row r="240">
          <cell r="C240">
            <v>17318</v>
          </cell>
          <cell r="D240">
            <v>24</v>
          </cell>
          <cell r="E240">
            <v>0</v>
          </cell>
          <cell r="F240">
            <v>24</v>
          </cell>
        </row>
        <row r="241">
          <cell r="C241">
            <v>17323</v>
          </cell>
          <cell r="D241">
            <v>0</v>
          </cell>
          <cell r="E241">
            <v>0</v>
          </cell>
          <cell r="F241">
            <v>0</v>
          </cell>
        </row>
        <row r="242">
          <cell r="D242">
            <v>24</v>
          </cell>
          <cell r="E242">
            <v>0</v>
          </cell>
          <cell r="F242">
            <v>24</v>
          </cell>
        </row>
        <row r="243">
          <cell r="C243">
            <v>0</v>
          </cell>
          <cell r="D243">
            <v>12381</v>
          </cell>
          <cell r="E243">
            <v>217</v>
          </cell>
          <cell r="F243">
            <v>12598</v>
          </cell>
        </row>
        <row r="244">
          <cell r="C244">
            <v>10000</v>
          </cell>
          <cell r="D244">
            <v>59452</v>
          </cell>
          <cell r="E244">
            <v>23653</v>
          </cell>
          <cell r="F244">
            <v>83105</v>
          </cell>
        </row>
        <row r="249">
          <cell r="C249">
            <v>21101</v>
          </cell>
          <cell r="D249">
            <v>0</v>
          </cell>
          <cell r="E249">
            <v>0</v>
          </cell>
          <cell r="F249">
            <v>0</v>
          </cell>
        </row>
        <row r="250">
          <cell r="C250">
            <v>21102</v>
          </cell>
          <cell r="D250">
            <v>0</v>
          </cell>
          <cell r="E250">
            <v>0</v>
          </cell>
          <cell r="F250">
            <v>0</v>
          </cell>
        </row>
        <row r="251">
          <cell r="C251">
            <v>21103</v>
          </cell>
          <cell r="D251">
            <v>0</v>
          </cell>
          <cell r="E251">
            <v>0</v>
          </cell>
          <cell r="F251">
            <v>0</v>
          </cell>
        </row>
        <row r="252">
          <cell r="C252">
            <v>21104</v>
          </cell>
          <cell r="D252">
            <v>0</v>
          </cell>
          <cell r="E252">
            <v>0</v>
          </cell>
          <cell r="F252">
            <v>0</v>
          </cell>
        </row>
        <row r="253">
          <cell r="D253">
            <v>0</v>
          </cell>
          <cell r="E253">
            <v>0</v>
          </cell>
          <cell r="F253">
            <v>0</v>
          </cell>
        </row>
        <row r="256">
          <cell r="C256">
            <v>21201</v>
          </cell>
          <cell r="D256">
            <v>0</v>
          </cell>
          <cell r="E256">
            <v>0</v>
          </cell>
          <cell r="F256">
            <v>0</v>
          </cell>
        </row>
        <row r="257">
          <cell r="C257">
            <v>21202</v>
          </cell>
          <cell r="D257">
            <v>0</v>
          </cell>
          <cell r="E257">
            <v>0</v>
          </cell>
          <cell r="F257">
            <v>0</v>
          </cell>
        </row>
        <row r="258">
          <cell r="C258">
            <v>21203</v>
          </cell>
          <cell r="D258">
            <v>0</v>
          </cell>
          <cell r="E258">
            <v>0</v>
          </cell>
          <cell r="F258">
            <v>0</v>
          </cell>
        </row>
        <row r="259">
          <cell r="C259">
            <v>21204</v>
          </cell>
          <cell r="D259">
            <v>0</v>
          </cell>
          <cell r="E259">
            <v>0</v>
          </cell>
          <cell r="F259">
            <v>0</v>
          </cell>
        </row>
        <row r="260">
          <cell r="D260">
            <v>0</v>
          </cell>
          <cell r="E260">
            <v>0</v>
          </cell>
          <cell r="F260">
            <v>0</v>
          </cell>
        </row>
        <row r="263">
          <cell r="C263">
            <v>21301</v>
          </cell>
          <cell r="D263">
            <v>0</v>
          </cell>
          <cell r="E263">
            <v>0</v>
          </cell>
          <cell r="F263">
            <v>0</v>
          </cell>
        </row>
        <row r="264">
          <cell r="C264">
            <v>21302</v>
          </cell>
          <cell r="D264">
            <v>0</v>
          </cell>
          <cell r="E264">
            <v>0</v>
          </cell>
          <cell r="F264">
            <v>0</v>
          </cell>
        </row>
        <row r="265">
          <cell r="C265">
            <v>21303</v>
          </cell>
          <cell r="D265">
            <v>0</v>
          </cell>
          <cell r="E265">
            <v>0</v>
          </cell>
          <cell r="F265">
            <v>0</v>
          </cell>
        </row>
        <row r="266">
          <cell r="C266">
            <v>21304</v>
          </cell>
          <cell r="D266">
            <v>0</v>
          </cell>
          <cell r="E266">
            <v>0</v>
          </cell>
          <cell r="F266">
            <v>0</v>
          </cell>
        </row>
        <row r="267">
          <cell r="D267">
            <v>0</v>
          </cell>
          <cell r="E267">
            <v>0</v>
          </cell>
          <cell r="F267">
            <v>0</v>
          </cell>
        </row>
        <row r="268">
          <cell r="C268">
            <v>0</v>
          </cell>
          <cell r="D268">
            <v>0</v>
          </cell>
          <cell r="E268">
            <v>0</v>
          </cell>
          <cell r="F268">
            <v>0</v>
          </cell>
        </row>
        <row r="272">
          <cell r="C272">
            <v>22101</v>
          </cell>
          <cell r="D272">
            <v>0</v>
          </cell>
          <cell r="E272">
            <v>0</v>
          </cell>
          <cell r="F272">
            <v>0</v>
          </cell>
        </row>
        <row r="273">
          <cell r="C273">
            <v>22102</v>
          </cell>
          <cell r="D273">
            <v>891</v>
          </cell>
          <cell r="E273">
            <v>0</v>
          </cell>
          <cell r="F273">
            <v>891</v>
          </cell>
        </row>
        <row r="274">
          <cell r="C274">
            <v>22103</v>
          </cell>
          <cell r="D274">
            <v>1503</v>
          </cell>
          <cell r="E274">
            <v>0</v>
          </cell>
          <cell r="F274">
            <v>1503</v>
          </cell>
        </row>
        <row r="275">
          <cell r="C275">
            <v>22104</v>
          </cell>
          <cell r="D275">
            <v>0</v>
          </cell>
          <cell r="E275">
            <v>0</v>
          </cell>
          <cell r="F275">
            <v>0</v>
          </cell>
        </row>
        <row r="276">
          <cell r="C276">
            <v>22105</v>
          </cell>
          <cell r="D276">
            <v>0</v>
          </cell>
          <cell r="E276">
            <v>0</v>
          </cell>
          <cell r="F276">
            <v>0</v>
          </cell>
        </row>
        <row r="277">
          <cell r="C277">
            <v>22106</v>
          </cell>
          <cell r="D277">
            <v>0</v>
          </cell>
          <cell r="E277">
            <v>0</v>
          </cell>
          <cell r="F277">
            <v>0</v>
          </cell>
        </row>
        <row r="278">
          <cell r="C278">
            <v>22107</v>
          </cell>
          <cell r="D278">
            <v>185</v>
          </cell>
          <cell r="E278">
            <v>0</v>
          </cell>
          <cell r="F278">
            <v>185</v>
          </cell>
        </row>
        <row r="279">
          <cell r="C279">
            <v>22108</v>
          </cell>
          <cell r="D279">
            <v>0</v>
          </cell>
          <cell r="E279">
            <v>0</v>
          </cell>
          <cell r="F279">
            <v>0</v>
          </cell>
        </row>
        <row r="280">
          <cell r="C280">
            <v>22109</v>
          </cell>
          <cell r="D280">
            <v>0</v>
          </cell>
          <cell r="E280">
            <v>0</v>
          </cell>
          <cell r="F280">
            <v>0</v>
          </cell>
        </row>
        <row r="281">
          <cell r="C281">
            <v>22110</v>
          </cell>
          <cell r="D281">
            <v>0</v>
          </cell>
          <cell r="E281">
            <v>0</v>
          </cell>
          <cell r="F281">
            <v>0</v>
          </cell>
        </row>
        <row r="282">
          <cell r="C282">
            <v>22111</v>
          </cell>
          <cell r="D282">
            <v>0</v>
          </cell>
          <cell r="E282">
            <v>0</v>
          </cell>
          <cell r="F282">
            <v>0</v>
          </cell>
        </row>
        <row r="283">
          <cell r="C283">
            <v>22112</v>
          </cell>
          <cell r="D283">
            <v>0</v>
          </cell>
          <cell r="E283">
            <v>0</v>
          </cell>
          <cell r="F283">
            <v>0</v>
          </cell>
        </row>
        <row r="284">
          <cell r="C284">
            <v>22113</v>
          </cell>
          <cell r="D284">
            <v>0</v>
          </cell>
          <cell r="E284">
            <v>0</v>
          </cell>
          <cell r="F284">
            <v>0</v>
          </cell>
        </row>
        <row r="285">
          <cell r="C285">
            <v>22114</v>
          </cell>
          <cell r="D285">
            <v>0</v>
          </cell>
          <cell r="E285">
            <v>0</v>
          </cell>
          <cell r="F285">
            <v>0</v>
          </cell>
        </row>
        <row r="286">
          <cell r="D286">
            <v>2579</v>
          </cell>
          <cell r="E286">
            <v>0</v>
          </cell>
          <cell r="F286">
            <v>2579</v>
          </cell>
        </row>
        <row r="289">
          <cell r="C289">
            <v>22201</v>
          </cell>
          <cell r="D289">
            <v>0</v>
          </cell>
          <cell r="E289">
            <v>0</v>
          </cell>
          <cell r="F289">
            <v>0</v>
          </cell>
        </row>
        <row r="290">
          <cell r="C290">
            <v>22202</v>
          </cell>
          <cell r="D290">
            <v>0</v>
          </cell>
          <cell r="E290">
            <v>0</v>
          </cell>
          <cell r="F290">
            <v>0</v>
          </cell>
        </row>
        <row r="291">
          <cell r="C291">
            <v>22203</v>
          </cell>
          <cell r="D291">
            <v>0</v>
          </cell>
          <cell r="E291">
            <v>0</v>
          </cell>
          <cell r="F291">
            <v>0</v>
          </cell>
        </row>
        <row r="292">
          <cell r="C292">
            <v>22204</v>
          </cell>
          <cell r="D292">
            <v>0</v>
          </cell>
          <cell r="E292">
            <v>0</v>
          </cell>
          <cell r="F292">
            <v>0</v>
          </cell>
        </row>
        <row r="293">
          <cell r="C293">
            <v>22205</v>
          </cell>
          <cell r="D293">
            <v>0</v>
          </cell>
          <cell r="E293">
            <v>0</v>
          </cell>
          <cell r="F293">
            <v>0</v>
          </cell>
        </row>
        <row r="294">
          <cell r="C294">
            <v>22206</v>
          </cell>
          <cell r="D294">
            <v>0</v>
          </cell>
          <cell r="E294">
            <v>0</v>
          </cell>
          <cell r="F294">
            <v>0</v>
          </cell>
        </row>
        <row r="295">
          <cell r="C295">
            <v>22207</v>
          </cell>
          <cell r="D295">
            <v>0</v>
          </cell>
          <cell r="E295">
            <v>0</v>
          </cell>
          <cell r="F295">
            <v>0</v>
          </cell>
        </row>
        <row r="296">
          <cell r="C296">
            <v>22208</v>
          </cell>
          <cell r="D296">
            <v>0</v>
          </cell>
          <cell r="E296">
            <v>0</v>
          </cell>
          <cell r="F296">
            <v>0</v>
          </cell>
        </row>
        <row r="297">
          <cell r="C297">
            <v>22209</v>
          </cell>
          <cell r="D297">
            <v>0</v>
          </cell>
          <cell r="E297">
            <v>0</v>
          </cell>
          <cell r="F297">
            <v>0</v>
          </cell>
        </row>
        <row r="298">
          <cell r="C298">
            <v>22210</v>
          </cell>
          <cell r="D298">
            <v>0</v>
          </cell>
          <cell r="E298">
            <v>0</v>
          </cell>
          <cell r="F298">
            <v>0</v>
          </cell>
        </row>
        <row r="299">
          <cell r="C299">
            <v>22211</v>
          </cell>
          <cell r="D299">
            <v>0</v>
          </cell>
          <cell r="E299">
            <v>0</v>
          </cell>
          <cell r="F299">
            <v>0</v>
          </cell>
        </row>
        <row r="300">
          <cell r="C300">
            <v>22212</v>
          </cell>
          <cell r="D300">
            <v>137</v>
          </cell>
          <cell r="E300">
            <v>0</v>
          </cell>
          <cell r="F300">
            <v>137</v>
          </cell>
        </row>
        <row r="301">
          <cell r="C301">
            <v>22213</v>
          </cell>
          <cell r="D301">
            <v>1929</v>
          </cell>
          <cell r="E301">
            <v>0</v>
          </cell>
          <cell r="F301">
            <v>1929</v>
          </cell>
        </row>
        <row r="302">
          <cell r="C302">
            <v>22214</v>
          </cell>
          <cell r="D302">
            <v>0</v>
          </cell>
          <cell r="E302">
            <v>0</v>
          </cell>
          <cell r="F302">
            <v>0</v>
          </cell>
        </row>
        <row r="303">
          <cell r="C303">
            <v>22215</v>
          </cell>
          <cell r="D303">
            <v>0</v>
          </cell>
          <cell r="E303">
            <v>0</v>
          </cell>
          <cell r="F303">
            <v>0</v>
          </cell>
        </row>
        <row r="304">
          <cell r="C304">
            <v>22216</v>
          </cell>
          <cell r="D304">
            <v>0</v>
          </cell>
          <cell r="E304">
            <v>0</v>
          </cell>
          <cell r="F304">
            <v>0</v>
          </cell>
        </row>
        <row r="305">
          <cell r="D305">
            <v>2066</v>
          </cell>
          <cell r="E305">
            <v>0</v>
          </cell>
          <cell r="F305">
            <v>2066</v>
          </cell>
        </row>
        <row r="308">
          <cell r="C308">
            <v>22301</v>
          </cell>
          <cell r="D308">
            <v>0</v>
          </cell>
          <cell r="E308">
            <v>0</v>
          </cell>
          <cell r="F308">
            <v>0</v>
          </cell>
        </row>
        <row r="309">
          <cell r="C309">
            <v>22302</v>
          </cell>
          <cell r="D309">
            <v>0</v>
          </cell>
          <cell r="E309">
            <v>0</v>
          </cell>
          <cell r="F309">
            <v>0</v>
          </cell>
        </row>
        <row r="310">
          <cell r="C310">
            <v>22303</v>
          </cell>
          <cell r="D310">
            <v>0</v>
          </cell>
          <cell r="E310">
            <v>0</v>
          </cell>
          <cell r="F310">
            <v>0</v>
          </cell>
        </row>
        <row r="311">
          <cell r="C311">
            <v>22304</v>
          </cell>
          <cell r="D311">
            <v>0</v>
          </cell>
          <cell r="E311">
            <v>0</v>
          </cell>
          <cell r="F311">
            <v>0</v>
          </cell>
        </row>
        <row r="312">
          <cell r="C312">
            <v>22305</v>
          </cell>
          <cell r="D312">
            <v>0</v>
          </cell>
          <cell r="E312">
            <v>0</v>
          </cell>
          <cell r="F312">
            <v>0</v>
          </cell>
        </row>
        <row r="313">
          <cell r="C313">
            <v>22306</v>
          </cell>
          <cell r="D313">
            <v>0</v>
          </cell>
          <cell r="E313">
            <v>0</v>
          </cell>
          <cell r="F313">
            <v>0</v>
          </cell>
        </row>
        <row r="314">
          <cell r="C314">
            <v>22307</v>
          </cell>
          <cell r="D314">
            <v>0</v>
          </cell>
          <cell r="E314">
            <v>0</v>
          </cell>
          <cell r="F314">
            <v>0</v>
          </cell>
        </row>
        <row r="315">
          <cell r="C315">
            <v>22308</v>
          </cell>
          <cell r="D315">
            <v>0</v>
          </cell>
          <cell r="E315">
            <v>0</v>
          </cell>
          <cell r="F315">
            <v>0</v>
          </cell>
        </row>
        <row r="316">
          <cell r="C316">
            <v>22309</v>
          </cell>
          <cell r="D316">
            <v>0</v>
          </cell>
          <cell r="E316">
            <v>0</v>
          </cell>
          <cell r="F316">
            <v>0</v>
          </cell>
        </row>
        <row r="317">
          <cell r="C317">
            <v>22310</v>
          </cell>
          <cell r="D317">
            <v>0</v>
          </cell>
          <cell r="E317">
            <v>0</v>
          </cell>
          <cell r="F317">
            <v>0</v>
          </cell>
        </row>
        <row r="318">
          <cell r="C318">
            <v>22311</v>
          </cell>
          <cell r="D318">
            <v>0</v>
          </cell>
          <cell r="E318">
            <v>0</v>
          </cell>
          <cell r="F318">
            <v>0</v>
          </cell>
        </row>
        <row r="319">
          <cell r="C319">
            <v>22312</v>
          </cell>
          <cell r="D319">
            <v>0</v>
          </cell>
          <cell r="E319">
            <v>0</v>
          </cell>
          <cell r="F319">
            <v>0</v>
          </cell>
        </row>
        <row r="320">
          <cell r="C320">
            <v>22313</v>
          </cell>
          <cell r="D320">
            <v>0</v>
          </cell>
          <cell r="E320">
            <v>0</v>
          </cell>
          <cell r="F320">
            <v>0</v>
          </cell>
        </row>
        <row r="321">
          <cell r="C321">
            <v>22314</v>
          </cell>
          <cell r="D321">
            <v>0</v>
          </cell>
          <cell r="E321">
            <v>0</v>
          </cell>
          <cell r="F321">
            <v>0</v>
          </cell>
        </row>
        <row r="322">
          <cell r="C322">
            <v>22315</v>
          </cell>
          <cell r="D322">
            <v>0</v>
          </cell>
          <cell r="E322">
            <v>0</v>
          </cell>
          <cell r="F322">
            <v>0</v>
          </cell>
        </row>
        <row r="323">
          <cell r="C323">
            <v>22316</v>
          </cell>
          <cell r="D323">
            <v>0</v>
          </cell>
          <cell r="E323">
            <v>0</v>
          </cell>
          <cell r="F323">
            <v>0</v>
          </cell>
        </row>
        <row r="324">
          <cell r="D324">
            <v>0</v>
          </cell>
          <cell r="E324">
            <v>0</v>
          </cell>
          <cell r="F324">
            <v>0</v>
          </cell>
        </row>
        <row r="325">
          <cell r="C325">
            <v>0</v>
          </cell>
          <cell r="D325">
            <v>4645</v>
          </cell>
          <cell r="E325">
            <v>0</v>
          </cell>
          <cell r="F325">
            <v>4645</v>
          </cell>
        </row>
        <row r="329">
          <cell r="C329">
            <v>23101</v>
          </cell>
          <cell r="D329">
            <v>850</v>
          </cell>
          <cell r="E329">
            <v>414</v>
          </cell>
          <cell r="F329">
            <v>1264</v>
          </cell>
        </row>
        <row r="330">
          <cell r="C330">
            <v>23103</v>
          </cell>
          <cell r="D330">
            <v>0</v>
          </cell>
          <cell r="E330">
            <v>0</v>
          </cell>
          <cell r="F330">
            <v>0</v>
          </cell>
        </row>
        <row r="331">
          <cell r="D331">
            <v>850</v>
          </cell>
          <cell r="E331">
            <v>414</v>
          </cell>
          <cell r="F331">
            <v>1264</v>
          </cell>
        </row>
        <row r="332">
          <cell r="C332">
            <v>0</v>
          </cell>
          <cell r="D332">
            <v>850</v>
          </cell>
          <cell r="E332">
            <v>414</v>
          </cell>
          <cell r="F332">
            <v>1264</v>
          </cell>
        </row>
        <row r="336">
          <cell r="C336">
            <v>24101</v>
          </cell>
          <cell r="D336">
            <v>0</v>
          </cell>
          <cell r="E336">
            <v>0</v>
          </cell>
          <cell r="F336">
            <v>0</v>
          </cell>
        </row>
        <row r="337">
          <cell r="C337">
            <v>24102</v>
          </cell>
          <cell r="D337">
            <v>0</v>
          </cell>
          <cell r="E337">
            <v>0</v>
          </cell>
          <cell r="F337">
            <v>0</v>
          </cell>
        </row>
        <row r="338">
          <cell r="C338">
            <v>24103</v>
          </cell>
          <cell r="D338">
            <v>0</v>
          </cell>
          <cell r="E338">
            <v>0</v>
          </cell>
          <cell r="F338">
            <v>0</v>
          </cell>
        </row>
        <row r="339">
          <cell r="C339">
            <v>24104</v>
          </cell>
          <cell r="D339">
            <v>0</v>
          </cell>
          <cell r="E339">
            <v>3016</v>
          </cell>
          <cell r="F339">
            <v>3016</v>
          </cell>
        </row>
        <row r="340">
          <cell r="C340">
            <v>24105</v>
          </cell>
          <cell r="D340">
            <v>0</v>
          </cell>
          <cell r="E340">
            <v>0</v>
          </cell>
          <cell r="F340">
            <v>0</v>
          </cell>
        </row>
        <row r="341">
          <cell r="C341">
            <v>24107</v>
          </cell>
          <cell r="D341">
            <v>0</v>
          </cell>
          <cell r="E341">
            <v>0</v>
          </cell>
          <cell r="F341">
            <v>0</v>
          </cell>
        </row>
        <row r="342">
          <cell r="D342">
            <v>0</v>
          </cell>
          <cell r="E342">
            <v>0</v>
          </cell>
        </row>
        <row r="343">
          <cell r="D343">
            <v>0</v>
          </cell>
          <cell r="E343">
            <v>3016</v>
          </cell>
          <cell r="F343">
            <v>3016</v>
          </cell>
        </row>
        <row r="346">
          <cell r="C346">
            <v>24201</v>
          </cell>
          <cell r="D346">
            <v>0</v>
          </cell>
          <cell r="E346">
            <v>0</v>
          </cell>
          <cell r="F346">
            <v>0</v>
          </cell>
        </row>
        <row r="347">
          <cell r="C347">
            <v>24203</v>
          </cell>
          <cell r="D347">
            <v>0</v>
          </cell>
          <cell r="E347">
            <v>0</v>
          </cell>
          <cell r="F347">
            <v>0</v>
          </cell>
        </row>
        <row r="348">
          <cell r="C348">
            <v>24205</v>
          </cell>
          <cell r="D348">
            <v>0</v>
          </cell>
          <cell r="E348">
            <v>0</v>
          </cell>
          <cell r="F348">
            <v>0</v>
          </cell>
        </row>
        <row r="349">
          <cell r="C349">
            <v>24206</v>
          </cell>
          <cell r="D349">
            <v>0</v>
          </cell>
          <cell r="E349">
            <v>0</v>
          </cell>
          <cell r="F349">
            <v>0</v>
          </cell>
        </row>
        <row r="350">
          <cell r="C350">
            <v>24207</v>
          </cell>
          <cell r="D350">
            <v>0</v>
          </cell>
          <cell r="E350">
            <v>0</v>
          </cell>
          <cell r="F350">
            <v>0</v>
          </cell>
        </row>
        <row r="351">
          <cell r="D351">
            <v>0</v>
          </cell>
          <cell r="E351">
            <v>0</v>
          </cell>
          <cell r="F351">
            <v>0</v>
          </cell>
        </row>
        <row r="352">
          <cell r="C352">
            <v>0</v>
          </cell>
          <cell r="D352">
            <v>0</v>
          </cell>
          <cell r="E352">
            <v>3016</v>
          </cell>
          <cell r="F352">
            <v>3016</v>
          </cell>
        </row>
        <row r="356">
          <cell r="C356">
            <v>25101</v>
          </cell>
          <cell r="D356">
            <v>806</v>
          </cell>
          <cell r="E356">
            <v>0</v>
          </cell>
          <cell r="F356">
            <v>806</v>
          </cell>
        </row>
        <row r="357">
          <cell r="D357">
            <v>806</v>
          </cell>
          <cell r="E357">
            <v>0</v>
          </cell>
          <cell r="F357">
            <v>806</v>
          </cell>
        </row>
        <row r="360">
          <cell r="C360">
            <v>25201</v>
          </cell>
          <cell r="D360">
            <v>43136</v>
          </cell>
          <cell r="E360">
            <v>0</v>
          </cell>
          <cell r="F360">
            <v>43136</v>
          </cell>
        </row>
        <row r="361">
          <cell r="C361">
            <v>0</v>
          </cell>
          <cell r="D361">
            <v>43942</v>
          </cell>
          <cell r="E361">
            <v>0</v>
          </cell>
          <cell r="F361">
            <v>43942</v>
          </cell>
        </row>
        <row r="365">
          <cell r="C365">
            <v>26101</v>
          </cell>
          <cell r="D365">
            <v>1723</v>
          </cell>
          <cell r="E365">
            <v>0</v>
          </cell>
          <cell r="F365">
            <v>1723</v>
          </cell>
        </row>
        <row r="366">
          <cell r="C366">
            <v>26102</v>
          </cell>
          <cell r="D366">
            <v>0</v>
          </cell>
          <cell r="E366">
            <v>0</v>
          </cell>
          <cell r="F366">
            <v>0</v>
          </cell>
        </row>
        <row r="367">
          <cell r="C367">
            <v>26103</v>
          </cell>
          <cell r="D367">
            <v>607</v>
          </cell>
          <cell r="E367">
            <v>0</v>
          </cell>
          <cell r="F367">
            <v>607</v>
          </cell>
        </row>
        <row r="368">
          <cell r="C368">
            <v>26104</v>
          </cell>
          <cell r="D368">
            <v>33</v>
          </cell>
          <cell r="E368">
            <v>0</v>
          </cell>
          <cell r="F368">
            <v>33</v>
          </cell>
        </row>
        <row r="369">
          <cell r="C369">
            <v>26105</v>
          </cell>
          <cell r="D369">
            <v>29</v>
          </cell>
          <cell r="E369">
            <v>0</v>
          </cell>
          <cell r="F369">
            <v>29</v>
          </cell>
        </row>
        <row r="370">
          <cell r="C370">
            <v>26106</v>
          </cell>
          <cell r="D370">
            <v>0</v>
          </cell>
          <cell r="E370">
            <v>0</v>
          </cell>
          <cell r="F370">
            <v>0</v>
          </cell>
        </row>
        <row r="371">
          <cell r="C371">
            <v>26107</v>
          </cell>
          <cell r="D371">
            <v>0</v>
          </cell>
          <cell r="E371">
            <v>0</v>
          </cell>
          <cell r="F371">
            <v>0</v>
          </cell>
        </row>
        <row r="372">
          <cell r="C372">
            <v>26108</v>
          </cell>
          <cell r="D372">
            <v>0</v>
          </cell>
          <cell r="E372">
            <v>0</v>
          </cell>
          <cell r="F372">
            <v>0</v>
          </cell>
        </row>
        <row r="373">
          <cell r="C373">
            <v>26109</v>
          </cell>
          <cell r="D373">
            <v>0</v>
          </cell>
          <cell r="E373">
            <v>0</v>
          </cell>
          <cell r="F373">
            <v>0</v>
          </cell>
        </row>
        <row r="374">
          <cell r="D374">
            <v>2392</v>
          </cell>
          <cell r="E374">
            <v>0</v>
          </cell>
          <cell r="F374">
            <v>2392</v>
          </cell>
        </row>
        <row r="377">
          <cell r="C377">
            <v>26214</v>
          </cell>
          <cell r="D377">
            <v>0</v>
          </cell>
          <cell r="E377">
            <v>0</v>
          </cell>
          <cell r="F377">
            <v>0</v>
          </cell>
        </row>
        <row r="378">
          <cell r="C378">
            <v>0</v>
          </cell>
          <cell r="D378">
            <v>2392</v>
          </cell>
          <cell r="E378">
            <v>0</v>
          </cell>
          <cell r="F378">
            <v>2392</v>
          </cell>
        </row>
        <row r="382">
          <cell r="C382">
            <v>28101</v>
          </cell>
          <cell r="D382">
            <v>0</v>
          </cell>
          <cell r="E382">
            <v>0</v>
          </cell>
          <cell r="F382">
            <v>0</v>
          </cell>
        </row>
        <row r="383">
          <cell r="C383">
            <v>28102</v>
          </cell>
          <cell r="D383">
            <v>0</v>
          </cell>
          <cell r="E383">
            <v>0</v>
          </cell>
          <cell r="F383">
            <v>0</v>
          </cell>
        </row>
        <row r="384">
          <cell r="C384">
            <v>28103</v>
          </cell>
          <cell r="D384">
            <v>0</v>
          </cell>
          <cell r="E384">
            <v>0</v>
          </cell>
          <cell r="F384">
            <v>0</v>
          </cell>
        </row>
        <row r="385">
          <cell r="C385">
            <v>28104</v>
          </cell>
          <cell r="D385">
            <v>0</v>
          </cell>
          <cell r="E385">
            <v>0</v>
          </cell>
          <cell r="F385">
            <v>0</v>
          </cell>
        </row>
        <row r="386">
          <cell r="C386">
            <v>28105</v>
          </cell>
          <cell r="D386">
            <v>0</v>
          </cell>
          <cell r="E386">
            <v>0</v>
          </cell>
          <cell r="F386">
            <v>0</v>
          </cell>
        </row>
        <row r="387">
          <cell r="C387">
            <v>28106</v>
          </cell>
          <cell r="D387">
            <v>0</v>
          </cell>
          <cell r="E387">
            <v>0</v>
          </cell>
          <cell r="F387">
            <v>0</v>
          </cell>
        </row>
        <row r="388">
          <cell r="C388">
            <v>28107</v>
          </cell>
          <cell r="D388">
            <v>0</v>
          </cell>
          <cell r="E388">
            <v>0</v>
          </cell>
          <cell r="F388">
            <v>0</v>
          </cell>
        </row>
        <row r="389">
          <cell r="C389">
            <v>28108</v>
          </cell>
          <cell r="D389">
            <v>0</v>
          </cell>
          <cell r="E389">
            <v>0</v>
          </cell>
          <cell r="F389">
            <v>0</v>
          </cell>
        </row>
        <row r="390">
          <cell r="C390">
            <v>28109</v>
          </cell>
          <cell r="D390">
            <v>0</v>
          </cell>
          <cell r="E390">
            <v>0</v>
          </cell>
          <cell r="F390">
            <v>0</v>
          </cell>
        </row>
        <row r="391">
          <cell r="C391">
            <v>28110</v>
          </cell>
          <cell r="D391">
            <v>0</v>
          </cell>
          <cell r="E391">
            <v>0</v>
          </cell>
          <cell r="F391">
            <v>0</v>
          </cell>
        </row>
        <row r="392">
          <cell r="C392">
            <v>28111</v>
          </cell>
          <cell r="D392">
            <v>0</v>
          </cell>
          <cell r="E392">
            <v>0</v>
          </cell>
          <cell r="F392">
            <v>0</v>
          </cell>
        </row>
        <row r="393">
          <cell r="C393">
            <v>28112</v>
          </cell>
          <cell r="D393">
            <v>0</v>
          </cell>
          <cell r="E393">
            <v>0</v>
          </cell>
          <cell r="F393">
            <v>0</v>
          </cell>
        </row>
        <row r="394">
          <cell r="D394">
            <v>0</v>
          </cell>
          <cell r="E394">
            <v>0</v>
          </cell>
          <cell r="F394">
            <v>0</v>
          </cell>
        </row>
        <row r="395">
          <cell r="C395">
            <v>0</v>
          </cell>
          <cell r="D395">
            <v>0</v>
          </cell>
          <cell r="E395">
            <v>0</v>
          </cell>
          <cell r="F395">
            <v>0</v>
          </cell>
        </row>
        <row r="399">
          <cell r="C399">
            <v>29101</v>
          </cell>
          <cell r="D399">
            <v>7246</v>
          </cell>
          <cell r="E399">
            <v>0</v>
          </cell>
          <cell r="F399">
            <v>7246</v>
          </cell>
        </row>
        <row r="400">
          <cell r="C400">
            <v>29103</v>
          </cell>
          <cell r="D400">
            <v>0</v>
          </cell>
          <cell r="E400">
            <v>0</v>
          </cell>
          <cell r="F400">
            <v>0</v>
          </cell>
        </row>
        <row r="401">
          <cell r="D401">
            <v>7246</v>
          </cell>
          <cell r="E401">
            <v>0</v>
          </cell>
          <cell r="F401">
            <v>7246</v>
          </cell>
        </row>
        <row r="404">
          <cell r="C404">
            <v>29201</v>
          </cell>
          <cell r="D404">
            <v>0</v>
          </cell>
          <cell r="E404">
            <v>0</v>
          </cell>
          <cell r="F404">
            <v>0</v>
          </cell>
        </row>
        <row r="405">
          <cell r="C405">
            <v>29202</v>
          </cell>
          <cell r="D405">
            <v>0</v>
          </cell>
          <cell r="E405">
            <v>0</v>
          </cell>
          <cell r="F405">
            <v>0</v>
          </cell>
        </row>
        <row r="406">
          <cell r="C406">
            <v>29203</v>
          </cell>
          <cell r="D406">
            <v>0</v>
          </cell>
          <cell r="E406">
            <v>0</v>
          </cell>
          <cell r="F406">
            <v>0</v>
          </cell>
        </row>
        <row r="407">
          <cell r="C407">
            <v>29204</v>
          </cell>
          <cell r="D407">
            <v>0</v>
          </cell>
          <cell r="E407">
            <v>0</v>
          </cell>
          <cell r="F407">
            <v>0</v>
          </cell>
        </row>
        <row r="408">
          <cell r="C408">
            <v>29205</v>
          </cell>
          <cell r="D408">
            <v>0</v>
          </cell>
          <cell r="E408">
            <v>0</v>
          </cell>
          <cell r="F408">
            <v>0</v>
          </cell>
        </row>
        <row r="409">
          <cell r="D409">
            <v>0</v>
          </cell>
          <cell r="E409">
            <v>0</v>
          </cell>
          <cell r="F409">
            <v>0</v>
          </cell>
        </row>
        <row r="412">
          <cell r="C412">
            <v>29301</v>
          </cell>
          <cell r="D412">
            <v>482</v>
          </cell>
          <cell r="E412">
            <v>0</v>
          </cell>
          <cell r="F412">
            <v>482</v>
          </cell>
        </row>
        <row r="413">
          <cell r="C413">
            <v>29302</v>
          </cell>
          <cell r="D413">
            <v>58</v>
          </cell>
          <cell r="E413">
            <v>0</v>
          </cell>
          <cell r="F413">
            <v>58</v>
          </cell>
        </row>
        <row r="414">
          <cell r="C414">
            <v>29303</v>
          </cell>
          <cell r="D414">
            <v>0</v>
          </cell>
          <cell r="E414">
            <v>0</v>
          </cell>
          <cell r="F414">
            <v>0</v>
          </cell>
        </row>
        <row r="415">
          <cell r="C415">
            <v>29304</v>
          </cell>
          <cell r="D415">
            <v>85</v>
          </cell>
          <cell r="E415">
            <v>0</v>
          </cell>
          <cell r="F415">
            <v>85</v>
          </cell>
        </row>
        <row r="416">
          <cell r="C416">
            <v>29306</v>
          </cell>
          <cell r="D416">
            <v>1042</v>
          </cell>
          <cell r="E416">
            <v>0</v>
          </cell>
          <cell r="F416">
            <v>1042</v>
          </cell>
        </row>
        <row r="417">
          <cell r="C417">
            <v>29307</v>
          </cell>
          <cell r="D417">
            <v>317</v>
          </cell>
          <cell r="E417">
            <v>0</v>
          </cell>
          <cell r="F417">
            <v>317</v>
          </cell>
        </row>
        <row r="418">
          <cell r="C418">
            <v>29312</v>
          </cell>
          <cell r="D418">
            <v>0</v>
          </cell>
          <cell r="E418">
            <v>0</v>
          </cell>
          <cell r="F418">
            <v>0</v>
          </cell>
        </row>
        <row r="419">
          <cell r="C419">
            <v>29314</v>
          </cell>
          <cell r="D419">
            <v>0</v>
          </cell>
          <cell r="E419">
            <v>0</v>
          </cell>
          <cell r="F419">
            <v>0</v>
          </cell>
        </row>
        <row r="420">
          <cell r="C420">
            <v>29315</v>
          </cell>
          <cell r="D420">
            <v>33</v>
          </cell>
          <cell r="E420">
            <v>0</v>
          </cell>
          <cell r="F420">
            <v>33</v>
          </cell>
        </row>
        <row r="421">
          <cell r="C421">
            <v>29316</v>
          </cell>
          <cell r="D421">
            <v>53</v>
          </cell>
          <cell r="E421">
            <v>0</v>
          </cell>
          <cell r="F421">
            <v>53</v>
          </cell>
        </row>
        <row r="422">
          <cell r="C422">
            <v>29317</v>
          </cell>
          <cell r="D422">
            <v>166</v>
          </cell>
          <cell r="E422">
            <v>0</v>
          </cell>
          <cell r="F422">
            <v>166</v>
          </cell>
        </row>
        <row r="423">
          <cell r="C423">
            <v>29318</v>
          </cell>
          <cell r="D423">
            <v>477</v>
          </cell>
          <cell r="E423">
            <v>0</v>
          </cell>
          <cell r="F423">
            <v>477</v>
          </cell>
        </row>
        <row r="424">
          <cell r="C424">
            <v>29319</v>
          </cell>
          <cell r="D424">
            <v>0</v>
          </cell>
          <cell r="E424">
            <v>0</v>
          </cell>
          <cell r="F424">
            <v>0</v>
          </cell>
        </row>
        <row r="425">
          <cell r="C425">
            <v>29320</v>
          </cell>
          <cell r="D425">
            <v>57</v>
          </cell>
          <cell r="E425">
            <v>0</v>
          </cell>
          <cell r="F425">
            <v>57</v>
          </cell>
        </row>
        <row r="426">
          <cell r="C426">
            <v>29321</v>
          </cell>
          <cell r="D426">
            <v>0</v>
          </cell>
          <cell r="E426">
            <v>0</v>
          </cell>
          <cell r="F426">
            <v>0</v>
          </cell>
        </row>
        <row r="427">
          <cell r="C427">
            <v>29322</v>
          </cell>
          <cell r="D427">
            <v>148</v>
          </cell>
          <cell r="E427">
            <v>0</v>
          </cell>
          <cell r="F427">
            <v>148</v>
          </cell>
        </row>
        <row r="428">
          <cell r="F428" t="str">
            <v xml:space="preserve"> </v>
          </cell>
        </row>
        <row r="429">
          <cell r="C429">
            <v>29323</v>
          </cell>
          <cell r="D429">
            <v>0</v>
          </cell>
          <cell r="E429">
            <v>0</v>
          </cell>
          <cell r="F429">
            <v>0</v>
          </cell>
        </row>
        <row r="430">
          <cell r="C430">
            <v>29324</v>
          </cell>
          <cell r="D430">
            <v>0</v>
          </cell>
          <cell r="E430">
            <v>0</v>
          </cell>
          <cell r="F430">
            <v>0</v>
          </cell>
        </row>
        <row r="431">
          <cell r="C431">
            <v>29325</v>
          </cell>
          <cell r="D431">
            <v>65</v>
          </cell>
          <cell r="E431">
            <v>0</v>
          </cell>
          <cell r="F431">
            <v>65</v>
          </cell>
        </row>
        <row r="432">
          <cell r="C432">
            <v>29326</v>
          </cell>
          <cell r="D432">
            <v>0</v>
          </cell>
          <cell r="E432">
            <v>0</v>
          </cell>
          <cell r="F432">
            <v>0</v>
          </cell>
        </row>
        <row r="433">
          <cell r="C433">
            <v>29327</v>
          </cell>
          <cell r="D433">
            <v>51</v>
          </cell>
          <cell r="E433">
            <v>0</v>
          </cell>
          <cell r="F433">
            <v>51</v>
          </cell>
        </row>
        <row r="434">
          <cell r="C434">
            <v>29328</v>
          </cell>
          <cell r="D434">
            <v>0</v>
          </cell>
          <cell r="E434">
            <v>0</v>
          </cell>
          <cell r="F434">
            <v>0</v>
          </cell>
        </row>
        <row r="435">
          <cell r="C435">
            <v>29329</v>
          </cell>
          <cell r="D435">
            <v>198</v>
          </cell>
          <cell r="E435">
            <v>0</v>
          </cell>
          <cell r="F435">
            <v>198</v>
          </cell>
        </row>
        <row r="436">
          <cell r="D436">
            <v>3232</v>
          </cell>
          <cell r="E436">
            <v>0</v>
          </cell>
          <cell r="F436">
            <v>3232</v>
          </cell>
        </row>
        <row r="439">
          <cell r="C439">
            <v>29401</v>
          </cell>
          <cell r="D439">
            <v>0</v>
          </cell>
          <cell r="E439">
            <v>0</v>
          </cell>
          <cell r="F439">
            <v>0</v>
          </cell>
        </row>
        <row r="440">
          <cell r="C440">
            <v>29417</v>
          </cell>
          <cell r="D440">
            <v>0</v>
          </cell>
          <cell r="E440">
            <v>0</v>
          </cell>
          <cell r="F440">
            <v>0</v>
          </cell>
        </row>
        <row r="441">
          <cell r="C441">
            <v>29402</v>
          </cell>
          <cell r="D441">
            <v>0</v>
          </cell>
          <cell r="E441">
            <v>0</v>
          </cell>
          <cell r="F441">
            <v>0</v>
          </cell>
        </row>
        <row r="442">
          <cell r="C442">
            <v>29403</v>
          </cell>
          <cell r="D442">
            <v>0</v>
          </cell>
          <cell r="E442">
            <v>0</v>
          </cell>
          <cell r="F442">
            <v>0</v>
          </cell>
        </row>
        <row r="443">
          <cell r="C443">
            <v>29404</v>
          </cell>
          <cell r="D443">
            <v>7</v>
          </cell>
          <cell r="E443">
            <v>0</v>
          </cell>
          <cell r="F443">
            <v>7</v>
          </cell>
        </row>
        <row r="444">
          <cell r="C444">
            <v>29405</v>
          </cell>
          <cell r="D444">
            <v>0</v>
          </cell>
          <cell r="E444">
            <v>0</v>
          </cell>
          <cell r="F444">
            <v>0</v>
          </cell>
        </row>
        <row r="445">
          <cell r="C445">
            <v>29406</v>
          </cell>
          <cell r="D445">
            <v>736</v>
          </cell>
          <cell r="E445">
            <v>0</v>
          </cell>
          <cell r="F445">
            <v>736</v>
          </cell>
        </row>
        <row r="446">
          <cell r="C446">
            <v>29407</v>
          </cell>
          <cell r="D446">
            <v>0</v>
          </cell>
          <cell r="E446">
            <v>0</v>
          </cell>
          <cell r="F446">
            <v>0</v>
          </cell>
        </row>
        <row r="447">
          <cell r="C447">
            <v>29409</v>
          </cell>
          <cell r="D447">
            <v>0</v>
          </cell>
          <cell r="E447">
            <v>0</v>
          </cell>
          <cell r="F447">
            <v>0</v>
          </cell>
        </row>
        <row r="448">
          <cell r="C448">
            <v>29410</v>
          </cell>
          <cell r="D448">
            <v>0</v>
          </cell>
          <cell r="E448">
            <v>0</v>
          </cell>
          <cell r="F448">
            <v>0</v>
          </cell>
        </row>
        <row r="449">
          <cell r="C449">
            <v>29411</v>
          </cell>
          <cell r="D449">
            <v>0</v>
          </cell>
          <cell r="E449">
            <v>0</v>
          </cell>
          <cell r="F449">
            <v>0</v>
          </cell>
        </row>
        <row r="450">
          <cell r="C450">
            <v>29412</v>
          </cell>
          <cell r="D450">
            <v>0</v>
          </cell>
          <cell r="E450">
            <v>0</v>
          </cell>
          <cell r="F450">
            <v>0</v>
          </cell>
        </row>
        <row r="451">
          <cell r="C451">
            <v>29413</v>
          </cell>
          <cell r="D451">
            <v>0</v>
          </cell>
          <cell r="E451">
            <v>0</v>
          </cell>
          <cell r="F451">
            <v>0</v>
          </cell>
        </row>
        <row r="452">
          <cell r="C452">
            <v>29414</v>
          </cell>
          <cell r="D452">
            <v>0</v>
          </cell>
          <cell r="E452">
            <v>0</v>
          </cell>
          <cell r="F452">
            <v>0</v>
          </cell>
        </row>
        <row r="453">
          <cell r="C453">
            <v>29415</v>
          </cell>
          <cell r="D453">
            <v>0</v>
          </cell>
          <cell r="E453">
            <v>0</v>
          </cell>
          <cell r="F453">
            <v>0</v>
          </cell>
        </row>
        <row r="454">
          <cell r="C454">
            <v>29416</v>
          </cell>
          <cell r="D454">
            <v>436</v>
          </cell>
          <cell r="E454">
            <v>0</v>
          </cell>
          <cell r="F454">
            <v>436</v>
          </cell>
        </row>
        <row r="455">
          <cell r="C455">
            <v>29418</v>
          </cell>
          <cell r="D455">
            <v>0</v>
          </cell>
          <cell r="E455">
            <v>0</v>
          </cell>
          <cell r="F455">
            <v>0</v>
          </cell>
        </row>
        <row r="456">
          <cell r="C456">
            <v>29419</v>
          </cell>
          <cell r="D456">
            <v>0</v>
          </cell>
          <cell r="E456">
            <v>0</v>
          </cell>
          <cell r="F456">
            <v>0</v>
          </cell>
        </row>
        <row r="457">
          <cell r="C457">
            <v>29420</v>
          </cell>
          <cell r="D457">
            <v>0</v>
          </cell>
          <cell r="E457">
            <v>0</v>
          </cell>
          <cell r="F457">
            <v>0</v>
          </cell>
        </row>
        <row r="458">
          <cell r="C458">
            <v>29421</v>
          </cell>
          <cell r="D458">
            <v>0</v>
          </cell>
          <cell r="E458">
            <v>0</v>
          </cell>
          <cell r="F458">
            <v>0</v>
          </cell>
        </row>
        <row r="459">
          <cell r="C459">
            <v>29422</v>
          </cell>
          <cell r="D459">
            <v>0</v>
          </cell>
          <cell r="E459">
            <v>0</v>
          </cell>
          <cell r="F459">
            <v>0</v>
          </cell>
        </row>
        <row r="460">
          <cell r="C460">
            <v>29423</v>
          </cell>
          <cell r="D460">
            <v>36</v>
          </cell>
          <cell r="E460">
            <v>0</v>
          </cell>
          <cell r="F460">
            <v>36</v>
          </cell>
        </row>
        <row r="461">
          <cell r="C461">
            <v>29425</v>
          </cell>
          <cell r="D461">
            <v>0</v>
          </cell>
          <cell r="E461">
            <v>0</v>
          </cell>
          <cell r="F461">
            <v>0</v>
          </cell>
        </row>
        <row r="462">
          <cell r="D462">
            <v>1215</v>
          </cell>
          <cell r="E462">
            <v>0</v>
          </cell>
          <cell r="F462">
            <v>1215</v>
          </cell>
        </row>
        <row r="463">
          <cell r="C463">
            <v>0</v>
          </cell>
          <cell r="D463">
            <v>11693</v>
          </cell>
          <cell r="E463">
            <v>0</v>
          </cell>
          <cell r="F463">
            <v>11693</v>
          </cell>
        </row>
        <row r="464">
          <cell r="C464">
            <v>20000</v>
          </cell>
          <cell r="D464">
            <v>63522</v>
          </cell>
          <cell r="E464">
            <v>3430</v>
          </cell>
          <cell r="F464">
            <v>66952</v>
          </cell>
        </row>
        <row r="467">
          <cell r="C467">
            <v>35001</v>
          </cell>
          <cell r="D467">
            <v>0</v>
          </cell>
          <cell r="E467">
            <v>0</v>
          </cell>
          <cell r="F467">
            <v>0</v>
          </cell>
        </row>
        <row r="469">
          <cell r="C469">
            <v>33001</v>
          </cell>
          <cell r="D469">
            <v>16153</v>
          </cell>
          <cell r="E469">
            <v>0</v>
          </cell>
          <cell r="F469">
            <v>16153</v>
          </cell>
        </row>
        <row r="470">
          <cell r="C470">
            <v>33002</v>
          </cell>
          <cell r="D470">
            <v>0</v>
          </cell>
          <cell r="E470">
            <v>0</v>
          </cell>
          <cell r="F470">
            <v>0</v>
          </cell>
        </row>
      </sheetData>
      <sheetData sheetId="1" refreshError="1">
        <row r="6">
          <cell r="D6">
            <v>4</v>
          </cell>
        </row>
        <row r="10">
          <cell r="C10">
            <v>11101</v>
          </cell>
        </row>
        <row r="11">
          <cell r="C11">
            <v>11102</v>
          </cell>
        </row>
        <row r="12">
          <cell r="C12">
            <v>11103</v>
          </cell>
        </row>
        <row r="13">
          <cell r="C13">
            <v>11104</v>
          </cell>
        </row>
        <row r="14">
          <cell r="C14">
            <v>11105</v>
          </cell>
        </row>
        <row r="15">
          <cell r="C15">
            <v>11106</v>
          </cell>
        </row>
        <row r="16">
          <cell r="C16">
            <v>11107</v>
          </cell>
        </row>
        <row r="17">
          <cell r="C17">
            <v>11108</v>
          </cell>
        </row>
        <row r="18">
          <cell r="C18">
            <v>11109</v>
          </cell>
        </row>
        <row r="19">
          <cell r="C19">
            <v>11110</v>
          </cell>
        </row>
        <row r="20">
          <cell r="C20">
            <v>11111</v>
          </cell>
        </row>
        <row r="21">
          <cell r="C21">
            <v>11112</v>
          </cell>
        </row>
        <row r="22">
          <cell r="C22">
            <v>11113</v>
          </cell>
        </row>
        <row r="23">
          <cell r="C23">
            <v>11114</v>
          </cell>
        </row>
        <row r="24">
          <cell r="C24">
            <v>11115</v>
          </cell>
        </row>
        <row r="25">
          <cell r="C25">
            <v>11116</v>
          </cell>
        </row>
        <row r="26">
          <cell r="C26">
            <v>11117</v>
          </cell>
        </row>
        <row r="27">
          <cell r="C27">
            <v>11118</v>
          </cell>
        </row>
        <row r="28">
          <cell r="C28">
            <v>11119</v>
          </cell>
        </row>
        <row r="29">
          <cell r="C29">
            <v>111</v>
          </cell>
        </row>
        <row r="31">
          <cell r="C31">
            <v>11201</v>
          </cell>
        </row>
        <row r="32">
          <cell r="C32">
            <v>11202</v>
          </cell>
        </row>
        <row r="33">
          <cell r="C33">
            <v>11203</v>
          </cell>
        </row>
        <row r="34">
          <cell r="C34">
            <v>11204</v>
          </cell>
        </row>
        <row r="35">
          <cell r="C35">
            <v>11205</v>
          </cell>
        </row>
        <row r="36">
          <cell r="C36">
            <v>11206</v>
          </cell>
        </row>
        <row r="37">
          <cell r="C37">
            <v>11207</v>
          </cell>
        </row>
        <row r="38">
          <cell r="C38">
            <v>11208</v>
          </cell>
        </row>
        <row r="39">
          <cell r="C39">
            <v>11209</v>
          </cell>
        </row>
        <row r="40">
          <cell r="C40">
            <v>11210</v>
          </cell>
        </row>
        <row r="41">
          <cell r="C41">
            <v>11211</v>
          </cell>
        </row>
        <row r="42">
          <cell r="C42">
            <v>11212</v>
          </cell>
        </row>
        <row r="43">
          <cell r="C43">
            <v>11213</v>
          </cell>
        </row>
        <row r="44">
          <cell r="C44">
            <v>11214</v>
          </cell>
        </row>
        <row r="45">
          <cell r="C45">
            <v>11215</v>
          </cell>
        </row>
        <row r="46">
          <cell r="C46">
            <v>11216</v>
          </cell>
        </row>
        <row r="47">
          <cell r="C47">
            <v>11217</v>
          </cell>
        </row>
        <row r="48">
          <cell r="C48">
            <v>11218</v>
          </cell>
        </row>
        <row r="49">
          <cell r="C49">
            <v>11219</v>
          </cell>
        </row>
        <row r="50">
          <cell r="C50">
            <v>112</v>
          </cell>
        </row>
        <row r="53">
          <cell r="C53">
            <v>11301</v>
          </cell>
        </row>
        <row r="54">
          <cell r="C54">
            <v>11302</v>
          </cell>
        </row>
        <row r="55">
          <cell r="C55">
            <v>11303</v>
          </cell>
        </row>
        <row r="56">
          <cell r="C56">
            <v>11304</v>
          </cell>
        </row>
        <row r="57">
          <cell r="C57">
            <v>11305</v>
          </cell>
        </row>
        <row r="58">
          <cell r="C58">
            <v>11306</v>
          </cell>
        </row>
        <row r="59">
          <cell r="C59">
            <v>11307</v>
          </cell>
        </row>
        <row r="60">
          <cell r="C60">
            <v>11308</v>
          </cell>
        </row>
        <row r="61">
          <cell r="C61">
            <v>11309</v>
          </cell>
        </row>
        <row r="62">
          <cell r="C62">
            <v>11310</v>
          </cell>
        </row>
        <row r="63">
          <cell r="C63">
            <v>11311</v>
          </cell>
        </row>
        <row r="64">
          <cell r="C64">
            <v>11312</v>
          </cell>
        </row>
        <row r="65">
          <cell r="C65">
            <v>11313</v>
          </cell>
        </row>
        <row r="66">
          <cell r="C66">
            <v>11314</v>
          </cell>
        </row>
        <row r="67">
          <cell r="C67">
            <v>11315</v>
          </cell>
        </row>
        <row r="68">
          <cell r="C68">
            <v>11316</v>
          </cell>
        </row>
        <row r="69">
          <cell r="C69">
            <v>11317</v>
          </cell>
        </row>
        <row r="70">
          <cell r="C70">
            <v>11318</v>
          </cell>
        </row>
        <row r="71">
          <cell r="C71">
            <v>11319</v>
          </cell>
        </row>
        <row r="72">
          <cell r="C72">
            <v>113</v>
          </cell>
        </row>
        <row r="75">
          <cell r="C75">
            <v>11401</v>
          </cell>
        </row>
        <row r="76">
          <cell r="C76">
            <v>11402</v>
          </cell>
        </row>
        <row r="77">
          <cell r="C77">
            <v>11403</v>
          </cell>
        </row>
        <row r="78">
          <cell r="C78">
            <v>11404</v>
          </cell>
        </row>
        <row r="79">
          <cell r="C79">
            <v>11405</v>
          </cell>
        </row>
        <row r="80">
          <cell r="C80">
            <v>11406</v>
          </cell>
        </row>
        <row r="81">
          <cell r="C81">
            <v>11407</v>
          </cell>
        </row>
        <row r="82">
          <cell r="C82">
            <v>11408</v>
          </cell>
        </row>
        <row r="83">
          <cell r="C83">
            <v>11409</v>
          </cell>
        </row>
        <row r="84">
          <cell r="C84">
            <v>11410</v>
          </cell>
        </row>
        <row r="85">
          <cell r="C85">
            <v>11411</v>
          </cell>
        </row>
        <row r="86">
          <cell r="C86">
            <v>11412</v>
          </cell>
        </row>
        <row r="87">
          <cell r="C87">
            <v>11413</v>
          </cell>
        </row>
        <row r="88">
          <cell r="C88">
            <v>11414</v>
          </cell>
        </row>
        <row r="89">
          <cell r="C89">
            <v>11415</v>
          </cell>
        </row>
        <row r="90">
          <cell r="C90">
            <v>11416</v>
          </cell>
        </row>
        <row r="91">
          <cell r="C91">
            <v>114</v>
          </cell>
        </row>
        <row r="94">
          <cell r="C94">
            <v>11501</v>
          </cell>
        </row>
        <row r="95">
          <cell r="C95">
            <v>11502</v>
          </cell>
        </row>
        <row r="96">
          <cell r="C96">
            <v>11503</v>
          </cell>
        </row>
        <row r="97">
          <cell r="C97">
            <v>115</v>
          </cell>
        </row>
        <row r="100">
          <cell r="C100">
            <v>11601</v>
          </cell>
        </row>
        <row r="101">
          <cell r="C101">
            <v>11602</v>
          </cell>
        </row>
        <row r="102">
          <cell r="C102">
            <v>11603</v>
          </cell>
        </row>
        <row r="103">
          <cell r="C103">
            <v>116</v>
          </cell>
        </row>
        <row r="108">
          <cell r="C108">
            <v>12101</v>
          </cell>
        </row>
        <row r="109">
          <cell r="C109">
            <v>12102</v>
          </cell>
        </row>
        <row r="110">
          <cell r="C110">
            <v>12103</v>
          </cell>
        </row>
        <row r="111">
          <cell r="C111">
            <v>12104</v>
          </cell>
        </row>
        <row r="112">
          <cell r="C112">
            <v>12105</v>
          </cell>
        </row>
        <row r="113">
          <cell r="C113">
            <v>12106</v>
          </cell>
        </row>
        <row r="114">
          <cell r="C114">
            <v>12107</v>
          </cell>
        </row>
        <row r="116">
          <cell r="C116">
            <v>121</v>
          </cell>
        </row>
        <row r="119">
          <cell r="C119">
            <v>12201</v>
          </cell>
        </row>
        <row r="120">
          <cell r="C120">
            <v>12202</v>
          </cell>
        </row>
        <row r="121">
          <cell r="C121">
            <v>12203</v>
          </cell>
        </row>
        <row r="122">
          <cell r="C122">
            <v>12204</v>
          </cell>
        </row>
        <row r="123">
          <cell r="C123">
            <v>12205</v>
          </cell>
        </row>
        <row r="124">
          <cell r="C124">
            <v>12206</v>
          </cell>
        </row>
        <row r="125">
          <cell r="C125">
            <v>12207</v>
          </cell>
        </row>
        <row r="126">
          <cell r="C126">
            <v>12208</v>
          </cell>
        </row>
        <row r="127">
          <cell r="C127">
            <v>122</v>
          </cell>
        </row>
        <row r="130">
          <cell r="C130">
            <v>12301</v>
          </cell>
        </row>
        <row r="131">
          <cell r="C131">
            <v>12302</v>
          </cell>
        </row>
        <row r="132">
          <cell r="C132">
            <v>12303</v>
          </cell>
        </row>
        <row r="133">
          <cell r="C133">
            <v>12304</v>
          </cell>
        </row>
        <row r="134">
          <cell r="C134">
            <v>12305</v>
          </cell>
        </row>
        <row r="135">
          <cell r="C135">
            <v>12306</v>
          </cell>
        </row>
        <row r="136">
          <cell r="C136">
            <v>12307</v>
          </cell>
        </row>
        <row r="137">
          <cell r="C137">
            <v>12308</v>
          </cell>
        </row>
        <row r="138">
          <cell r="C138">
            <v>123</v>
          </cell>
        </row>
        <row r="141">
          <cell r="C141">
            <v>12401</v>
          </cell>
        </row>
        <row r="142">
          <cell r="C142">
            <v>12402</v>
          </cell>
        </row>
        <row r="143">
          <cell r="C143">
            <v>12403</v>
          </cell>
        </row>
        <row r="144">
          <cell r="C144">
            <v>12404</v>
          </cell>
        </row>
        <row r="145">
          <cell r="C145">
            <v>12405</v>
          </cell>
        </row>
        <row r="146">
          <cell r="C146">
            <v>12406</v>
          </cell>
        </row>
        <row r="147">
          <cell r="C147">
            <v>12407</v>
          </cell>
        </row>
        <row r="148">
          <cell r="C148">
            <v>124</v>
          </cell>
        </row>
        <row r="151">
          <cell r="C151">
            <v>12501</v>
          </cell>
        </row>
        <row r="152">
          <cell r="C152">
            <v>12502</v>
          </cell>
        </row>
        <row r="153">
          <cell r="C153">
            <v>12503</v>
          </cell>
        </row>
        <row r="154">
          <cell r="C154">
            <v>12504</v>
          </cell>
        </row>
        <row r="155">
          <cell r="C155">
            <v>125</v>
          </cell>
        </row>
        <row r="158">
          <cell r="C158">
            <v>12601</v>
          </cell>
        </row>
        <row r="159">
          <cell r="C159">
            <v>12605</v>
          </cell>
        </row>
        <row r="160">
          <cell r="C160">
            <v>12606</v>
          </cell>
        </row>
        <row r="161">
          <cell r="C161">
            <v>126</v>
          </cell>
        </row>
        <row r="167">
          <cell r="C167">
            <v>13101</v>
          </cell>
        </row>
        <row r="168">
          <cell r="C168">
            <v>131</v>
          </cell>
        </row>
        <row r="171">
          <cell r="C171">
            <v>13201</v>
          </cell>
        </row>
        <row r="176">
          <cell r="C176">
            <v>14101</v>
          </cell>
        </row>
        <row r="177">
          <cell r="C177">
            <v>14102</v>
          </cell>
        </row>
        <row r="178">
          <cell r="C178">
            <v>14103</v>
          </cell>
        </row>
        <row r="179">
          <cell r="C179">
            <v>14104</v>
          </cell>
        </row>
        <row r="180">
          <cell r="C180">
            <v>141</v>
          </cell>
        </row>
        <row r="183">
          <cell r="C183">
            <v>14201</v>
          </cell>
        </row>
        <row r="184">
          <cell r="C184">
            <v>14202</v>
          </cell>
        </row>
        <row r="185">
          <cell r="C185">
            <v>14203</v>
          </cell>
        </row>
        <row r="186">
          <cell r="C186">
            <v>14204</v>
          </cell>
        </row>
        <row r="187">
          <cell r="C187">
            <v>14205</v>
          </cell>
        </row>
        <row r="188">
          <cell r="C188">
            <v>142</v>
          </cell>
        </row>
        <row r="193">
          <cell r="C193">
            <v>16101</v>
          </cell>
        </row>
        <row r="194">
          <cell r="C194">
            <v>16104</v>
          </cell>
        </row>
        <row r="195">
          <cell r="C195">
            <v>16105</v>
          </cell>
        </row>
        <row r="196">
          <cell r="C196">
            <v>161</v>
          </cell>
        </row>
        <row r="201">
          <cell r="C201">
            <v>17101</v>
          </cell>
        </row>
        <row r="202">
          <cell r="C202">
            <v>17103</v>
          </cell>
        </row>
        <row r="203">
          <cell r="C203">
            <v>171</v>
          </cell>
        </row>
        <row r="206">
          <cell r="C206">
            <v>17201</v>
          </cell>
        </row>
        <row r="207">
          <cell r="C207">
            <v>17202</v>
          </cell>
        </row>
        <row r="208">
          <cell r="C208">
            <v>17203</v>
          </cell>
        </row>
        <row r="209">
          <cell r="C209">
            <v>17204</v>
          </cell>
        </row>
        <row r="210">
          <cell r="C210">
            <v>17205</v>
          </cell>
        </row>
        <row r="211">
          <cell r="C211">
            <v>172</v>
          </cell>
        </row>
        <row r="214">
          <cell r="C214">
            <v>17301</v>
          </cell>
        </row>
        <row r="215">
          <cell r="C215">
            <v>17302</v>
          </cell>
        </row>
        <row r="216">
          <cell r="C216">
            <v>17303</v>
          </cell>
        </row>
        <row r="217">
          <cell r="C217">
            <v>17304</v>
          </cell>
        </row>
        <row r="218">
          <cell r="C218">
            <v>17305</v>
          </cell>
        </row>
        <row r="219">
          <cell r="C219">
            <v>17306</v>
          </cell>
        </row>
        <row r="220">
          <cell r="C220">
            <v>17307</v>
          </cell>
        </row>
        <row r="221">
          <cell r="C221">
            <v>17308</v>
          </cell>
        </row>
        <row r="222">
          <cell r="C222">
            <v>17309</v>
          </cell>
        </row>
        <row r="223">
          <cell r="C223">
            <v>17310</v>
          </cell>
        </row>
        <row r="224">
          <cell r="C224">
            <v>17311</v>
          </cell>
        </row>
        <row r="225">
          <cell r="C225">
            <v>17312</v>
          </cell>
        </row>
        <row r="226">
          <cell r="C226">
            <v>17313</v>
          </cell>
        </row>
        <row r="227">
          <cell r="C227">
            <v>17314</v>
          </cell>
        </row>
        <row r="228">
          <cell r="C228">
            <v>17315</v>
          </cell>
        </row>
        <row r="229">
          <cell r="C229">
            <v>17316</v>
          </cell>
        </row>
        <row r="230">
          <cell r="C230">
            <v>17317</v>
          </cell>
        </row>
        <row r="231">
          <cell r="C231">
            <v>17318</v>
          </cell>
        </row>
        <row r="232">
          <cell r="C232">
            <v>17323</v>
          </cell>
        </row>
        <row r="233">
          <cell r="C233">
            <v>173</v>
          </cell>
        </row>
        <row r="235">
          <cell r="C235">
            <v>10000</v>
          </cell>
        </row>
        <row r="240">
          <cell r="C240">
            <v>21101</v>
          </cell>
        </row>
        <row r="241">
          <cell r="C241">
            <v>21102</v>
          </cell>
        </row>
        <row r="242">
          <cell r="C242">
            <v>21103</v>
          </cell>
        </row>
        <row r="243">
          <cell r="C243">
            <v>21104</v>
          </cell>
        </row>
        <row r="244">
          <cell r="C244">
            <v>211</v>
          </cell>
        </row>
        <row r="247">
          <cell r="C247">
            <v>21201</v>
          </cell>
        </row>
        <row r="248">
          <cell r="C248">
            <v>21202</v>
          </cell>
        </row>
        <row r="249">
          <cell r="C249">
            <v>21203</v>
          </cell>
        </row>
        <row r="250">
          <cell r="C250">
            <v>21204</v>
          </cell>
        </row>
        <row r="251">
          <cell r="C251">
            <v>212</v>
          </cell>
        </row>
        <row r="254">
          <cell r="C254">
            <v>21301</v>
          </cell>
        </row>
        <row r="255">
          <cell r="C255">
            <v>21302</v>
          </cell>
        </row>
        <row r="256">
          <cell r="C256">
            <v>21303</v>
          </cell>
        </row>
        <row r="257">
          <cell r="C257">
            <v>21304</v>
          </cell>
        </row>
        <row r="258">
          <cell r="C258">
            <v>213</v>
          </cell>
        </row>
        <row r="263">
          <cell r="C263">
            <v>22101</v>
          </cell>
        </row>
        <row r="264">
          <cell r="C264">
            <v>22102</v>
          </cell>
        </row>
        <row r="265">
          <cell r="C265">
            <v>22103</v>
          </cell>
        </row>
        <row r="266">
          <cell r="C266">
            <v>22104</v>
          </cell>
        </row>
        <row r="267">
          <cell r="C267">
            <v>22105</v>
          </cell>
        </row>
        <row r="268">
          <cell r="C268">
            <v>22106</v>
          </cell>
        </row>
        <row r="269">
          <cell r="C269">
            <v>22107</v>
          </cell>
        </row>
        <row r="270">
          <cell r="C270">
            <v>22108</v>
          </cell>
        </row>
        <row r="271">
          <cell r="C271">
            <v>22109</v>
          </cell>
        </row>
        <row r="272">
          <cell r="C272">
            <v>22110</v>
          </cell>
        </row>
        <row r="273">
          <cell r="C273">
            <v>22111</v>
          </cell>
        </row>
        <row r="274">
          <cell r="C274">
            <v>22112</v>
          </cell>
        </row>
        <row r="275">
          <cell r="C275">
            <v>22113</v>
          </cell>
        </row>
        <row r="276">
          <cell r="C276">
            <v>22114</v>
          </cell>
        </row>
        <row r="277">
          <cell r="C277">
            <v>221</v>
          </cell>
        </row>
        <row r="280">
          <cell r="C280">
            <v>22201</v>
          </cell>
        </row>
        <row r="281">
          <cell r="C281">
            <v>22202</v>
          </cell>
        </row>
        <row r="282">
          <cell r="C282">
            <v>22203</v>
          </cell>
        </row>
        <row r="283">
          <cell r="C283">
            <v>22204</v>
          </cell>
        </row>
        <row r="284">
          <cell r="C284">
            <v>22205</v>
          </cell>
        </row>
        <row r="285">
          <cell r="C285">
            <v>22206</v>
          </cell>
        </row>
        <row r="286">
          <cell r="C286">
            <v>22207</v>
          </cell>
        </row>
        <row r="287">
          <cell r="C287">
            <v>22208</v>
          </cell>
        </row>
        <row r="288">
          <cell r="C288">
            <v>22209</v>
          </cell>
        </row>
        <row r="289">
          <cell r="C289">
            <v>22210</v>
          </cell>
        </row>
        <row r="290">
          <cell r="C290">
            <v>22211</v>
          </cell>
        </row>
        <row r="291">
          <cell r="C291">
            <v>22212</v>
          </cell>
        </row>
        <row r="292">
          <cell r="C292">
            <v>22213</v>
          </cell>
        </row>
        <row r="293">
          <cell r="C293">
            <v>22214</v>
          </cell>
        </row>
        <row r="294">
          <cell r="C294">
            <v>22215</v>
          </cell>
        </row>
        <row r="295">
          <cell r="C295">
            <v>22216</v>
          </cell>
        </row>
        <row r="296">
          <cell r="C296">
            <v>222</v>
          </cell>
        </row>
        <row r="299">
          <cell r="C299">
            <v>22301</v>
          </cell>
        </row>
        <row r="300">
          <cell r="C300">
            <v>22302</v>
          </cell>
        </row>
        <row r="301">
          <cell r="C301">
            <v>22303</v>
          </cell>
        </row>
        <row r="302">
          <cell r="C302">
            <v>22304</v>
          </cell>
        </row>
        <row r="303">
          <cell r="C303">
            <v>22305</v>
          </cell>
        </row>
        <row r="304">
          <cell r="C304">
            <v>22306</v>
          </cell>
        </row>
        <row r="305">
          <cell r="C305">
            <v>22307</v>
          </cell>
        </row>
        <row r="306">
          <cell r="C306">
            <v>22308</v>
          </cell>
        </row>
        <row r="307">
          <cell r="C307">
            <v>22309</v>
          </cell>
        </row>
        <row r="308">
          <cell r="C308">
            <v>22310</v>
          </cell>
        </row>
        <row r="309">
          <cell r="C309">
            <v>22311</v>
          </cell>
        </row>
        <row r="310">
          <cell r="C310">
            <v>22312</v>
          </cell>
        </row>
        <row r="311">
          <cell r="C311">
            <v>22313</v>
          </cell>
        </row>
        <row r="312">
          <cell r="C312">
            <v>22314</v>
          </cell>
        </row>
        <row r="313">
          <cell r="C313">
            <v>22315</v>
          </cell>
        </row>
        <row r="314">
          <cell r="C314">
            <v>22316</v>
          </cell>
        </row>
        <row r="315">
          <cell r="C315">
            <v>223</v>
          </cell>
        </row>
        <row r="320">
          <cell r="C320">
            <v>23101</v>
          </cell>
        </row>
        <row r="321">
          <cell r="C321">
            <v>23103</v>
          </cell>
        </row>
        <row r="322">
          <cell r="C322">
            <v>231</v>
          </cell>
        </row>
        <row r="327">
          <cell r="C327">
            <v>24101</v>
          </cell>
        </row>
        <row r="328">
          <cell r="C328">
            <v>24102</v>
          </cell>
        </row>
        <row r="329">
          <cell r="C329">
            <v>24103</v>
          </cell>
        </row>
        <row r="330">
          <cell r="C330">
            <v>24104</v>
          </cell>
        </row>
        <row r="331">
          <cell r="C331">
            <v>24105</v>
          </cell>
        </row>
        <row r="332">
          <cell r="C332">
            <v>24107</v>
          </cell>
        </row>
        <row r="334">
          <cell r="C334">
            <v>241</v>
          </cell>
        </row>
        <row r="337">
          <cell r="C337">
            <v>24201</v>
          </cell>
        </row>
        <row r="338">
          <cell r="C338">
            <v>24203</v>
          </cell>
        </row>
        <row r="339">
          <cell r="C339">
            <v>24205</v>
          </cell>
        </row>
        <row r="340">
          <cell r="C340">
            <v>24206</v>
          </cell>
        </row>
        <row r="341">
          <cell r="C341">
            <v>24207</v>
          </cell>
        </row>
        <row r="342">
          <cell r="C342">
            <v>242</v>
          </cell>
        </row>
        <row r="347">
          <cell r="C347">
            <v>25101</v>
          </cell>
        </row>
        <row r="348">
          <cell r="C348">
            <v>251</v>
          </cell>
        </row>
        <row r="351">
          <cell r="C351">
            <v>25201</v>
          </cell>
        </row>
        <row r="356">
          <cell r="C356">
            <v>26101</v>
          </cell>
        </row>
        <row r="357">
          <cell r="C357">
            <v>26102</v>
          </cell>
        </row>
        <row r="358">
          <cell r="C358">
            <v>26103</v>
          </cell>
        </row>
        <row r="359">
          <cell r="C359">
            <v>26104</v>
          </cell>
        </row>
        <row r="360">
          <cell r="C360">
            <v>26105</v>
          </cell>
        </row>
        <row r="361">
          <cell r="C361">
            <v>26106</v>
          </cell>
        </row>
        <row r="362">
          <cell r="C362">
            <v>26107</v>
          </cell>
        </row>
        <row r="363">
          <cell r="C363">
            <v>26108</v>
          </cell>
        </row>
        <row r="364">
          <cell r="C364">
            <v>26109</v>
          </cell>
        </row>
        <row r="365">
          <cell r="C365">
            <v>261</v>
          </cell>
        </row>
        <row r="368">
          <cell r="C368">
            <v>26214</v>
          </cell>
        </row>
        <row r="373">
          <cell r="C373">
            <v>28101</v>
          </cell>
        </row>
        <row r="374">
          <cell r="C374">
            <v>28102</v>
          </cell>
        </row>
        <row r="375">
          <cell r="C375">
            <v>28103</v>
          </cell>
        </row>
        <row r="376">
          <cell r="C376">
            <v>28104</v>
          </cell>
        </row>
        <row r="377">
          <cell r="C377">
            <v>28105</v>
          </cell>
        </row>
        <row r="378">
          <cell r="C378">
            <v>28106</v>
          </cell>
        </row>
        <row r="379">
          <cell r="C379">
            <v>28107</v>
          </cell>
        </row>
        <row r="380">
          <cell r="C380">
            <v>28108</v>
          </cell>
        </row>
        <row r="381">
          <cell r="C381">
            <v>28109</v>
          </cell>
        </row>
        <row r="382">
          <cell r="C382">
            <v>28110</v>
          </cell>
        </row>
        <row r="383">
          <cell r="C383">
            <v>28111</v>
          </cell>
        </row>
        <row r="384">
          <cell r="C384">
            <v>28112</v>
          </cell>
        </row>
        <row r="385">
          <cell r="C385">
            <v>281</v>
          </cell>
        </row>
        <row r="390">
          <cell r="C390">
            <v>29101</v>
          </cell>
        </row>
        <row r="391">
          <cell r="C391">
            <v>29103</v>
          </cell>
        </row>
        <row r="392">
          <cell r="C392">
            <v>291</v>
          </cell>
        </row>
        <row r="395">
          <cell r="C395">
            <v>29201</v>
          </cell>
        </row>
        <row r="396">
          <cell r="C396">
            <v>29202</v>
          </cell>
        </row>
        <row r="397">
          <cell r="C397">
            <v>29203</v>
          </cell>
        </row>
        <row r="398">
          <cell r="C398">
            <v>29204</v>
          </cell>
        </row>
        <row r="399">
          <cell r="C399">
            <v>29205</v>
          </cell>
        </row>
        <row r="400">
          <cell r="C400">
            <v>292</v>
          </cell>
        </row>
        <row r="403">
          <cell r="C403">
            <v>29301</v>
          </cell>
        </row>
        <row r="404">
          <cell r="C404">
            <v>29302</v>
          </cell>
        </row>
        <row r="405">
          <cell r="C405">
            <v>29303</v>
          </cell>
        </row>
        <row r="406">
          <cell r="C406">
            <v>29304</v>
          </cell>
        </row>
        <row r="407">
          <cell r="C407">
            <v>29306</v>
          </cell>
        </row>
        <row r="408">
          <cell r="C408">
            <v>29307</v>
          </cell>
        </row>
        <row r="409">
          <cell r="C409">
            <v>29312</v>
          </cell>
        </row>
        <row r="410">
          <cell r="C410">
            <v>29314</v>
          </cell>
        </row>
        <row r="411">
          <cell r="C411">
            <v>29315</v>
          </cell>
        </row>
        <row r="412">
          <cell r="C412">
            <v>29316</v>
          </cell>
        </row>
        <row r="413">
          <cell r="C413">
            <v>29317</v>
          </cell>
        </row>
        <row r="414">
          <cell r="C414">
            <v>29318</v>
          </cell>
        </row>
        <row r="415">
          <cell r="C415">
            <v>29319</v>
          </cell>
        </row>
        <row r="416">
          <cell r="C416">
            <v>29320</v>
          </cell>
        </row>
        <row r="417">
          <cell r="C417">
            <v>29321</v>
          </cell>
        </row>
        <row r="418">
          <cell r="C418">
            <v>29322</v>
          </cell>
        </row>
        <row r="420">
          <cell r="C420">
            <v>29323</v>
          </cell>
        </row>
        <row r="421">
          <cell r="C421">
            <v>29324</v>
          </cell>
        </row>
        <row r="422">
          <cell r="C422">
            <v>29325</v>
          </cell>
        </row>
        <row r="423">
          <cell r="C423">
            <v>29326</v>
          </cell>
        </row>
        <row r="424">
          <cell r="C424">
            <v>29327</v>
          </cell>
        </row>
        <row r="425">
          <cell r="C425">
            <v>29328</v>
          </cell>
        </row>
        <row r="426">
          <cell r="C426">
            <v>29329</v>
          </cell>
        </row>
        <row r="427">
          <cell r="C427">
            <v>293</v>
          </cell>
        </row>
        <row r="430">
          <cell r="C430">
            <v>29401</v>
          </cell>
        </row>
        <row r="431">
          <cell r="C431">
            <v>29417</v>
          </cell>
        </row>
        <row r="432">
          <cell r="C432">
            <v>29402</v>
          </cell>
        </row>
        <row r="433">
          <cell r="C433">
            <v>29403</v>
          </cell>
        </row>
        <row r="434">
          <cell r="C434">
            <v>29404</v>
          </cell>
        </row>
        <row r="435">
          <cell r="C435">
            <v>29405</v>
          </cell>
        </row>
        <row r="436">
          <cell r="C436">
            <v>29406</v>
          </cell>
        </row>
        <row r="437">
          <cell r="C437">
            <v>29407</v>
          </cell>
        </row>
        <row r="438">
          <cell r="C438">
            <v>29409</v>
          </cell>
        </row>
        <row r="439">
          <cell r="C439">
            <v>29410</v>
          </cell>
        </row>
        <row r="440">
          <cell r="C440">
            <v>29411</v>
          </cell>
        </row>
        <row r="441">
          <cell r="C441">
            <v>29412</v>
          </cell>
        </row>
        <row r="442">
          <cell r="C442">
            <v>29413</v>
          </cell>
        </row>
        <row r="443">
          <cell r="C443">
            <v>29414</v>
          </cell>
        </row>
        <row r="444">
          <cell r="C444">
            <v>29415</v>
          </cell>
        </row>
        <row r="445">
          <cell r="C445">
            <v>29416</v>
          </cell>
        </row>
        <row r="446">
          <cell r="C446">
            <v>29418</v>
          </cell>
        </row>
        <row r="447">
          <cell r="C447">
            <v>29419</v>
          </cell>
        </row>
        <row r="448">
          <cell r="C448">
            <v>29420</v>
          </cell>
        </row>
        <row r="449">
          <cell r="C449">
            <v>29421</v>
          </cell>
        </row>
        <row r="450">
          <cell r="C450">
            <v>29422</v>
          </cell>
        </row>
        <row r="451">
          <cell r="C451">
            <v>29423</v>
          </cell>
        </row>
        <row r="452">
          <cell r="C452">
            <v>29425</v>
          </cell>
        </row>
        <row r="453">
          <cell r="C453">
            <v>294</v>
          </cell>
        </row>
        <row r="455">
          <cell r="C455">
            <v>20000</v>
          </cell>
        </row>
        <row r="458">
          <cell r="C458">
            <v>35001</v>
          </cell>
        </row>
        <row r="460">
          <cell r="C460">
            <v>33001</v>
          </cell>
        </row>
        <row r="461">
          <cell r="C461">
            <v>33002</v>
          </cell>
        </row>
      </sheetData>
      <sheetData sheetId="2" refreshError="1">
        <row r="2">
          <cell r="D2" t="str">
            <v>01.10.2004</v>
          </cell>
        </row>
        <row r="10">
          <cell r="C10">
            <v>11101</v>
          </cell>
        </row>
        <row r="11">
          <cell r="C11">
            <v>11102</v>
          </cell>
        </row>
        <row r="12">
          <cell r="C12">
            <v>11103</v>
          </cell>
        </row>
        <row r="13">
          <cell r="C13">
            <v>11104</v>
          </cell>
        </row>
        <row r="14">
          <cell r="C14">
            <v>11105</v>
          </cell>
        </row>
        <row r="15">
          <cell r="C15">
            <v>11106</v>
          </cell>
        </row>
        <row r="16">
          <cell r="C16">
            <v>11107</v>
          </cell>
        </row>
        <row r="17">
          <cell r="C17">
            <v>11108</v>
          </cell>
        </row>
        <row r="18">
          <cell r="C18">
            <v>11109</v>
          </cell>
        </row>
        <row r="19">
          <cell r="C19">
            <v>11110</v>
          </cell>
        </row>
        <row r="20">
          <cell r="C20">
            <v>11111</v>
          </cell>
        </row>
        <row r="21">
          <cell r="C21">
            <v>11112</v>
          </cell>
        </row>
        <row r="22">
          <cell r="C22">
            <v>11113</v>
          </cell>
        </row>
        <row r="23">
          <cell r="C23">
            <v>11114</v>
          </cell>
        </row>
        <row r="24">
          <cell r="C24">
            <v>11115</v>
          </cell>
        </row>
        <row r="25">
          <cell r="C25">
            <v>11116</v>
          </cell>
        </row>
        <row r="26">
          <cell r="C26">
            <v>11117</v>
          </cell>
        </row>
        <row r="27">
          <cell r="C27">
            <v>11118</v>
          </cell>
        </row>
        <row r="28">
          <cell r="C28">
            <v>11119</v>
          </cell>
        </row>
        <row r="29">
          <cell r="C29">
            <v>111</v>
          </cell>
        </row>
        <row r="31">
          <cell r="C31">
            <v>11201</v>
          </cell>
        </row>
        <row r="32">
          <cell r="C32">
            <v>11202</v>
          </cell>
        </row>
        <row r="33">
          <cell r="C33">
            <v>11203</v>
          </cell>
        </row>
        <row r="34">
          <cell r="C34">
            <v>11204</v>
          </cell>
        </row>
        <row r="35">
          <cell r="C35">
            <v>11205</v>
          </cell>
        </row>
        <row r="36">
          <cell r="C36">
            <v>11206</v>
          </cell>
        </row>
        <row r="37">
          <cell r="C37">
            <v>11207</v>
          </cell>
        </row>
        <row r="38">
          <cell r="C38">
            <v>11208</v>
          </cell>
        </row>
        <row r="39">
          <cell r="C39">
            <v>11209</v>
          </cell>
        </row>
        <row r="40">
          <cell r="C40">
            <v>11210</v>
          </cell>
        </row>
        <row r="41">
          <cell r="C41">
            <v>11211</v>
          </cell>
        </row>
        <row r="42">
          <cell r="C42">
            <v>11212</v>
          </cell>
        </row>
        <row r="43">
          <cell r="C43">
            <v>11213</v>
          </cell>
        </row>
        <row r="44">
          <cell r="C44">
            <v>11214</v>
          </cell>
        </row>
        <row r="45">
          <cell r="C45">
            <v>11215</v>
          </cell>
        </row>
        <row r="46">
          <cell r="C46">
            <v>11216</v>
          </cell>
        </row>
        <row r="47">
          <cell r="C47">
            <v>11217</v>
          </cell>
        </row>
        <row r="48">
          <cell r="C48">
            <v>11218</v>
          </cell>
        </row>
        <row r="49">
          <cell r="C49">
            <v>11219</v>
          </cell>
        </row>
        <row r="50">
          <cell r="C50">
            <v>112</v>
          </cell>
        </row>
        <row r="53">
          <cell r="C53">
            <v>11301</v>
          </cell>
        </row>
        <row r="54">
          <cell r="C54">
            <v>11302</v>
          </cell>
        </row>
        <row r="55">
          <cell r="C55">
            <v>11303</v>
          </cell>
        </row>
        <row r="56">
          <cell r="C56">
            <v>11304</v>
          </cell>
        </row>
        <row r="57">
          <cell r="C57">
            <v>11305</v>
          </cell>
        </row>
        <row r="58">
          <cell r="C58">
            <v>11306</v>
          </cell>
        </row>
        <row r="59">
          <cell r="C59">
            <v>11307</v>
          </cell>
        </row>
        <row r="60">
          <cell r="C60">
            <v>11308</v>
          </cell>
        </row>
        <row r="61">
          <cell r="C61">
            <v>11309</v>
          </cell>
        </row>
        <row r="62">
          <cell r="C62">
            <v>11310</v>
          </cell>
        </row>
        <row r="63">
          <cell r="C63">
            <v>11311</v>
          </cell>
        </row>
        <row r="64">
          <cell r="C64">
            <v>11312</v>
          </cell>
        </row>
        <row r="65">
          <cell r="C65">
            <v>11313</v>
          </cell>
        </row>
        <row r="66">
          <cell r="C66">
            <v>11314</v>
          </cell>
        </row>
        <row r="67">
          <cell r="C67">
            <v>11315</v>
          </cell>
        </row>
        <row r="68">
          <cell r="C68">
            <v>11316</v>
          </cell>
        </row>
        <row r="69">
          <cell r="C69">
            <v>11317</v>
          </cell>
        </row>
        <row r="70">
          <cell r="C70">
            <v>11318</v>
          </cell>
        </row>
        <row r="71">
          <cell r="C71">
            <v>11319</v>
          </cell>
        </row>
        <row r="72">
          <cell r="C72">
            <v>113</v>
          </cell>
        </row>
        <row r="75">
          <cell r="C75">
            <v>11401</v>
          </cell>
        </row>
        <row r="76">
          <cell r="C76">
            <v>11402</v>
          </cell>
        </row>
        <row r="77">
          <cell r="C77">
            <v>11403</v>
          </cell>
        </row>
        <row r="78">
          <cell r="C78">
            <v>11404</v>
          </cell>
        </row>
        <row r="79">
          <cell r="C79">
            <v>11405</v>
          </cell>
        </row>
        <row r="80">
          <cell r="C80">
            <v>11406</v>
          </cell>
        </row>
        <row r="81">
          <cell r="C81">
            <v>11407</v>
          </cell>
        </row>
        <row r="82">
          <cell r="C82">
            <v>11408</v>
          </cell>
        </row>
        <row r="83">
          <cell r="C83">
            <v>11409</v>
          </cell>
        </row>
        <row r="84">
          <cell r="C84">
            <v>11410</v>
          </cell>
        </row>
        <row r="85">
          <cell r="C85">
            <v>11411</v>
          </cell>
        </row>
        <row r="86">
          <cell r="C86">
            <v>11412</v>
          </cell>
        </row>
        <row r="87">
          <cell r="C87">
            <v>11413</v>
          </cell>
        </row>
        <row r="88">
          <cell r="C88">
            <v>11414</v>
          </cell>
        </row>
        <row r="89">
          <cell r="C89">
            <v>11415</v>
          </cell>
        </row>
        <row r="90">
          <cell r="C90">
            <v>11416</v>
          </cell>
        </row>
        <row r="91">
          <cell r="C91">
            <v>114</v>
          </cell>
        </row>
        <row r="94">
          <cell r="C94">
            <v>11501</v>
          </cell>
        </row>
        <row r="95">
          <cell r="C95">
            <v>11502</v>
          </cell>
        </row>
        <row r="96">
          <cell r="C96">
            <v>11503</v>
          </cell>
        </row>
        <row r="97">
          <cell r="C97">
            <v>115</v>
          </cell>
        </row>
        <row r="100">
          <cell r="C100">
            <v>11601</v>
          </cell>
        </row>
        <row r="101">
          <cell r="C101">
            <v>11602</v>
          </cell>
        </row>
        <row r="102">
          <cell r="C102">
            <v>11603</v>
          </cell>
        </row>
        <row r="103">
          <cell r="C103">
            <v>116</v>
          </cell>
        </row>
        <row r="108">
          <cell r="C108">
            <v>12101</v>
          </cell>
        </row>
        <row r="109">
          <cell r="C109">
            <v>12102</v>
          </cell>
        </row>
        <row r="110">
          <cell r="C110">
            <v>12103</v>
          </cell>
        </row>
        <row r="111">
          <cell r="C111">
            <v>12104</v>
          </cell>
        </row>
        <row r="112">
          <cell r="C112">
            <v>12105</v>
          </cell>
        </row>
        <row r="113">
          <cell r="C113">
            <v>12106</v>
          </cell>
        </row>
        <row r="114">
          <cell r="C114">
            <v>12107</v>
          </cell>
        </row>
        <row r="116">
          <cell r="C116">
            <v>121</v>
          </cell>
        </row>
        <row r="119">
          <cell r="C119">
            <v>12201</v>
          </cell>
        </row>
        <row r="120">
          <cell r="C120">
            <v>12202</v>
          </cell>
        </row>
        <row r="121">
          <cell r="C121">
            <v>12203</v>
          </cell>
        </row>
        <row r="122">
          <cell r="C122">
            <v>12204</v>
          </cell>
        </row>
        <row r="123">
          <cell r="C123">
            <v>12205</v>
          </cell>
        </row>
        <row r="124">
          <cell r="C124">
            <v>12206</v>
          </cell>
        </row>
        <row r="125">
          <cell r="C125">
            <v>12207</v>
          </cell>
        </row>
        <row r="126">
          <cell r="C126">
            <v>12208</v>
          </cell>
        </row>
        <row r="127">
          <cell r="C127">
            <v>122</v>
          </cell>
        </row>
        <row r="130">
          <cell r="C130">
            <v>12301</v>
          </cell>
        </row>
        <row r="131">
          <cell r="C131">
            <v>12302</v>
          </cell>
        </row>
        <row r="132">
          <cell r="C132">
            <v>12303</v>
          </cell>
        </row>
        <row r="133">
          <cell r="C133">
            <v>12304</v>
          </cell>
        </row>
        <row r="134">
          <cell r="C134">
            <v>12305</v>
          </cell>
        </row>
        <row r="135">
          <cell r="C135">
            <v>12306</v>
          </cell>
        </row>
        <row r="136">
          <cell r="C136">
            <v>12307</v>
          </cell>
        </row>
        <row r="137">
          <cell r="C137">
            <v>12308</v>
          </cell>
        </row>
        <row r="138">
          <cell r="C138">
            <v>123</v>
          </cell>
        </row>
        <row r="141">
          <cell r="C141">
            <v>12401</v>
          </cell>
        </row>
        <row r="142">
          <cell r="C142">
            <v>12402</v>
          </cell>
        </row>
        <row r="143">
          <cell r="C143">
            <v>12403</v>
          </cell>
        </row>
        <row r="144">
          <cell r="C144">
            <v>12404</v>
          </cell>
        </row>
        <row r="145">
          <cell r="C145">
            <v>12405</v>
          </cell>
        </row>
        <row r="146">
          <cell r="C146">
            <v>12406</v>
          </cell>
        </row>
        <row r="147">
          <cell r="C147">
            <v>12407</v>
          </cell>
        </row>
        <row r="148">
          <cell r="C148">
            <v>124</v>
          </cell>
        </row>
        <row r="151">
          <cell r="C151">
            <v>12501</v>
          </cell>
        </row>
        <row r="152">
          <cell r="C152">
            <v>12502</v>
          </cell>
        </row>
        <row r="153">
          <cell r="C153">
            <v>12503</v>
          </cell>
        </row>
        <row r="154">
          <cell r="C154">
            <v>12504</v>
          </cell>
        </row>
        <row r="155">
          <cell r="C155">
            <v>125</v>
          </cell>
        </row>
        <row r="158">
          <cell r="C158">
            <v>12601</v>
          </cell>
        </row>
        <row r="159">
          <cell r="C159">
            <v>12605</v>
          </cell>
        </row>
        <row r="160">
          <cell r="C160">
            <v>12606</v>
          </cell>
        </row>
        <row r="161">
          <cell r="C161">
            <v>126</v>
          </cell>
        </row>
        <row r="167">
          <cell r="C167">
            <v>13101</v>
          </cell>
        </row>
        <row r="168">
          <cell r="C168">
            <v>131</v>
          </cell>
        </row>
        <row r="171">
          <cell r="C171">
            <v>13201</v>
          </cell>
        </row>
        <row r="176">
          <cell r="C176">
            <v>14101</v>
          </cell>
        </row>
        <row r="177">
          <cell r="C177">
            <v>14102</v>
          </cell>
        </row>
        <row r="178">
          <cell r="C178">
            <v>14103</v>
          </cell>
        </row>
        <row r="179">
          <cell r="C179">
            <v>14104</v>
          </cell>
        </row>
        <row r="180">
          <cell r="C180">
            <v>141</v>
          </cell>
        </row>
        <row r="183">
          <cell r="C183">
            <v>14201</v>
          </cell>
        </row>
        <row r="184">
          <cell r="C184">
            <v>14202</v>
          </cell>
        </row>
        <row r="185">
          <cell r="C185">
            <v>14203</v>
          </cell>
        </row>
        <row r="186">
          <cell r="C186">
            <v>14204</v>
          </cell>
        </row>
        <row r="187">
          <cell r="C187">
            <v>14205</v>
          </cell>
        </row>
        <row r="188">
          <cell r="C188">
            <v>142</v>
          </cell>
        </row>
        <row r="193">
          <cell r="C193">
            <v>16101</v>
          </cell>
        </row>
        <row r="194">
          <cell r="C194">
            <v>16104</v>
          </cell>
        </row>
        <row r="195">
          <cell r="C195">
            <v>16105</v>
          </cell>
        </row>
        <row r="196">
          <cell r="C196">
            <v>161</v>
          </cell>
        </row>
        <row r="201">
          <cell r="C201">
            <v>17101</v>
          </cell>
        </row>
        <row r="202">
          <cell r="C202">
            <v>17103</v>
          </cell>
        </row>
        <row r="203">
          <cell r="C203">
            <v>171</v>
          </cell>
        </row>
        <row r="206">
          <cell r="C206">
            <v>17201</v>
          </cell>
        </row>
        <row r="207">
          <cell r="C207">
            <v>17202</v>
          </cell>
        </row>
        <row r="208">
          <cell r="C208">
            <v>17203</v>
          </cell>
        </row>
        <row r="209">
          <cell r="C209">
            <v>17204</v>
          </cell>
        </row>
        <row r="210">
          <cell r="C210">
            <v>17205</v>
          </cell>
        </row>
        <row r="211">
          <cell r="C211">
            <v>172</v>
          </cell>
        </row>
        <row r="214">
          <cell r="C214">
            <v>17301</v>
          </cell>
        </row>
        <row r="215">
          <cell r="C215">
            <v>17302</v>
          </cell>
        </row>
        <row r="216">
          <cell r="C216">
            <v>17303</v>
          </cell>
        </row>
        <row r="217">
          <cell r="C217">
            <v>17304</v>
          </cell>
        </row>
        <row r="218">
          <cell r="C218">
            <v>17305</v>
          </cell>
        </row>
        <row r="219">
          <cell r="C219">
            <v>17306</v>
          </cell>
        </row>
        <row r="220">
          <cell r="C220">
            <v>17307</v>
          </cell>
        </row>
        <row r="221">
          <cell r="C221">
            <v>17308</v>
          </cell>
        </row>
        <row r="222">
          <cell r="C222">
            <v>17309</v>
          </cell>
        </row>
        <row r="223">
          <cell r="C223">
            <v>17310</v>
          </cell>
        </row>
        <row r="224">
          <cell r="C224">
            <v>17311</v>
          </cell>
        </row>
        <row r="225">
          <cell r="C225">
            <v>17312</v>
          </cell>
        </row>
        <row r="226">
          <cell r="C226">
            <v>17313</v>
          </cell>
        </row>
        <row r="227">
          <cell r="C227">
            <v>17314</v>
          </cell>
        </row>
        <row r="228">
          <cell r="C228">
            <v>17315</v>
          </cell>
        </row>
        <row r="229">
          <cell r="C229">
            <v>17316</v>
          </cell>
        </row>
        <row r="230">
          <cell r="C230">
            <v>17317</v>
          </cell>
        </row>
        <row r="231">
          <cell r="C231">
            <v>17318</v>
          </cell>
        </row>
        <row r="232">
          <cell r="C232">
            <v>17323</v>
          </cell>
        </row>
        <row r="233">
          <cell r="C233">
            <v>173</v>
          </cell>
        </row>
        <row r="235">
          <cell r="C235">
            <v>10000</v>
          </cell>
        </row>
        <row r="240">
          <cell r="C240">
            <v>21101</v>
          </cell>
        </row>
        <row r="241">
          <cell r="C241">
            <v>21102</v>
          </cell>
        </row>
        <row r="242">
          <cell r="C242">
            <v>21103</v>
          </cell>
        </row>
        <row r="243">
          <cell r="C243">
            <v>21104</v>
          </cell>
        </row>
        <row r="244">
          <cell r="C244">
            <v>211</v>
          </cell>
        </row>
        <row r="247">
          <cell r="C247">
            <v>21201</v>
          </cell>
        </row>
        <row r="248">
          <cell r="C248">
            <v>21202</v>
          </cell>
        </row>
        <row r="249">
          <cell r="C249">
            <v>21203</v>
          </cell>
        </row>
        <row r="250">
          <cell r="C250">
            <v>21204</v>
          </cell>
        </row>
        <row r="251">
          <cell r="C251">
            <v>212</v>
          </cell>
        </row>
        <row r="254">
          <cell r="C254">
            <v>21301</v>
          </cell>
        </row>
        <row r="255">
          <cell r="C255">
            <v>21302</v>
          </cell>
        </row>
        <row r="256">
          <cell r="C256">
            <v>21303</v>
          </cell>
        </row>
        <row r="257">
          <cell r="C257">
            <v>21304</v>
          </cell>
        </row>
        <row r="258">
          <cell r="C258">
            <v>213</v>
          </cell>
        </row>
        <row r="263">
          <cell r="C263">
            <v>22101</v>
          </cell>
        </row>
        <row r="264">
          <cell r="C264">
            <v>22102</v>
          </cell>
        </row>
        <row r="265">
          <cell r="C265">
            <v>22103</v>
          </cell>
        </row>
        <row r="266">
          <cell r="C266">
            <v>22104</v>
          </cell>
        </row>
        <row r="267">
          <cell r="C267">
            <v>22105</v>
          </cell>
        </row>
        <row r="268">
          <cell r="C268">
            <v>22106</v>
          </cell>
        </row>
        <row r="269">
          <cell r="C269">
            <v>22107</v>
          </cell>
        </row>
        <row r="270">
          <cell r="C270">
            <v>22108</v>
          </cell>
        </row>
        <row r="271">
          <cell r="C271">
            <v>22109</v>
          </cell>
        </row>
        <row r="272">
          <cell r="C272">
            <v>22110</v>
          </cell>
        </row>
        <row r="273">
          <cell r="C273">
            <v>22111</v>
          </cell>
        </row>
        <row r="274">
          <cell r="C274">
            <v>22112</v>
          </cell>
        </row>
        <row r="275">
          <cell r="C275">
            <v>22113</v>
          </cell>
        </row>
        <row r="276">
          <cell r="C276">
            <v>22114</v>
          </cell>
        </row>
        <row r="277">
          <cell r="C277">
            <v>221</v>
          </cell>
        </row>
        <row r="280">
          <cell r="C280">
            <v>22201</v>
          </cell>
        </row>
        <row r="281">
          <cell r="C281">
            <v>22202</v>
          </cell>
        </row>
        <row r="282">
          <cell r="C282">
            <v>22203</v>
          </cell>
        </row>
        <row r="283">
          <cell r="C283">
            <v>22204</v>
          </cell>
        </row>
        <row r="284">
          <cell r="C284">
            <v>22205</v>
          </cell>
        </row>
        <row r="285">
          <cell r="C285">
            <v>22206</v>
          </cell>
        </row>
        <row r="286">
          <cell r="C286">
            <v>22207</v>
          </cell>
        </row>
        <row r="287">
          <cell r="C287">
            <v>22208</v>
          </cell>
        </row>
        <row r="288">
          <cell r="C288">
            <v>22209</v>
          </cell>
        </row>
        <row r="289">
          <cell r="C289">
            <v>22210</v>
          </cell>
        </row>
        <row r="290">
          <cell r="C290">
            <v>22211</v>
          </cell>
        </row>
        <row r="291">
          <cell r="C291">
            <v>22212</v>
          </cell>
        </row>
        <row r="292">
          <cell r="C292">
            <v>22213</v>
          </cell>
        </row>
        <row r="293">
          <cell r="C293">
            <v>22214</v>
          </cell>
        </row>
        <row r="294">
          <cell r="C294">
            <v>22215</v>
          </cell>
        </row>
        <row r="295">
          <cell r="C295">
            <v>22216</v>
          </cell>
        </row>
        <row r="296">
          <cell r="C296">
            <v>222</v>
          </cell>
        </row>
        <row r="299">
          <cell r="C299">
            <v>22301</v>
          </cell>
        </row>
        <row r="300">
          <cell r="C300">
            <v>22302</v>
          </cell>
        </row>
        <row r="301">
          <cell r="C301">
            <v>22303</v>
          </cell>
        </row>
        <row r="302">
          <cell r="C302">
            <v>22304</v>
          </cell>
        </row>
        <row r="303">
          <cell r="C303">
            <v>22305</v>
          </cell>
        </row>
        <row r="304">
          <cell r="C304">
            <v>22306</v>
          </cell>
        </row>
        <row r="305">
          <cell r="C305">
            <v>22307</v>
          </cell>
        </row>
        <row r="306">
          <cell r="C306">
            <v>22308</v>
          </cell>
        </row>
        <row r="307">
          <cell r="C307">
            <v>22309</v>
          </cell>
        </row>
        <row r="308">
          <cell r="C308">
            <v>22310</v>
          </cell>
        </row>
        <row r="309">
          <cell r="C309">
            <v>22311</v>
          </cell>
        </row>
        <row r="310">
          <cell r="C310">
            <v>22312</v>
          </cell>
        </row>
        <row r="311">
          <cell r="C311">
            <v>22313</v>
          </cell>
        </row>
        <row r="312">
          <cell r="C312">
            <v>22314</v>
          </cell>
        </row>
        <row r="313">
          <cell r="C313">
            <v>22315</v>
          </cell>
        </row>
        <row r="314">
          <cell r="C314">
            <v>22316</v>
          </cell>
        </row>
        <row r="315">
          <cell r="C315">
            <v>223</v>
          </cell>
        </row>
        <row r="320">
          <cell r="C320">
            <v>23101</v>
          </cell>
        </row>
        <row r="321">
          <cell r="C321">
            <v>23103</v>
          </cell>
        </row>
        <row r="322">
          <cell r="C322">
            <v>231</v>
          </cell>
        </row>
        <row r="327">
          <cell r="C327">
            <v>24101</v>
          </cell>
        </row>
        <row r="328">
          <cell r="C328">
            <v>24102</v>
          </cell>
        </row>
        <row r="329">
          <cell r="C329">
            <v>24103</v>
          </cell>
        </row>
        <row r="330">
          <cell r="C330">
            <v>24104</v>
          </cell>
        </row>
        <row r="331">
          <cell r="C331">
            <v>24105</v>
          </cell>
        </row>
        <row r="332">
          <cell r="C332">
            <v>24107</v>
          </cell>
        </row>
        <row r="334">
          <cell r="C334">
            <v>241</v>
          </cell>
        </row>
        <row r="337">
          <cell r="C337">
            <v>24201</v>
          </cell>
        </row>
        <row r="338">
          <cell r="C338">
            <v>24203</v>
          </cell>
        </row>
        <row r="339">
          <cell r="C339">
            <v>24205</v>
          </cell>
        </row>
        <row r="340">
          <cell r="C340">
            <v>24206</v>
          </cell>
        </row>
        <row r="341">
          <cell r="C341">
            <v>24207</v>
          </cell>
        </row>
        <row r="342">
          <cell r="C342">
            <v>242</v>
          </cell>
        </row>
        <row r="347">
          <cell r="C347">
            <v>25101</v>
          </cell>
        </row>
        <row r="348">
          <cell r="C348">
            <v>251</v>
          </cell>
        </row>
        <row r="351">
          <cell r="C351">
            <v>25201</v>
          </cell>
        </row>
        <row r="356">
          <cell r="C356">
            <v>26101</v>
          </cell>
        </row>
        <row r="357">
          <cell r="C357">
            <v>26102</v>
          </cell>
        </row>
        <row r="358">
          <cell r="C358">
            <v>26103</v>
          </cell>
        </row>
        <row r="359">
          <cell r="C359">
            <v>26104</v>
          </cell>
        </row>
        <row r="360">
          <cell r="C360">
            <v>26105</v>
          </cell>
        </row>
        <row r="361">
          <cell r="C361">
            <v>26106</v>
          </cell>
        </row>
        <row r="362">
          <cell r="C362">
            <v>26107</v>
          </cell>
        </row>
        <row r="363">
          <cell r="C363">
            <v>26108</v>
          </cell>
        </row>
        <row r="364">
          <cell r="C364">
            <v>26109</v>
          </cell>
        </row>
        <row r="365">
          <cell r="C365">
            <v>261</v>
          </cell>
        </row>
        <row r="368">
          <cell r="C368">
            <v>26214</v>
          </cell>
        </row>
        <row r="373">
          <cell r="C373">
            <v>28101</v>
          </cell>
        </row>
        <row r="374">
          <cell r="C374">
            <v>28102</v>
          </cell>
        </row>
        <row r="375">
          <cell r="C375">
            <v>28103</v>
          </cell>
        </row>
        <row r="376">
          <cell r="C376">
            <v>28104</v>
          </cell>
        </row>
        <row r="377">
          <cell r="C377">
            <v>28105</v>
          </cell>
        </row>
        <row r="378">
          <cell r="C378">
            <v>28106</v>
          </cell>
        </row>
        <row r="379">
          <cell r="C379">
            <v>28107</v>
          </cell>
        </row>
        <row r="380">
          <cell r="C380">
            <v>28108</v>
          </cell>
        </row>
        <row r="381">
          <cell r="C381">
            <v>28109</v>
          </cell>
        </row>
        <row r="382">
          <cell r="C382">
            <v>28110</v>
          </cell>
        </row>
        <row r="383">
          <cell r="C383">
            <v>28111</v>
          </cell>
        </row>
        <row r="384">
          <cell r="C384">
            <v>28112</v>
          </cell>
        </row>
        <row r="385">
          <cell r="C385">
            <v>281</v>
          </cell>
        </row>
        <row r="390">
          <cell r="C390">
            <v>29101</v>
          </cell>
        </row>
        <row r="391">
          <cell r="C391">
            <v>29103</v>
          </cell>
        </row>
        <row r="392">
          <cell r="C392">
            <v>291</v>
          </cell>
        </row>
        <row r="395">
          <cell r="C395">
            <v>29201</v>
          </cell>
        </row>
        <row r="396">
          <cell r="C396">
            <v>29202</v>
          </cell>
        </row>
        <row r="397">
          <cell r="C397">
            <v>29203</v>
          </cell>
        </row>
        <row r="398">
          <cell r="C398">
            <v>29204</v>
          </cell>
        </row>
        <row r="399">
          <cell r="C399">
            <v>29205</v>
          </cell>
        </row>
        <row r="400">
          <cell r="C400">
            <v>292</v>
          </cell>
        </row>
        <row r="403">
          <cell r="C403">
            <v>29301</v>
          </cell>
        </row>
        <row r="404">
          <cell r="C404">
            <v>29302</v>
          </cell>
        </row>
        <row r="405">
          <cell r="C405">
            <v>29303</v>
          </cell>
        </row>
        <row r="406">
          <cell r="C406">
            <v>29304</v>
          </cell>
        </row>
        <row r="407">
          <cell r="C407">
            <v>29306</v>
          </cell>
        </row>
        <row r="408">
          <cell r="C408">
            <v>29307</v>
          </cell>
        </row>
        <row r="409">
          <cell r="C409">
            <v>29312</v>
          </cell>
        </row>
        <row r="410">
          <cell r="C410">
            <v>29314</v>
          </cell>
        </row>
        <row r="411">
          <cell r="C411">
            <v>29315</v>
          </cell>
        </row>
        <row r="412">
          <cell r="C412">
            <v>29316</v>
          </cell>
        </row>
        <row r="413">
          <cell r="C413">
            <v>29317</v>
          </cell>
        </row>
        <row r="414">
          <cell r="C414">
            <v>29318</v>
          </cell>
        </row>
        <row r="415">
          <cell r="C415">
            <v>29319</v>
          </cell>
        </row>
        <row r="416">
          <cell r="C416">
            <v>29320</v>
          </cell>
        </row>
        <row r="417">
          <cell r="C417">
            <v>29321</v>
          </cell>
        </row>
        <row r="418">
          <cell r="C418">
            <v>29322</v>
          </cell>
        </row>
        <row r="420">
          <cell r="C420">
            <v>29323</v>
          </cell>
        </row>
        <row r="421">
          <cell r="C421">
            <v>29324</v>
          </cell>
        </row>
        <row r="422">
          <cell r="C422">
            <v>29325</v>
          </cell>
        </row>
        <row r="423">
          <cell r="C423">
            <v>29326</v>
          </cell>
        </row>
        <row r="424">
          <cell r="C424">
            <v>29327</v>
          </cell>
        </row>
        <row r="425">
          <cell r="C425">
            <v>29328</v>
          </cell>
        </row>
        <row r="426">
          <cell r="C426">
            <v>29329</v>
          </cell>
        </row>
        <row r="427">
          <cell r="C427">
            <v>293</v>
          </cell>
        </row>
        <row r="430">
          <cell r="C430">
            <v>29401</v>
          </cell>
        </row>
        <row r="431">
          <cell r="C431">
            <v>29417</v>
          </cell>
        </row>
        <row r="432">
          <cell r="C432">
            <v>29402</v>
          </cell>
        </row>
        <row r="433">
          <cell r="C433">
            <v>29403</v>
          </cell>
        </row>
        <row r="434">
          <cell r="C434">
            <v>29404</v>
          </cell>
        </row>
        <row r="435">
          <cell r="C435">
            <v>29405</v>
          </cell>
        </row>
        <row r="436">
          <cell r="C436">
            <v>29406</v>
          </cell>
        </row>
        <row r="437">
          <cell r="C437">
            <v>29407</v>
          </cell>
        </row>
        <row r="438">
          <cell r="C438">
            <v>29409</v>
          </cell>
        </row>
        <row r="439">
          <cell r="C439">
            <v>29410</v>
          </cell>
        </row>
        <row r="440">
          <cell r="C440">
            <v>29411</v>
          </cell>
        </row>
        <row r="441">
          <cell r="C441">
            <v>29412</v>
          </cell>
        </row>
        <row r="442">
          <cell r="C442">
            <v>29413</v>
          </cell>
        </row>
        <row r="443">
          <cell r="C443">
            <v>29414</v>
          </cell>
        </row>
        <row r="444">
          <cell r="C444">
            <v>29415</v>
          </cell>
        </row>
        <row r="445">
          <cell r="C445">
            <v>29416</v>
          </cell>
        </row>
        <row r="446">
          <cell r="C446">
            <v>29418</v>
          </cell>
        </row>
        <row r="447">
          <cell r="C447">
            <v>29419</v>
          </cell>
        </row>
        <row r="448">
          <cell r="C448">
            <v>29420</v>
          </cell>
        </row>
        <row r="449">
          <cell r="C449">
            <v>29421</v>
          </cell>
        </row>
        <row r="450">
          <cell r="C450">
            <v>29422</v>
          </cell>
        </row>
        <row r="451">
          <cell r="C451">
            <v>29423</v>
          </cell>
        </row>
        <row r="452">
          <cell r="C452">
            <v>29425</v>
          </cell>
        </row>
        <row r="453">
          <cell r="C453">
            <v>294</v>
          </cell>
        </row>
        <row r="455">
          <cell r="C455">
            <v>20000</v>
          </cell>
        </row>
        <row r="458">
          <cell r="C458">
            <v>35001</v>
          </cell>
        </row>
        <row r="460">
          <cell r="C460">
            <v>33001</v>
          </cell>
        </row>
        <row r="461">
          <cell r="C461">
            <v>33002</v>
          </cell>
        </row>
      </sheetData>
      <sheetData sheetId="3" refreshError="1">
        <row r="2">
          <cell r="D2" t="str">
            <v>01.07.2004</v>
          </cell>
        </row>
        <row r="10">
          <cell r="C10">
            <v>11101</v>
          </cell>
        </row>
        <row r="11">
          <cell r="C11">
            <v>11102</v>
          </cell>
        </row>
        <row r="12">
          <cell r="C12">
            <v>11103</v>
          </cell>
        </row>
        <row r="13">
          <cell r="C13">
            <v>11104</v>
          </cell>
        </row>
        <row r="14">
          <cell r="C14">
            <v>11105</v>
          </cell>
        </row>
        <row r="15">
          <cell r="C15">
            <v>11106</v>
          </cell>
        </row>
        <row r="16">
          <cell r="C16">
            <v>11107</v>
          </cell>
        </row>
        <row r="17">
          <cell r="C17">
            <v>11108</v>
          </cell>
        </row>
        <row r="18">
          <cell r="C18">
            <v>11109</v>
          </cell>
        </row>
        <row r="19">
          <cell r="C19">
            <v>11110</v>
          </cell>
        </row>
        <row r="20">
          <cell r="C20">
            <v>11111</v>
          </cell>
        </row>
        <row r="21">
          <cell r="C21">
            <v>11112</v>
          </cell>
        </row>
        <row r="22">
          <cell r="C22">
            <v>11113</v>
          </cell>
        </row>
        <row r="23">
          <cell r="C23">
            <v>11114</v>
          </cell>
        </row>
        <row r="24">
          <cell r="C24">
            <v>11115</v>
          </cell>
        </row>
        <row r="25">
          <cell r="C25">
            <v>11116</v>
          </cell>
        </row>
        <row r="26">
          <cell r="C26">
            <v>11117</v>
          </cell>
        </row>
        <row r="27">
          <cell r="C27">
            <v>11118</v>
          </cell>
        </row>
        <row r="28">
          <cell r="C28">
            <v>11119</v>
          </cell>
        </row>
        <row r="29">
          <cell r="C29">
            <v>111</v>
          </cell>
        </row>
        <row r="31">
          <cell r="C31">
            <v>11201</v>
          </cell>
        </row>
        <row r="32">
          <cell r="C32">
            <v>11202</v>
          </cell>
        </row>
        <row r="33">
          <cell r="C33">
            <v>11203</v>
          </cell>
        </row>
        <row r="34">
          <cell r="C34">
            <v>11204</v>
          </cell>
        </row>
        <row r="35">
          <cell r="C35">
            <v>11205</v>
          </cell>
        </row>
        <row r="36">
          <cell r="C36">
            <v>11206</v>
          </cell>
        </row>
        <row r="37">
          <cell r="C37">
            <v>11207</v>
          </cell>
        </row>
        <row r="38">
          <cell r="C38">
            <v>11208</v>
          </cell>
        </row>
        <row r="39">
          <cell r="C39">
            <v>11209</v>
          </cell>
        </row>
        <row r="40">
          <cell r="C40">
            <v>11210</v>
          </cell>
        </row>
        <row r="41">
          <cell r="C41">
            <v>11211</v>
          </cell>
        </row>
        <row r="42">
          <cell r="C42">
            <v>11212</v>
          </cell>
        </row>
        <row r="43">
          <cell r="C43">
            <v>11213</v>
          </cell>
        </row>
        <row r="44">
          <cell r="C44">
            <v>11214</v>
          </cell>
        </row>
        <row r="45">
          <cell r="C45">
            <v>11215</v>
          </cell>
        </row>
        <row r="46">
          <cell r="C46">
            <v>11216</v>
          </cell>
        </row>
        <row r="47">
          <cell r="C47">
            <v>11217</v>
          </cell>
        </row>
        <row r="48">
          <cell r="C48">
            <v>11218</v>
          </cell>
        </row>
        <row r="49">
          <cell r="C49">
            <v>11219</v>
          </cell>
        </row>
        <row r="50">
          <cell r="C50">
            <v>112</v>
          </cell>
        </row>
        <row r="53">
          <cell r="C53">
            <v>11301</v>
          </cell>
        </row>
        <row r="54">
          <cell r="C54">
            <v>11302</v>
          </cell>
        </row>
        <row r="55">
          <cell r="C55">
            <v>11303</v>
          </cell>
        </row>
        <row r="56">
          <cell r="C56">
            <v>11304</v>
          </cell>
        </row>
        <row r="57">
          <cell r="C57">
            <v>11305</v>
          </cell>
        </row>
        <row r="58">
          <cell r="C58">
            <v>11306</v>
          </cell>
        </row>
        <row r="59">
          <cell r="C59">
            <v>11307</v>
          </cell>
        </row>
        <row r="60">
          <cell r="C60">
            <v>11308</v>
          </cell>
        </row>
        <row r="61">
          <cell r="C61">
            <v>11309</v>
          </cell>
        </row>
        <row r="62">
          <cell r="C62">
            <v>11310</v>
          </cell>
        </row>
        <row r="63">
          <cell r="C63">
            <v>11311</v>
          </cell>
        </row>
        <row r="64">
          <cell r="C64">
            <v>11312</v>
          </cell>
        </row>
        <row r="65">
          <cell r="C65">
            <v>11313</v>
          </cell>
        </row>
        <row r="66">
          <cell r="C66">
            <v>11314</v>
          </cell>
        </row>
        <row r="67">
          <cell r="C67">
            <v>11315</v>
          </cell>
        </row>
        <row r="68">
          <cell r="C68">
            <v>11316</v>
          </cell>
        </row>
        <row r="69">
          <cell r="C69">
            <v>11317</v>
          </cell>
        </row>
        <row r="70">
          <cell r="C70">
            <v>11318</v>
          </cell>
        </row>
        <row r="71">
          <cell r="C71">
            <v>11319</v>
          </cell>
        </row>
        <row r="72">
          <cell r="C72">
            <v>113</v>
          </cell>
        </row>
        <row r="75">
          <cell r="C75">
            <v>11401</v>
          </cell>
        </row>
        <row r="76">
          <cell r="C76">
            <v>11402</v>
          </cell>
        </row>
        <row r="77">
          <cell r="C77">
            <v>11403</v>
          </cell>
        </row>
        <row r="78">
          <cell r="C78">
            <v>11404</v>
          </cell>
        </row>
        <row r="79">
          <cell r="C79">
            <v>11405</v>
          </cell>
        </row>
        <row r="80">
          <cell r="C80">
            <v>11406</v>
          </cell>
        </row>
        <row r="81">
          <cell r="C81">
            <v>11407</v>
          </cell>
        </row>
        <row r="82">
          <cell r="C82">
            <v>11408</v>
          </cell>
        </row>
        <row r="83">
          <cell r="C83">
            <v>11409</v>
          </cell>
        </row>
        <row r="84">
          <cell r="C84">
            <v>11410</v>
          </cell>
        </row>
        <row r="85">
          <cell r="C85">
            <v>11411</v>
          </cell>
        </row>
        <row r="86">
          <cell r="C86">
            <v>11412</v>
          </cell>
        </row>
        <row r="87">
          <cell r="C87">
            <v>11413</v>
          </cell>
        </row>
        <row r="88">
          <cell r="C88">
            <v>11414</v>
          </cell>
        </row>
        <row r="89">
          <cell r="C89">
            <v>11415</v>
          </cell>
        </row>
        <row r="90">
          <cell r="C90">
            <v>11416</v>
          </cell>
        </row>
        <row r="91">
          <cell r="C91">
            <v>114</v>
          </cell>
        </row>
        <row r="94">
          <cell r="C94">
            <v>11501</v>
          </cell>
        </row>
        <row r="95">
          <cell r="C95">
            <v>11502</v>
          </cell>
        </row>
        <row r="96">
          <cell r="C96">
            <v>11503</v>
          </cell>
        </row>
        <row r="97">
          <cell r="C97">
            <v>115</v>
          </cell>
        </row>
        <row r="100">
          <cell r="C100">
            <v>11601</v>
          </cell>
        </row>
        <row r="101">
          <cell r="C101">
            <v>11602</v>
          </cell>
        </row>
        <row r="102">
          <cell r="C102">
            <v>11603</v>
          </cell>
        </row>
        <row r="103">
          <cell r="C103">
            <v>116</v>
          </cell>
        </row>
        <row r="108">
          <cell r="C108">
            <v>12101</v>
          </cell>
        </row>
        <row r="109">
          <cell r="C109">
            <v>12102</v>
          </cell>
        </row>
        <row r="110">
          <cell r="C110">
            <v>12103</v>
          </cell>
        </row>
        <row r="111">
          <cell r="C111">
            <v>12104</v>
          </cell>
        </row>
        <row r="112">
          <cell r="C112">
            <v>12105</v>
          </cell>
        </row>
        <row r="113">
          <cell r="C113">
            <v>12106</v>
          </cell>
        </row>
        <row r="114">
          <cell r="C114">
            <v>12107</v>
          </cell>
        </row>
        <row r="116">
          <cell r="C116">
            <v>121</v>
          </cell>
        </row>
        <row r="119">
          <cell r="C119">
            <v>12201</v>
          </cell>
        </row>
        <row r="120">
          <cell r="C120">
            <v>12202</v>
          </cell>
        </row>
        <row r="121">
          <cell r="C121">
            <v>12203</v>
          </cell>
        </row>
        <row r="122">
          <cell r="C122">
            <v>12204</v>
          </cell>
        </row>
        <row r="123">
          <cell r="C123">
            <v>12205</v>
          </cell>
        </row>
        <row r="124">
          <cell r="C124">
            <v>12206</v>
          </cell>
        </row>
        <row r="125">
          <cell r="C125">
            <v>12207</v>
          </cell>
        </row>
        <row r="126">
          <cell r="C126">
            <v>12208</v>
          </cell>
        </row>
        <row r="127">
          <cell r="C127">
            <v>122</v>
          </cell>
        </row>
        <row r="130">
          <cell r="C130">
            <v>12301</v>
          </cell>
        </row>
        <row r="131">
          <cell r="C131">
            <v>12302</v>
          </cell>
        </row>
        <row r="132">
          <cell r="C132">
            <v>12303</v>
          </cell>
        </row>
        <row r="133">
          <cell r="C133">
            <v>12304</v>
          </cell>
        </row>
        <row r="134">
          <cell r="C134">
            <v>12305</v>
          </cell>
        </row>
        <row r="135">
          <cell r="C135">
            <v>12306</v>
          </cell>
        </row>
        <row r="136">
          <cell r="C136">
            <v>12307</v>
          </cell>
        </row>
        <row r="137">
          <cell r="C137">
            <v>12308</v>
          </cell>
        </row>
        <row r="138">
          <cell r="C138">
            <v>123</v>
          </cell>
        </row>
        <row r="141">
          <cell r="C141">
            <v>12401</v>
          </cell>
        </row>
        <row r="142">
          <cell r="C142">
            <v>12402</v>
          </cell>
        </row>
        <row r="143">
          <cell r="C143">
            <v>12403</v>
          </cell>
        </row>
        <row r="144">
          <cell r="C144">
            <v>12404</v>
          </cell>
        </row>
        <row r="145">
          <cell r="C145">
            <v>12405</v>
          </cell>
        </row>
        <row r="146">
          <cell r="C146">
            <v>12406</v>
          </cell>
        </row>
        <row r="147">
          <cell r="C147">
            <v>12407</v>
          </cell>
        </row>
        <row r="148">
          <cell r="C148">
            <v>124</v>
          </cell>
        </row>
        <row r="151">
          <cell r="C151">
            <v>12501</v>
          </cell>
        </row>
        <row r="152">
          <cell r="C152">
            <v>12502</v>
          </cell>
        </row>
        <row r="153">
          <cell r="C153">
            <v>12503</v>
          </cell>
        </row>
        <row r="154">
          <cell r="C154">
            <v>12504</v>
          </cell>
        </row>
        <row r="155">
          <cell r="C155">
            <v>125</v>
          </cell>
        </row>
        <row r="158">
          <cell r="C158">
            <v>12601</v>
          </cell>
        </row>
        <row r="159">
          <cell r="C159">
            <v>12605</v>
          </cell>
        </row>
        <row r="160">
          <cell r="C160">
            <v>12606</v>
          </cell>
        </row>
        <row r="161">
          <cell r="C161">
            <v>126</v>
          </cell>
        </row>
        <row r="167">
          <cell r="C167">
            <v>13101</v>
          </cell>
        </row>
        <row r="168">
          <cell r="C168">
            <v>13102</v>
          </cell>
        </row>
        <row r="169">
          <cell r="C169">
            <v>13103</v>
          </cell>
        </row>
        <row r="170">
          <cell r="C170">
            <v>131</v>
          </cell>
        </row>
        <row r="173">
          <cell r="C173">
            <v>13201</v>
          </cell>
        </row>
        <row r="178">
          <cell r="C178">
            <v>14101</v>
          </cell>
        </row>
        <row r="179">
          <cell r="C179">
            <v>14102</v>
          </cell>
        </row>
        <row r="180">
          <cell r="C180">
            <v>14103</v>
          </cell>
        </row>
        <row r="181">
          <cell r="C181">
            <v>14104</v>
          </cell>
        </row>
        <row r="182">
          <cell r="C182">
            <v>141</v>
          </cell>
        </row>
        <row r="185">
          <cell r="C185">
            <v>14201</v>
          </cell>
        </row>
        <row r="186">
          <cell r="C186">
            <v>14202</v>
          </cell>
        </row>
        <row r="187">
          <cell r="C187">
            <v>14203</v>
          </cell>
        </row>
        <row r="188">
          <cell r="C188">
            <v>14204</v>
          </cell>
        </row>
        <row r="189">
          <cell r="C189">
            <v>14205</v>
          </cell>
        </row>
        <row r="190">
          <cell r="C190">
            <v>142</v>
          </cell>
        </row>
        <row r="195">
          <cell r="C195">
            <v>16101</v>
          </cell>
        </row>
        <row r="196">
          <cell r="C196">
            <v>16104</v>
          </cell>
        </row>
        <row r="197">
          <cell r="C197">
            <v>16105</v>
          </cell>
        </row>
        <row r="198">
          <cell r="C198">
            <v>161</v>
          </cell>
        </row>
        <row r="203">
          <cell r="C203">
            <v>17101</v>
          </cell>
        </row>
        <row r="204">
          <cell r="C204">
            <v>17102</v>
          </cell>
        </row>
        <row r="205">
          <cell r="C205">
            <v>17103</v>
          </cell>
        </row>
        <row r="206">
          <cell r="C206">
            <v>171</v>
          </cell>
        </row>
        <row r="209">
          <cell r="C209">
            <v>17201</v>
          </cell>
        </row>
        <row r="210">
          <cell r="C210">
            <v>17202</v>
          </cell>
        </row>
        <row r="211">
          <cell r="C211">
            <v>17203</v>
          </cell>
        </row>
        <row r="212">
          <cell r="C212">
            <v>17204</v>
          </cell>
        </row>
        <row r="213">
          <cell r="C213">
            <v>17205</v>
          </cell>
        </row>
        <row r="214">
          <cell r="C214">
            <v>172</v>
          </cell>
        </row>
        <row r="217">
          <cell r="C217">
            <v>17301</v>
          </cell>
        </row>
        <row r="218">
          <cell r="C218">
            <v>17302</v>
          </cell>
        </row>
        <row r="219">
          <cell r="C219">
            <v>17303</v>
          </cell>
        </row>
        <row r="220">
          <cell r="C220">
            <v>17304</v>
          </cell>
        </row>
        <row r="221">
          <cell r="C221">
            <v>17305</v>
          </cell>
        </row>
        <row r="222">
          <cell r="C222">
            <v>17306</v>
          </cell>
        </row>
        <row r="223">
          <cell r="C223">
            <v>17307</v>
          </cell>
        </row>
        <row r="224">
          <cell r="C224">
            <v>17308</v>
          </cell>
        </row>
        <row r="225">
          <cell r="C225">
            <v>17309</v>
          </cell>
        </row>
        <row r="226">
          <cell r="C226">
            <v>17310</v>
          </cell>
        </row>
        <row r="227">
          <cell r="C227">
            <v>17311</v>
          </cell>
        </row>
        <row r="228">
          <cell r="C228">
            <v>17312</v>
          </cell>
        </row>
        <row r="229">
          <cell r="C229">
            <v>17313</v>
          </cell>
        </row>
        <row r="230">
          <cell r="C230">
            <v>17314</v>
          </cell>
        </row>
        <row r="231">
          <cell r="C231">
            <v>17315</v>
          </cell>
        </row>
        <row r="232">
          <cell r="C232">
            <v>17316</v>
          </cell>
        </row>
        <row r="233">
          <cell r="C233">
            <v>17317</v>
          </cell>
        </row>
        <row r="234">
          <cell r="C234">
            <v>17318</v>
          </cell>
        </row>
        <row r="235">
          <cell r="C235">
            <v>17323</v>
          </cell>
        </row>
        <row r="236">
          <cell r="C236">
            <v>173</v>
          </cell>
        </row>
        <row r="238">
          <cell r="C238">
            <v>10000</v>
          </cell>
        </row>
        <row r="243">
          <cell r="C243">
            <v>21101</v>
          </cell>
        </row>
        <row r="244">
          <cell r="C244">
            <v>21102</v>
          </cell>
        </row>
        <row r="245">
          <cell r="C245">
            <v>21103</v>
          </cell>
        </row>
        <row r="246">
          <cell r="C246">
            <v>21104</v>
          </cell>
        </row>
        <row r="247">
          <cell r="C247">
            <v>211</v>
          </cell>
        </row>
        <row r="250">
          <cell r="C250">
            <v>21201</v>
          </cell>
        </row>
        <row r="251">
          <cell r="C251">
            <v>21202</v>
          </cell>
        </row>
        <row r="252">
          <cell r="C252">
            <v>21203</v>
          </cell>
        </row>
        <row r="253">
          <cell r="C253">
            <v>21204</v>
          </cell>
        </row>
        <row r="254">
          <cell r="C254">
            <v>212</v>
          </cell>
        </row>
        <row r="257">
          <cell r="C257">
            <v>21301</v>
          </cell>
        </row>
        <row r="258">
          <cell r="C258">
            <v>21302</v>
          </cell>
        </row>
        <row r="259">
          <cell r="C259">
            <v>21303</v>
          </cell>
        </row>
        <row r="260">
          <cell r="C260">
            <v>21304</v>
          </cell>
        </row>
        <row r="261">
          <cell r="C261">
            <v>213</v>
          </cell>
        </row>
        <row r="266">
          <cell r="C266">
            <v>22101</v>
          </cell>
        </row>
        <row r="267">
          <cell r="C267">
            <v>22102</v>
          </cell>
        </row>
        <row r="268">
          <cell r="C268">
            <v>22103</v>
          </cell>
        </row>
        <row r="269">
          <cell r="C269">
            <v>22104</v>
          </cell>
        </row>
        <row r="270">
          <cell r="C270">
            <v>22105</v>
          </cell>
        </row>
        <row r="271">
          <cell r="C271">
            <v>22106</v>
          </cell>
        </row>
        <row r="272">
          <cell r="C272">
            <v>22107</v>
          </cell>
        </row>
        <row r="273">
          <cell r="C273">
            <v>22108</v>
          </cell>
        </row>
        <row r="274">
          <cell r="C274">
            <v>22109</v>
          </cell>
        </row>
        <row r="275">
          <cell r="C275">
            <v>22110</v>
          </cell>
        </row>
        <row r="276">
          <cell r="C276">
            <v>22111</v>
          </cell>
        </row>
        <row r="277">
          <cell r="C277">
            <v>22112</v>
          </cell>
        </row>
        <row r="278">
          <cell r="C278">
            <v>22113</v>
          </cell>
        </row>
        <row r="279">
          <cell r="C279">
            <v>22114</v>
          </cell>
        </row>
        <row r="280">
          <cell r="C280">
            <v>221</v>
          </cell>
        </row>
        <row r="283">
          <cell r="C283">
            <v>22201</v>
          </cell>
        </row>
        <row r="284">
          <cell r="C284">
            <v>22202</v>
          </cell>
        </row>
        <row r="285">
          <cell r="C285">
            <v>22203</v>
          </cell>
        </row>
        <row r="286">
          <cell r="C286">
            <v>22204</v>
          </cell>
        </row>
        <row r="287">
          <cell r="C287">
            <v>22205</v>
          </cell>
        </row>
        <row r="288">
          <cell r="C288">
            <v>22206</v>
          </cell>
        </row>
        <row r="289">
          <cell r="C289">
            <v>22207</v>
          </cell>
        </row>
        <row r="290">
          <cell r="C290">
            <v>22208</v>
          </cell>
        </row>
        <row r="291">
          <cell r="C291">
            <v>22209</v>
          </cell>
        </row>
        <row r="292">
          <cell r="C292">
            <v>22210</v>
          </cell>
        </row>
        <row r="293">
          <cell r="C293">
            <v>22211</v>
          </cell>
        </row>
        <row r="294">
          <cell r="C294">
            <v>22212</v>
          </cell>
        </row>
        <row r="295">
          <cell r="C295">
            <v>22213</v>
          </cell>
        </row>
        <row r="296">
          <cell r="C296">
            <v>22214</v>
          </cell>
        </row>
        <row r="297">
          <cell r="C297">
            <v>22215</v>
          </cell>
        </row>
        <row r="298">
          <cell r="C298">
            <v>22216</v>
          </cell>
        </row>
        <row r="299">
          <cell r="C299">
            <v>222</v>
          </cell>
        </row>
        <row r="302">
          <cell r="C302">
            <v>22301</v>
          </cell>
        </row>
        <row r="303">
          <cell r="C303">
            <v>22302</v>
          </cell>
        </row>
        <row r="304">
          <cell r="C304">
            <v>22303</v>
          </cell>
        </row>
        <row r="305">
          <cell r="C305">
            <v>22304</v>
          </cell>
        </row>
        <row r="306">
          <cell r="C306">
            <v>22305</v>
          </cell>
        </row>
        <row r="307">
          <cell r="C307">
            <v>22306</v>
          </cell>
        </row>
        <row r="308">
          <cell r="C308">
            <v>22307</v>
          </cell>
        </row>
        <row r="309">
          <cell r="C309">
            <v>22308</v>
          </cell>
        </row>
        <row r="310">
          <cell r="C310">
            <v>22309</v>
          </cell>
        </row>
        <row r="311">
          <cell r="C311">
            <v>22310</v>
          </cell>
        </row>
        <row r="312">
          <cell r="C312">
            <v>22311</v>
          </cell>
        </row>
        <row r="313">
          <cell r="C313">
            <v>22312</v>
          </cell>
        </row>
        <row r="314">
          <cell r="C314">
            <v>22313</v>
          </cell>
        </row>
        <row r="315">
          <cell r="C315">
            <v>22314</v>
          </cell>
        </row>
        <row r="316">
          <cell r="C316">
            <v>22315</v>
          </cell>
        </row>
        <row r="317">
          <cell r="C317">
            <v>22316</v>
          </cell>
        </row>
        <row r="318">
          <cell r="C318">
            <v>223</v>
          </cell>
        </row>
        <row r="323">
          <cell r="C323">
            <v>23101</v>
          </cell>
        </row>
        <row r="324">
          <cell r="C324">
            <v>23103</v>
          </cell>
        </row>
        <row r="325">
          <cell r="C325">
            <v>231</v>
          </cell>
        </row>
        <row r="330">
          <cell r="C330">
            <v>24101</v>
          </cell>
        </row>
        <row r="331">
          <cell r="C331">
            <v>24102</v>
          </cell>
        </row>
        <row r="332">
          <cell r="C332">
            <v>24103</v>
          </cell>
        </row>
        <row r="333">
          <cell r="C333">
            <v>24104</v>
          </cell>
        </row>
        <row r="334">
          <cell r="C334">
            <v>24105</v>
          </cell>
        </row>
        <row r="335">
          <cell r="C335">
            <v>24107</v>
          </cell>
        </row>
        <row r="337">
          <cell r="C337">
            <v>241</v>
          </cell>
        </row>
        <row r="340">
          <cell r="C340">
            <v>24201</v>
          </cell>
        </row>
        <row r="341">
          <cell r="C341">
            <v>24203</v>
          </cell>
        </row>
        <row r="342">
          <cell r="C342">
            <v>24205</v>
          </cell>
        </row>
        <row r="343">
          <cell r="C343">
            <v>24206</v>
          </cell>
        </row>
        <row r="344">
          <cell r="C344">
            <v>24207</v>
          </cell>
        </row>
        <row r="345">
          <cell r="C345">
            <v>242</v>
          </cell>
        </row>
        <row r="350">
          <cell r="C350">
            <v>25101</v>
          </cell>
        </row>
        <row r="351">
          <cell r="C351">
            <v>251</v>
          </cell>
        </row>
        <row r="354">
          <cell r="C354">
            <v>25201</v>
          </cell>
        </row>
        <row r="359">
          <cell r="C359">
            <v>26101</v>
          </cell>
        </row>
        <row r="360">
          <cell r="C360">
            <v>26102</v>
          </cell>
        </row>
        <row r="361">
          <cell r="C361">
            <v>26103</v>
          </cell>
        </row>
        <row r="362">
          <cell r="C362">
            <v>26104</v>
          </cell>
        </row>
        <row r="363">
          <cell r="C363">
            <v>26105</v>
          </cell>
        </row>
        <row r="364">
          <cell r="C364">
            <v>26106</v>
          </cell>
        </row>
        <row r="365">
          <cell r="C365">
            <v>26107</v>
          </cell>
        </row>
        <row r="366">
          <cell r="C366">
            <v>26108</v>
          </cell>
        </row>
        <row r="367">
          <cell r="C367">
            <v>26109</v>
          </cell>
        </row>
        <row r="368">
          <cell r="C368">
            <v>261</v>
          </cell>
        </row>
        <row r="371">
          <cell r="C371">
            <v>26214</v>
          </cell>
        </row>
        <row r="376">
          <cell r="C376">
            <v>28101</v>
          </cell>
        </row>
        <row r="377">
          <cell r="C377">
            <v>28102</v>
          </cell>
        </row>
        <row r="378">
          <cell r="C378">
            <v>28103</v>
          </cell>
        </row>
        <row r="379">
          <cell r="C379">
            <v>28104</v>
          </cell>
        </row>
        <row r="380">
          <cell r="C380">
            <v>28105</v>
          </cell>
        </row>
        <row r="381">
          <cell r="C381">
            <v>28106</v>
          </cell>
        </row>
        <row r="382">
          <cell r="C382">
            <v>28107</v>
          </cell>
        </row>
        <row r="383">
          <cell r="C383">
            <v>28108</v>
          </cell>
        </row>
        <row r="384">
          <cell r="C384">
            <v>28109</v>
          </cell>
        </row>
        <row r="385">
          <cell r="C385">
            <v>28110</v>
          </cell>
        </row>
        <row r="386">
          <cell r="C386">
            <v>28111</v>
          </cell>
        </row>
        <row r="387">
          <cell r="C387">
            <v>28112</v>
          </cell>
        </row>
        <row r="388">
          <cell r="C388">
            <v>281</v>
          </cell>
        </row>
        <row r="393">
          <cell r="C393">
            <v>29101</v>
          </cell>
        </row>
        <row r="394">
          <cell r="C394">
            <v>29102</v>
          </cell>
        </row>
        <row r="395">
          <cell r="C395">
            <v>29103</v>
          </cell>
        </row>
        <row r="396">
          <cell r="C396">
            <v>291</v>
          </cell>
        </row>
        <row r="399">
          <cell r="C399">
            <v>29201</v>
          </cell>
        </row>
        <row r="400">
          <cell r="C400">
            <v>29202</v>
          </cell>
        </row>
        <row r="401">
          <cell r="C401">
            <v>29203</v>
          </cell>
        </row>
        <row r="402">
          <cell r="C402">
            <v>29204</v>
          </cell>
        </row>
        <row r="403">
          <cell r="C403">
            <v>29205</v>
          </cell>
        </row>
        <row r="404">
          <cell r="C404">
            <v>292</v>
          </cell>
        </row>
        <row r="407">
          <cell r="C407">
            <v>29301</v>
          </cell>
        </row>
        <row r="408">
          <cell r="C408">
            <v>29302</v>
          </cell>
        </row>
        <row r="409">
          <cell r="C409">
            <v>29303</v>
          </cell>
        </row>
        <row r="410">
          <cell r="C410">
            <v>29304</v>
          </cell>
        </row>
        <row r="411">
          <cell r="C411">
            <v>29306</v>
          </cell>
        </row>
        <row r="412">
          <cell r="C412">
            <v>29307</v>
          </cell>
        </row>
        <row r="413">
          <cell r="C413">
            <v>29312</v>
          </cell>
        </row>
        <row r="414">
          <cell r="C414">
            <v>29314</v>
          </cell>
        </row>
        <row r="415">
          <cell r="C415">
            <v>29315</v>
          </cell>
        </row>
        <row r="416">
          <cell r="C416">
            <v>29316</v>
          </cell>
        </row>
        <row r="417">
          <cell r="C417">
            <v>29317</v>
          </cell>
        </row>
        <row r="418">
          <cell r="C418">
            <v>29318</v>
          </cell>
        </row>
        <row r="419">
          <cell r="C419">
            <v>29319</v>
          </cell>
        </row>
        <row r="420">
          <cell r="C420">
            <v>29320</v>
          </cell>
        </row>
        <row r="421">
          <cell r="C421">
            <v>29321</v>
          </cell>
        </row>
        <row r="422">
          <cell r="C422">
            <v>29322</v>
          </cell>
        </row>
        <row r="424">
          <cell r="C424">
            <v>29323</v>
          </cell>
        </row>
        <row r="425">
          <cell r="C425">
            <v>29324</v>
          </cell>
        </row>
        <row r="426">
          <cell r="C426">
            <v>29325</v>
          </cell>
        </row>
        <row r="427">
          <cell r="C427">
            <v>29326</v>
          </cell>
        </row>
        <row r="428">
          <cell r="C428">
            <v>29327</v>
          </cell>
        </row>
        <row r="429">
          <cell r="C429">
            <v>29328</v>
          </cell>
        </row>
        <row r="430">
          <cell r="C430">
            <v>29329</v>
          </cell>
        </row>
        <row r="431">
          <cell r="C431">
            <v>293</v>
          </cell>
        </row>
        <row r="434">
          <cell r="C434">
            <v>29401</v>
          </cell>
        </row>
        <row r="435">
          <cell r="C435">
            <v>29417</v>
          </cell>
        </row>
        <row r="436">
          <cell r="C436">
            <v>29402</v>
          </cell>
        </row>
        <row r="437">
          <cell r="C437">
            <v>29403</v>
          </cell>
        </row>
        <row r="438">
          <cell r="C438">
            <v>29404</v>
          </cell>
        </row>
        <row r="439">
          <cell r="C439">
            <v>29405</v>
          </cell>
        </row>
        <row r="440">
          <cell r="C440">
            <v>29406</v>
          </cell>
        </row>
        <row r="441">
          <cell r="C441">
            <v>29407</v>
          </cell>
        </row>
        <row r="442">
          <cell r="C442">
            <v>29409</v>
          </cell>
        </row>
        <row r="443">
          <cell r="C443">
            <v>29410</v>
          </cell>
        </row>
        <row r="444">
          <cell r="C444">
            <v>29411</v>
          </cell>
        </row>
        <row r="445">
          <cell r="C445">
            <v>29412</v>
          </cell>
        </row>
        <row r="446">
          <cell r="C446">
            <v>29413</v>
          </cell>
        </row>
        <row r="447">
          <cell r="C447">
            <v>29414</v>
          </cell>
        </row>
        <row r="448">
          <cell r="C448">
            <v>29415</v>
          </cell>
        </row>
        <row r="449">
          <cell r="C449">
            <v>29416</v>
          </cell>
        </row>
        <row r="450">
          <cell r="C450">
            <v>29418</v>
          </cell>
        </row>
        <row r="451">
          <cell r="C451">
            <v>29419</v>
          </cell>
        </row>
        <row r="452">
          <cell r="C452">
            <v>29420</v>
          </cell>
        </row>
        <row r="453">
          <cell r="C453">
            <v>29421</v>
          </cell>
        </row>
        <row r="454">
          <cell r="C454">
            <v>29422</v>
          </cell>
        </row>
        <row r="455">
          <cell r="C455">
            <v>29423</v>
          </cell>
        </row>
        <row r="456">
          <cell r="C456">
            <v>29425</v>
          </cell>
        </row>
        <row r="457">
          <cell r="C457">
            <v>294</v>
          </cell>
        </row>
        <row r="459">
          <cell r="C459">
            <v>20000</v>
          </cell>
        </row>
        <row r="462">
          <cell r="C462">
            <v>35001</v>
          </cell>
        </row>
        <row r="464">
          <cell r="C464">
            <v>33001</v>
          </cell>
        </row>
        <row r="465">
          <cell r="C465">
            <v>33002</v>
          </cell>
        </row>
      </sheetData>
      <sheetData sheetId="4" refreshError="1">
        <row r="2">
          <cell r="D2" t="str">
            <v>01.04.2004</v>
          </cell>
        </row>
        <row r="10">
          <cell r="C10">
            <v>11101</v>
          </cell>
        </row>
        <row r="11">
          <cell r="C11">
            <v>11102</v>
          </cell>
        </row>
        <row r="12">
          <cell r="C12">
            <v>11103</v>
          </cell>
        </row>
        <row r="13">
          <cell r="C13">
            <v>11104</v>
          </cell>
        </row>
        <row r="14">
          <cell r="C14">
            <v>11105</v>
          </cell>
        </row>
        <row r="15">
          <cell r="C15">
            <v>11106</v>
          </cell>
        </row>
        <row r="16">
          <cell r="C16">
            <v>11107</v>
          </cell>
        </row>
        <row r="17">
          <cell r="C17">
            <v>11108</v>
          </cell>
        </row>
        <row r="18">
          <cell r="C18">
            <v>11109</v>
          </cell>
        </row>
        <row r="19">
          <cell r="C19">
            <v>11110</v>
          </cell>
        </row>
        <row r="20">
          <cell r="C20">
            <v>11111</v>
          </cell>
        </row>
        <row r="21">
          <cell r="C21">
            <v>11112</v>
          </cell>
        </row>
        <row r="22">
          <cell r="C22">
            <v>11113</v>
          </cell>
        </row>
        <row r="23">
          <cell r="C23">
            <v>11114</v>
          </cell>
        </row>
        <row r="24">
          <cell r="C24">
            <v>11115</v>
          </cell>
        </row>
        <row r="25">
          <cell r="C25">
            <v>11116</v>
          </cell>
        </row>
        <row r="26">
          <cell r="C26">
            <v>11117</v>
          </cell>
        </row>
        <row r="27">
          <cell r="C27">
            <v>11118</v>
          </cell>
        </row>
        <row r="28">
          <cell r="C28">
            <v>11119</v>
          </cell>
        </row>
        <row r="29">
          <cell r="C29">
            <v>111</v>
          </cell>
        </row>
        <row r="31">
          <cell r="C31">
            <v>11201</v>
          </cell>
        </row>
        <row r="32">
          <cell r="C32">
            <v>11202</v>
          </cell>
        </row>
        <row r="33">
          <cell r="C33">
            <v>11203</v>
          </cell>
        </row>
        <row r="34">
          <cell r="C34">
            <v>11204</v>
          </cell>
        </row>
        <row r="35">
          <cell r="C35">
            <v>11205</v>
          </cell>
        </row>
        <row r="36">
          <cell r="C36">
            <v>11206</v>
          </cell>
        </row>
        <row r="37">
          <cell r="C37">
            <v>11207</v>
          </cell>
        </row>
        <row r="38">
          <cell r="C38">
            <v>11208</v>
          </cell>
        </row>
        <row r="39">
          <cell r="C39">
            <v>11209</v>
          </cell>
        </row>
        <row r="40">
          <cell r="C40">
            <v>11210</v>
          </cell>
        </row>
        <row r="41">
          <cell r="C41">
            <v>11211</v>
          </cell>
        </row>
        <row r="42">
          <cell r="C42">
            <v>11212</v>
          </cell>
        </row>
        <row r="43">
          <cell r="C43">
            <v>11213</v>
          </cell>
        </row>
        <row r="44">
          <cell r="C44">
            <v>11214</v>
          </cell>
        </row>
        <row r="45">
          <cell r="C45">
            <v>11215</v>
          </cell>
        </row>
        <row r="46">
          <cell r="C46">
            <v>11216</v>
          </cell>
        </row>
        <row r="47">
          <cell r="C47">
            <v>11217</v>
          </cell>
        </row>
        <row r="48">
          <cell r="C48">
            <v>11218</v>
          </cell>
        </row>
        <row r="49">
          <cell r="C49">
            <v>11219</v>
          </cell>
        </row>
        <row r="50">
          <cell r="C50">
            <v>112</v>
          </cell>
        </row>
        <row r="53">
          <cell r="C53">
            <v>11301</v>
          </cell>
        </row>
        <row r="54">
          <cell r="C54">
            <v>11302</v>
          </cell>
        </row>
        <row r="55">
          <cell r="C55">
            <v>11303</v>
          </cell>
        </row>
        <row r="56">
          <cell r="C56">
            <v>11304</v>
          </cell>
        </row>
        <row r="57">
          <cell r="C57">
            <v>11305</v>
          </cell>
        </row>
        <row r="58">
          <cell r="C58">
            <v>11306</v>
          </cell>
        </row>
        <row r="59">
          <cell r="C59">
            <v>11307</v>
          </cell>
        </row>
        <row r="60">
          <cell r="C60">
            <v>11308</v>
          </cell>
        </row>
        <row r="61">
          <cell r="C61">
            <v>11309</v>
          </cell>
        </row>
        <row r="62">
          <cell r="C62">
            <v>11310</v>
          </cell>
        </row>
        <row r="63">
          <cell r="C63">
            <v>11311</v>
          </cell>
        </row>
        <row r="64">
          <cell r="C64">
            <v>11312</v>
          </cell>
        </row>
        <row r="65">
          <cell r="C65">
            <v>11313</v>
          </cell>
        </row>
        <row r="66">
          <cell r="C66">
            <v>11314</v>
          </cell>
        </row>
        <row r="67">
          <cell r="C67">
            <v>11315</v>
          </cell>
        </row>
        <row r="68">
          <cell r="C68">
            <v>11316</v>
          </cell>
        </row>
        <row r="69">
          <cell r="C69">
            <v>11317</v>
          </cell>
        </row>
        <row r="70">
          <cell r="C70">
            <v>11318</v>
          </cell>
        </row>
        <row r="71">
          <cell r="C71">
            <v>11319</v>
          </cell>
        </row>
        <row r="72">
          <cell r="C72">
            <v>113</v>
          </cell>
        </row>
        <row r="75">
          <cell r="C75">
            <v>11401</v>
          </cell>
        </row>
        <row r="76">
          <cell r="C76">
            <v>11402</v>
          </cell>
        </row>
        <row r="77">
          <cell r="C77">
            <v>11403</v>
          </cell>
        </row>
        <row r="78">
          <cell r="C78">
            <v>11404</v>
          </cell>
        </row>
        <row r="79">
          <cell r="C79">
            <v>11405</v>
          </cell>
        </row>
        <row r="80">
          <cell r="C80">
            <v>11406</v>
          </cell>
        </row>
        <row r="81">
          <cell r="C81">
            <v>11407</v>
          </cell>
        </row>
        <row r="82">
          <cell r="C82">
            <v>11408</v>
          </cell>
        </row>
        <row r="83">
          <cell r="C83">
            <v>11409</v>
          </cell>
        </row>
        <row r="84">
          <cell r="C84">
            <v>11410</v>
          </cell>
        </row>
        <row r="85">
          <cell r="C85">
            <v>11411</v>
          </cell>
        </row>
        <row r="86">
          <cell r="C86">
            <v>11412</v>
          </cell>
        </row>
        <row r="87">
          <cell r="C87">
            <v>11413</v>
          </cell>
        </row>
        <row r="88">
          <cell r="C88">
            <v>11414</v>
          </cell>
        </row>
        <row r="89">
          <cell r="C89">
            <v>11415</v>
          </cell>
        </row>
        <row r="90">
          <cell r="C90">
            <v>11416</v>
          </cell>
        </row>
        <row r="91">
          <cell r="C91">
            <v>114</v>
          </cell>
        </row>
        <row r="94">
          <cell r="C94">
            <v>11501</v>
          </cell>
        </row>
        <row r="95">
          <cell r="C95">
            <v>11502</v>
          </cell>
        </row>
        <row r="96">
          <cell r="C96">
            <v>11503</v>
          </cell>
        </row>
        <row r="97">
          <cell r="C97">
            <v>115</v>
          </cell>
        </row>
        <row r="100">
          <cell r="C100">
            <v>11601</v>
          </cell>
        </row>
        <row r="101">
          <cell r="C101">
            <v>11602</v>
          </cell>
        </row>
        <row r="102">
          <cell r="C102">
            <v>11603</v>
          </cell>
        </row>
        <row r="103">
          <cell r="C103">
            <v>116</v>
          </cell>
        </row>
        <row r="108">
          <cell r="C108">
            <v>12101</v>
          </cell>
        </row>
        <row r="109">
          <cell r="C109">
            <v>12102</v>
          </cell>
        </row>
        <row r="110">
          <cell r="C110">
            <v>12103</v>
          </cell>
        </row>
        <row r="111">
          <cell r="C111">
            <v>12104</v>
          </cell>
        </row>
        <row r="112">
          <cell r="C112">
            <v>12105</v>
          </cell>
        </row>
        <row r="113">
          <cell r="C113">
            <v>12106</v>
          </cell>
        </row>
        <row r="114">
          <cell r="C114">
            <v>12107</v>
          </cell>
        </row>
        <row r="116">
          <cell r="C116">
            <v>121</v>
          </cell>
        </row>
        <row r="119">
          <cell r="C119">
            <v>12201</v>
          </cell>
        </row>
        <row r="120">
          <cell r="C120">
            <v>12202</v>
          </cell>
        </row>
        <row r="121">
          <cell r="C121">
            <v>12203</v>
          </cell>
        </row>
        <row r="122">
          <cell r="C122">
            <v>12204</v>
          </cell>
        </row>
        <row r="123">
          <cell r="C123">
            <v>12205</v>
          </cell>
        </row>
        <row r="124">
          <cell r="C124">
            <v>12206</v>
          </cell>
        </row>
        <row r="125">
          <cell r="C125">
            <v>12207</v>
          </cell>
        </row>
        <row r="126">
          <cell r="C126">
            <v>12208</v>
          </cell>
        </row>
        <row r="127">
          <cell r="C127">
            <v>122</v>
          </cell>
        </row>
        <row r="130">
          <cell r="C130">
            <v>12301</v>
          </cell>
        </row>
        <row r="131">
          <cell r="C131">
            <v>12302</v>
          </cell>
        </row>
        <row r="132">
          <cell r="C132">
            <v>12303</v>
          </cell>
        </row>
        <row r="133">
          <cell r="C133">
            <v>12304</v>
          </cell>
        </row>
        <row r="134">
          <cell r="C134">
            <v>12305</v>
          </cell>
        </row>
        <row r="135">
          <cell r="C135">
            <v>12306</v>
          </cell>
        </row>
        <row r="136">
          <cell r="C136">
            <v>12307</v>
          </cell>
        </row>
        <row r="137">
          <cell r="C137">
            <v>12308</v>
          </cell>
        </row>
        <row r="138">
          <cell r="C138">
            <v>123</v>
          </cell>
        </row>
        <row r="141">
          <cell r="C141">
            <v>12401</v>
          </cell>
        </row>
        <row r="142">
          <cell r="C142">
            <v>12402</v>
          </cell>
        </row>
        <row r="143">
          <cell r="C143">
            <v>12403</v>
          </cell>
        </row>
        <row r="144">
          <cell r="C144">
            <v>12404</v>
          </cell>
        </row>
        <row r="145">
          <cell r="C145">
            <v>12405</v>
          </cell>
        </row>
        <row r="146">
          <cell r="C146">
            <v>12406</v>
          </cell>
        </row>
        <row r="147">
          <cell r="C147">
            <v>12407</v>
          </cell>
        </row>
        <row r="148">
          <cell r="C148">
            <v>124</v>
          </cell>
        </row>
        <row r="151">
          <cell r="C151">
            <v>12501</v>
          </cell>
        </row>
        <row r="152">
          <cell r="C152">
            <v>12502</v>
          </cell>
        </row>
        <row r="153">
          <cell r="C153">
            <v>12503</v>
          </cell>
        </row>
        <row r="154">
          <cell r="C154">
            <v>12504</v>
          </cell>
        </row>
        <row r="155">
          <cell r="C155">
            <v>125</v>
          </cell>
        </row>
        <row r="158">
          <cell r="C158">
            <v>12601</v>
          </cell>
        </row>
        <row r="159">
          <cell r="C159">
            <v>12605</v>
          </cell>
        </row>
        <row r="160">
          <cell r="C160">
            <v>12606</v>
          </cell>
        </row>
        <row r="161">
          <cell r="C161">
            <v>126</v>
          </cell>
        </row>
        <row r="167">
          <cell r="C167">
            <v>13101</v>
          </cell>
        </row>
        <row r="168">
          <cell r="C168">
            <v>13102</v>
          </cell>
        </row>
        <row r="169">
          <cell r="C169">
            <v>13103</v>
          </cell>
        </row>
        <row r="170">
          <cell r="C170">
            <v>131</v>
          </cell>
        </row>
        <row r="173">
          <cell r="C173">
            <v>13201</v>
          </cell>
        </row>
        <row r="178">
          <cell r="C178">
            <v>14101</v>
          </cell>
        </row>
        <row r="179">
          <cell r="C179">
            <v>14102</v>
          </cell>
        </row>
        <row r="180">
          <cell r="C180">
            <v>14103</v>
          </cell>
        </row>
        <row r="181">
          <cell r="C181">
            <v>14104</v>
          </cell>
        </row>
        <row r="182">
          <cell r="C182">
            <v>141</v>
          </cell>
        </row>
        <row r="185">
          <cell r="C185">
            <v>14201</v>
          </cell>
        </row>
        <row r="186">
          <cell r="C186">
            <v>14202</v>
          </cell>
        </row>
        <row r="187">
          <cell r="C187">
            <v>14203</v>
          </cell>
        </row>
        <row r="188">
          <cell r="C188">
            <v>14204</v>
          </cell>
        </row>
        <row r="189">
          <cell r="C189">
            <v>14205</v>
          </cell>
        </row>
        <row r="190">
          <cell r="C190">
            <v>142</v>
          </cell>
        </row>
        <row r="195">
          <cell r="C195">
            <v>16101</v>
          </cell>
        </row>
        <row r="196">
          <cell r="C196">
            <v>16104</v>
          </cell>
        </row>
        <row r="197">
          <cell r="C197">
            <v>16105</v>
          </cell>
        </row>
        <row r="198">
          <cell r="C198">
            <v>161</v>
          </cell>
        </row>
        <row r="203">
          <cell r="C203">
            <v>17101</v>
          </cell>
        </row>
        <row r="204">
          <cell r="C204">
            <v>17102</v>
          </cell>
        </row>
        <row r="205">
          <cell r="C205">
            <v>17103</v>
          </cell>
        </row>
        <row r="206">
          <cell r="C206">
            <v>171</v>
          </cell>
        </row>
        <row r="209">
          <cell r="C209">
            <v>17201</v>
          </cell>
        </row>
        <row r="210">
          <cell r="C210">
            <v>17202</v>
          </cell>
        </row>
        <row r="211">
          <cell r="C211">
            <v>17203</v>
          </cell>
        </row>
        <row r="212">
          <cell r="C212">
            <v>17204</v>
          </cell>
        </row>
        <row r="213">
          <cell r="C213">
            <v>17205</v>
          </cell>
        </row>
        <row r="214">
          <cell r="C214">
            <v>172</v>
          </cell>
        </row>
        <row r="217">
          <cell r="C217">
            <v>17301</v>
          </cell>
        </row>
        <row r="218">
          <cell r="C218">
            <v>17302</v>
          </cell>
        </row>
        <row r="219">
          <cell r="C219">
            <v>17303</v>
          </cell>
        </row>
        <row r="220">
          <cell r="C220">
            <v>17304</v>
          </cell>
        </row>
        <row r="221">
          <cell r="C221">
            <v>17305</v>
          </cell>
        </row>
        <row r="222">
          <cell r="C222">
            <v>17306</v>
          </cell>
        </row>
        <row r="223">
          <cell r="C223">
            <v>17307</v>
          </cell>
        </row>
        <row r="224">
          <cell r="C224">
            <v>17308</v>
          </cell>
        </row>
        <row r="225">
          <cell r="C225">
            <v>17309</v>
          </cell>
        </row>
        <row r="226">
          <cell r="C226">
            <v>17310</v>
          </cell>
        </row>
        <row r="227">
          <cell r="C227">
            <v>17311</v>
          </cell>
        </row>
        <row r="228">
          <cell r="C228">
            <v>17312</v>
          </cell>
        </row>
        <row r="229">
          <cell r="C229">
            <v>17313</v>
          </cell>
        </row>
        <row r="230">
          <cell r="C230">
            <v>17314</v>
          </cell>
        </row>
        <row r="231">
          <cell r="C231">
            <v>17315</v>
          </cell>
        </row>
        <row r="232">
          <cell r="C232">
            <v>17316</v>
          </cell>
        </row>
        <row r="233">
          <cell r="C233">
            <v>17317</v>
          </cell>
        </row>
        <row r="234">
          <cell r="C234">
            <v>17318</v>
          </cell>
        </row>
        <row r="235">
          <cell r="C235">
            <v>17323</v>
          </cell>
        </row>
        <row r="236">
          <cell r="C236">
            <v>173</v>
          </cell>
        </row>
        <row r="238">
          <cell r="C238">
            <v>10000</v>
          </cell>
        </row>
        <row r="243">
          <cell r="C243">
            <v>21101</v>
          </cell>
        </row>
        <row r="244">
          <cell r="C244">
            <v>21102</v>
          </cell>
        </row>
        <row r="245">
          <cell r="C245">
            <v>21103</v>
          </cell>
        </row>
        <row r="246">
          <cell r="C246">
            <v>21104</v>
          </cell>
        </row>
        <row r="247">
          <cell r="C247">
            <v>211</v>
          </cell>
        </row>
        <row r="250">
          <cell r="C250">
            <v>21201</v>
          </cell>
        </row>
        <row r="251">
          <cell r="C251">
            <v>21202</v>
          </cell>
        </row>
        <row r="252">
          <cell r="C252">
            <v>21203</v>
          </cell>
        </row>
        <row r="253">
          <cell r="C253">
            <v>21204</v>
          </cell>
        </row>
        <row r="254">
          <cell r="C254">
            <v>212</v>
          </cell>
        </row>
        <row r="257">
          <cell r="C257">
            <v>21301</v>
          </cell>
        </row>
        <row r="258">
          <cell r="C258">
            <v>21302</v>
          </cell>
        </row>
        <row r="259">
          <cell r="C259">
            <v>21303</v>
          </cell>
        </row>
        <row r="260">
          <cell r="C260">
            <v>21304</v>
          </cell>
        </row>
        <row r="261">
          <cell r="C261">
            <v>213</v>
          </cell>
        </row>
        <row r="266">
          <cell r="C266">
            <v>22101</v>
          </cell>
        </row>
        <row r="267">
          <cell r="C267">
            <v>22102</v>
          </cell>
        </row>
        <row r="268">
          <cell r="C268">
            <v>22103</v>
          </cell>
        </row>
        <row r="269">
          <cell r="C269">
            <v>22104</v>
          </cell>
        </row>
        <row r="270">
          <cell r="C270">
            <v>22105</v>
          </cell>
        </row>
        <row r="271">
          <cell r="C271">
            <v>22106</v>
          </cell>
        </row>
        <row r="272">
          <cell r="C272">
            <v>22107</v>
          </cell>
        </row>
        <row r="273">
          <cell r="C273">
            <v>22108</v>
          </cell>
        </row>
        <row r="274">
          <cell r="C274">
            <v>22109</v>
          </cell>
        </row>
        <row r="275">
          <cell r="C275">
            <v>22110</v>
          </cell>
        </row>
        <row r="276">
          <cell r="C276">
            <v>22111</v>
          </cell>
        </row>
        <row r="277">
          <cell r="C277">
            <v>22112</v>
          </cell>
        </row>
        <row r="278">
          <cell r="C278">
            <v>22113</v>
          </cell>
        </row>
        <row r="279">
          <cell r="C279">
            <v>22114</v>
          </cell>
        </row>
        <row r="280">
          <cell r="C280">
            <v>221</v>
          </cell>
        </row>
        <row r="283">
          <cell r="C283">
            <v>22201</v>
          </cell>
        </row>
        <row r="284">
          <cell r="C284">
            <v>22202</v>
          </cell>
        </row>
        <row r="285">
          <cell r="C285">
            <v>22203</v>
          </cell>
        </row>
        <row r="286">
          <cell r="C286">
            <v>22204</v>
          </cell>
        </row>
        <row r="287">
          <cell r="C287">
            <v>22205</v>
          </cell>
        </row>
        <row r="288">
          <cell r="C288">
            <v>22206</v>
          </cell>
        </row>
        <row r="289">
          <cell r="C289">
            <v>22207</v>
          </cell>
        </row>
        <row r="290">
          <cell r="C290">
            <v>22208</v>
          </cell>
        </row>
        <row r="291">
          <cell r="C291">
            <v>22209</v>
          </cell>
        </row>
        <row r="292">
          <cell r="C292">
            <v>22210</v>
          </cell>
        </row>
        <row r="293">
          <cell r="C293">
            <v>22211</v>
          </cell>
        </row>
        <row r="294">
          <cell r="C294">
            <v>22212</v>
          </cell>
        </row>
        <row r="295">
          <cell r="C295">
            <v>22213</v>
          </cell>
        </row>
        <row r="296">
          <cell r="C296">
            <v>22214</v>
          </cell>
        </row>
        <row r="297">
          <cell r="C297">
            <v>22215</v>
          </cell>
        </row>
        <row r="298">
          <cell r="C298">
            <v>22216</v>
          </cell>
        </row>
        <row r="299">
          <cell r="C299">
            <v>222</v>
          </cell>
        </row>
        <row r="302">
          <cell r="C302">
            <v>22301</v>
          </cell>
        </row>
        <row r="303">
          <cell r="C303">
            <v>22302</v>
          </cell>
        </row>
        <row r="304">
          <cell r="C304">
            <v>22303</v>
          </cell>
        </row>
        <row r="305">
          <cell r="C305">
            <v>22304</v>
          </cell>
        </row>
        <row r="306">
          <cell r="C306">
            <v>22305</v>
          </cell>
        </row>
        <row r="307">
          <cell r="C307">
            <v>22306</v>
          </cell>
        </row>
        <row r="308">
          <cell r="C308">
            <v>22307</v>
          </cell>
        </row>
        <row r="309">
          <cell r="C309">
            <v>22308</v>
          </cell>
        </row>
        <row r="310">
          <cell r="C310">
            <v>22309</v>
          </cell>
        </row>
        <row r="311">
          <cell r="C311">
            <v>22310</v>
          </cell>
        </row>
        <row r="312">
          <cell r="C312">
            <v>22311</v>
          </cell>
        </row>
        <row r="313">
          <cell r="C313">
            <v>22312</v>
          </cell>
        </row>
        <row r="314">
          <cell r="C314">
            <v>22313</v>
          </cell>
        </row>
        <row r="315">
          <cell r="C315">
            <v>22314</v>
          </cell>
        </row>
        <row r="316">
          <cell r="C316">
            <v>22315</v>
          </cell>
        </row>
        <row r="317">
          <cell r="C317">
            <v>22316</v>
          </cell>
        </row>
        <row r="318">
          <cell r="C318">
            <v>223</v>
          </cell>
        </row>
        <row r="323">
          <cell r="C323">
            <v>23101</v>
          </cell>
        </row>
        <row r="324">
          <cell r="C324">
            <v>23103</v>
          </cell>
        </row>
        <row r="325">
          <cell r="C325">
            <v>231</v>
          </cell>
        </row>
        <row r="330">
          <cell r="C330">
            <v>24101</v>
          </cell>
        </row>
        <row r="331">
          <cell r="C331">
            <v>24102</v>
          </cell>
        </row>
        <row r="332">
          <cell r="C332">
            <v>24103</v>
          </cell>
        </row>
        <row r="333">
          <cell r="C333">
            <v>24104</v>
          </cell>
        </row>
        <row r="334">
          <cell r="C334">
            <v>24105</v>
          </cell>
        </row>
        <row r="335">
          <cell r="C335">
            <v>24107</v>
          </cell>
        </row>
        <row r="337">
          <cell r="C337">
            <v>241</v>
          </cell>
        </row>
        <row r="340">
          <cell r="C340">
            <v>24201</v>
          </cell>
        </row>
        <row r="341">
          <cell r="C341">
            <v>24203</v>
          </cell>
        </row>
        <row r="342">
          <cell r="C342">
            <v>24205</v>
          </cell>
        </row>
        <row r="343">
          <cell r="C343">
            <v>24206</v>
          </cell>
        </row>
        <row r="344">
          <cell r="C344">
            <v>24207</v>
          </cell>
        </row>
        <row r="345">
          <cell r="C345">
            <v>242</v>
          </cell>
        </row>
        <row r="350">
          <cell r="C350">
            <v>25101</v>
          </cell>
        </row>
        <row r="351">
          <cell r="C351">
            <v>251</v>
          </cell>
        </row>
        <row r="354">
          <cell r="C354">
            <v>25201</v>
          </cell>
        </row>
        <row r="359">
          <cell r="C359">
            <v>26101</v>
          </cell>
        </row>
        <row r="360">
          <cell r="C360">
            <v>26102</v>
          </cell>
        </row>
        <row r="361">
          <cell r="C361">
            <v>26103</v>
          </cell>
        </row>
        <row r="362">
          <cell r="C362">
            <v>26104</v>
          </cell>
        </row>
        <row r="363">
          <cell r="C363">
            <v>26105</v>
          </cell>
        </row>
        <row r="364">
          <cell r="C364">
            <v>26106</v>
          </cell>
        </row>
        <row r="365">
          <cell r="C365">
            <v>26107</v>
          </cell>
        </row>
        <row r="366">
          <cell r="C366">
            <v>26108</v>
          </cell>
        </row>
        <row r="367">
          <cell r="C367">
            <v>26109</v>
          </cell>
        </row>
        <row r="368">
          <cell r="C368">
            <v>261</v>
          </cell>
        </row>
        <row r="371">
          <cell r="C371">
            <v>26214</v>
          </cell>
        </row>
        <row r="376">
          <cell r="C376">
            <v>28101</v>
          </cell>
        </row>
        <row r="377">
          <cell r="C377">
            <v>28102</v>
          </cell>
        </row>
        <row r="378">
          <cell r="C378">
            <v>28103</v>
          </cell>
        </row>
        <row r="379">
          <cell r="C379">
            <v>28104</v>
          </cell>
        </row>
        <row r="380">
          <cell r="C380">
            <v>28105</v>
          </cell>
        </row>
        <row r="381">
          <cell r="C381">
            <v>28106</v>
          </cell>
        </row>
        <row r="382">
          <cell r="C382">
            <v>28107</v>
          </cell>
        </row>
        <row r="383">
          <cell r="C383">
            <v>28108</v>
          </cell>
        </row>
        <row r="384">
          <cell r="C384">
            <v>28109</v>
          </cell>
        </row>
        <row r="385">
          <cell r="C385">
            <v>28110</v>
          </cell>
        </row>
        <row r="386">
          <cell r="C386">
            <v>28111</v>
          </cell>
        </row>
        <row r="387">
          <cell r="C387">
            <v>28112</v>
          </cell>
        </row>
        <row r="388">
          <cell r="C388">
            <v>281</v>
          </cell>
        </row>
        <row r="393">
          <cell r="C393">
            <v>29101</v>
          </cell>
        </row>
        <row r="394">
          <cell r="C394">
            <v>29102</v>
          </cell>
        </row>
        <row r="395">
          <cell r="C395">
            <v>29103</v>
          </cell>
        </row>
        <row r="396">
          <cell r="C396">
            <v>291</v>
          </cell>
        </row>
        <row r="399">
          <cell r="C399">
            <v>29201</v>
          </cell>
        </row>
        <row r="400">
          <cell r="C400">
            <v>29202</v>
          </cell>
        </row>
        <row r="401">
          <cell r="C401">
            <v>29203</v>
          </cell>
        </row>
        <row r="402">
          <cell r="C402">
            <v>29204</v>
          </cell>
        </row>
        <row r="403">
          <cell r="C403">
            <v>29205</v>
          </cell>
        </row>
        <row r="404">
          <cell r="C404">
            <v>292</v>
          </cell>
        </row>
        <row r="407">
          <cell r="C407">
            <v>29301</v>
          </cell>
        </row>
        <row r="408">
          <cell r="C408">
            <v>29302</v>
          </cell>
        </row>
        <row r="409">
          <cell r="C409">
            <v>29303</v>
          </cell>
        </row>
        <row r="410">
          <cell r="C410">
            <v>29304</v>
          </cell>
        </row>
        <row r="411">
          <cell r="C411">
            <v>29306</v>
          </cell>
        </row>
        <row r="412">
          <cell r="C412">
            <v>29307</v>
          </cell>
        </row>
        <row r="413">
          <cell r="C413">
            <v>29312</v>
          </cell>
        </row>
        <row r="414">
          <cell r="C414">
            <v>29314</v>
          </cell>
        </row>
        <row r="415">
          <cell r="C415">
            <v>29315</v>
          </cell>
        </row>
        <row r="416">
          <cell r="C416">
            <v>29316</v>
          </cell>
        </row>
        <row r="417">
          <cell r="C417">
            <v>29317</v>
          </cell>
        </row>
        <row r="418">
          <cell r="C418">
            <v>29318</v>
          </cell>
        </row>
        <row r="419">
          <cell r="C419">
            <v>29319</v>
          </cell>
        </row>
        <row r="420">
          <cell r="C420">
            <v>29320</v>
          </cell>
        </row>
        <row r="421">
          <cell r="C421">
            <v>29321</v>
          </cell>
        </row>
        <row r="422">
          <cell r="C422">
            <v>29322</v>
          </cell>
        </row>
        <row r="424">
          <cell r="C424">
            <v>29323</v>
          </cell>
        </row>
        <row r="425">
          <cell r="C425">
            <v>29324</v>
          </cell>
        </row>
        <row r="426">
          <cell r="C426">
            <v>29325</v>
          </cell>
        </row>
        <row r="427">
          <cell r="C427">
            <v>29326</v>
          </cell>
        </row>
        <row r="428">
          <cell r="C428">
            <v>29327</v>
          </cell>
        </row>
        <row r="429">
          <cell r="C429">
            <v>29328</v>
          </cell>
        </row>
        <row r="430">
          <cell r="C430">
            <v>29329</v>
          </cell>
        </row>
        <row r="431">
          <cell r="C431">
            <v>293</v>
          </cell>
        </row>
        <row r="434">
          <cell r="C434">
            <v>29401</v>
          </cell>
        </row>
        <row r="435">
          <cell r="C435">
            <v>29417</v>
          </cell>
        </row>
        <row r="436">
          <cell r="C436">
            <v>29402</v>
          </cell>
        </row>
        <row r="437">
          <cell r="C437">
            <v>29403</v>
          </cell>
        </row>
        <row r="438">
          <cell r="C438">
            <v>29404</v>
          </cell>
        </row>
        <row r="439">
          <cell r="C439">
            <v>29405</v>
          </cell>
        </row>
        <row r="440">
          <cell r="C440">
            <v>29406</v>
          </cell>
        </row>
        <row r="441">
          <cell r="C441">
            <v>29407</v>
          </cell>
        </row>
        <row r="442">
          <cell r="C442">
            <v>29409</v>
          </cell>
        </row>
        <row r="443">
          <cell r="C443">
            <v>29410</v>
          </cell>
        </row>
        <row r="444">
          <cell r="C444">
            <v>29411</v>
          </cell>
        </row>
        <row r="445">
          <cell r="C445">
            <v>29412</v>
          </cell>
        </row>
        <row r="446">
          <cell r="C446">
            <v>29413</v>
          </cell>
        </row>
        <row r="447">
          <cell r="C447">
            <v>29414</v>
          </cell>
        </row>
        <row r="448">
          <cell r="C448">
            <v>29415</v>
          </cell>
        </row>
        <row r="449">
          <cell r="C449">
            <v>29416</v>
          </cell>
        </row>
        <row r="450">
          <cell r="C450">
            <v>29418</v>
          </cell>
        </row>
        <row r="451">
          <cell r="C451">
            <v>29419</v>
          </cell>
        </row>
        <row r="452">
          <cell r="C452">
            <v>29420</v>
          </cell>
        </row>
        <row r="453">
          <cell r="C453">
            <v>29421</v>
          </cell>
        </row>
        <row r="454">
          <cell r="C454">
            <v>29422</v>
          </cell>
        </row>
        <row r="455">
          <cell r="C455">
            <v>29423</v>
          </cell>
        </row>
        <row r="456">
          <cell r="C456">
            <v>29425</v>
          </cell>
        </row>
        <row r="457">
          <cell r="C457">
            <v>294</v>
          </cell>
        </row>
        <row r="459">
          <cell r="C459">
            <v>20000</v>
          </cell>
        </row>
        <row r="462">
          <cell r="C462">
            <v>35001</v>
          </cell>
        </row>
        <row r="464">
          <cell r="C464">
            <v>33001</v>
          </cell>
        </row>
        <row r="465">
          <cell r="C465">
            <v>33002</v>
          </cell>
        </row>
      </sheetData>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BUDGETS"/>
      <sheetName val="FS-Q"/>
      <sheetName val="LEAD"/>
      <sheetName val="PORTFOL"/>
      <sheetName val="MD-BOARD"/>
      <sheetName val="CONSO"/>
      <sheetName val="Depart"/>
      <sheetName val="IFC RATIOS"/>
      <sheetName val="CONSO-FSQ"/>
      <sheetName val="MGEN TRANS"/>
      <sheetName val="TB"/>
      <sheetName val="MGEN TZ"/>
      <sheetName val="LSA"/>
      <sheetName val="Proforma"/>
    </sheetNames>
    <sheetDataSet>
      <sheetData sheetId="0">
        <row r="1">
          <cell r="B1">
            <v>40178</v>
          </cell>
        </row>
        <row r="2">
          <cell r="B2">
            <v>39813</v>
          </cell>
        </row>
      </sheetData>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R REG BY CLASS OF ASSET"/>
      <sheetName val="ALL BRANCHES"/>
      <sheetName val="PPE NOTE"/>
      <sheetName val="Disposal"/>
      <sheetName val="LSK"/>
      <sheetName val="JV FORM LSK"/>
      <sheetName val="KITWE"/>
      <sheetName val="KITWE JV FORM"/>
      <sheetName val="NDOLA"/>
      <sheetName val="JV FORM NDOLA"/>
      <sheetName val="LSTONE"/>
      <sheetName val="JV FORM L STONE"/>
      <sheetName val="KABWE"/>
      <sheetName val="JV FORN KABWE"/>
      <sheetName val="SOLWEZI"/>
      <sheetName val="SOLWEZI JV FORM"/>
      <sheetName val="CHIPATA"/>
      <sheetName val="CHIPATA JV FORM"/>
      <sheetName val="JV WORKINGS"/>
      <sheetName val="Date"/>
      <sheetName val="Additions"/>
      <sheetName val="Sheet1"/>
      <sheetName val="Fully deprecia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v>40544</v>
          </cell>
        </row>
      </sheetData>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R REG BY CLASS OF ASSET"/>
      <sheetName val="ALL BRANCHES"/>
      <sheetName val="PPE NOTE"/>
      <sheetName val="Disposal"/>
      <sheetName val="LSK"/>
      <sheetName val="JV FORM LSK"/>
      <sheetName val="KITWE"/>
      <sheetName val="KITWE JV FORM"/>
      <sheetName val="NDOLA"/>
      <sheetName val="JV FORM NDOLA"/>
      <sheetName val="LSTONE"/>
      <sheetName val="JV FORM L STONE"/>
      <sheetName val="KABWE"/>
      <sheetName val="JV FORN KABWE"/>
      <sheetName val="SOLWEZI"/>
      <sheetName val="SOLWEZI JV FORM"/>
      <sheetName val="CHIPATA"/>
      <sheetName val="CHIPATA JV FORM"/>
      <sheetName val="JV WORKINGS"/>
      <sheetName val="Date"/>
      <sheetName val="Additions"/>
      <sheetName val="Sheet1"/>
      <sheetName val="Fully deprecia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v>40908</v>
          </cell>
        </row>
      </sheetData>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Additions"/>
      <sheetName val="Physical Verification"/>
      <sheetName val="Disposals"/>
      <sheetName val="Depreciation"/>
      <sheetName val="Tickmarks"/>
      <sheetName val="CMA Sample "/>
      <sheetName val="Audit Sampling Table"/>
      <sheetName val="CMA Sample"/>
      <sheetName val="Two Strata example"/>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редиты"/>
      <sheetName val="Изменения"/>
      <sheetName val="Обеспечение"/>
      <sheetName val="10 круп"/>
      <sheetName val="20 круп"/>
      <sheetName val="Гарантии"/>
      <sheetName val="Module1"/>
    </sheetNames>
    <sheetDataSet>
      <sheetData sheetId="0"/>
      <sheetData sheetId="1"/>
      <sheetData sheetId="2"/>
      <sheetData sheetId="3"/>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s>
    <definedNames>
      <definedName name="FORData"/>
      <definedName name="StartSeller"/>
    </defined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KC"/>
      <sheetName val="INCOME STATEMENT-ECUADOR"/>
      <sheetName val="BALANCE SHEET-KC"/>
      <sheetName val="BALANCE SHEET-ECUADOR"/>
      <sheetName val="ENTRIES OF ADJUSMENTS-KC"/>
      <sheetName val="ENTRIES OF ADJUSMENTS-ECUADOR"/>
      <sheetName val="INDEX"/>
      <sheetName val="O"/>
      <sheetName val="1-KC"/>
      <sheetName val="ATTACHEMENT TO SCH  1-KC"/>
      <sheetName val="1-ECUADOR"/>
      <sheetName val="1A"/>
      <sheetName val="2-KC"/>
      <sheetName val="2-ECUADOR"/>
      <sheetName val="3"/>
      <sheetName val="4"/>
      <sheetName val="4A(1)"/>
      <sheetName val="4B(1)"/>
      <sheetName val="4D(1)"/>
      <sheetName val="4E(1)"/>
      <sheetName val="5(1)"/>
      <sheetName val="5A"/>
      <sheetName val="5B"/>
      <sheetName val="5C"/>
      <sheetName val="5D"/>
      <sheetName val="6(1)"/>
      <sheetName val="7-KC"/>
      <sheetName val="7-ECUADOR"/>
      <sheetName val="8"/>
      <sheetName val="8A(1)"/>
      <sheetName val="8A(2)"/>
      <sheetName val="8A(3)"/>
      <sheetName val="8B"/>
      <sheetName val="9"/>
      <sheetName val="10"/>
      <sheetName val="10A"/>
      <sheetName val="10B"/>
      <sheetName val="11(1)"/>
      <sheetName val="11(2)"/>
      <sheetName val="11B"/>
      <sheetName val="12"/>
      <sheetName val="13"/>
      <sheetName val="14A(1)"/>
      <sheetName val="14B(1)"/>
      <sheetName val="15(1)"/>
      <sheetName val="15(2)"/>
      <sheetName val="15(3)"/>
      <sheetName val="Exh.2.1A"/>
      <sheetName val="Exh.2.1B"/>
      <sheetName val="WSV Background"/>
      <sheetName val="Menu"/>
      <sheetName val="INCOME_STATEMENT-KC"/>
      <sheetName val="INCOME_STATEMENT-ECUADOR"/>
      <sheetName val="BALANCE_SHEET-KC"/>
      <sheetName val="BALANCE_SHEET-ECUADOR"/>
      <sheetName val="ENTRIES_OF_ADJUSMENTS-KC"/>
      <sheetName val="ENTRIES_OF_ADJUSMENTS-ECUADOR"/>
      <sheetName val="ATTACHEMENT_TO_SCH__1-KC"/>
      <sheetName val="Exh_2_1A"/>
      <sheetName val="Exh_2_1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est-Valuation"/>
      <sheetName val="Test-Cash"/>
      <sheetName val="Test-Interbank"/>
      <sheetName val="CMA-NOSTRO"/>
      <sheetName val="CMA-Deposits"/>
      <sheetName val="Mandatory Reserves"/>
      <sheetName val="1990-PBC"/>
      <sheetName val="1993-PBC"/>
      <sheetName val="1220-PBC"/>
      <sheetName val="1202-PBC"/>
      <sheetName val="1201-PBC"/>
      <sheetName val="XREF"/>
      <sheetName val="Tickmarks"/>
      <sheetName val="Test_Valuation"/>
      <sheetName val="OpEx Detail"/>
      <sheetName val="Worksheet in (C) 5101 Денежные "/>
      <sheetName val="MOE"/>
      <sheetName val="Scenarios"/>
      <sheetName val="Income Statement"/>
      <sheetName val="BS"/>
      <sheetName val="Trade receiv"/>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OF ADJUSMENTS-GAAP"/>
      <sheetName val="BALANCE SHEET-GAAP"/>
      <sheetName val="INCOME STATEMENT-GAAP"/>
      <sheetName val="D"/>
      <sheetName val="E"/>
      <sheetName val="F"/>
      <sheetName val="PR Summary"/>
      <sheetName val="Consolidated Report"/>
      <sheetName val="Fuel Cons"/>
      <sheetName val="R&amp;M"/>
      <sheetName val="Blasting"/>
      <sheetName val="Electricity"/>
      <sheetName val="Kagem HEMM"/>
      <sheetName val="ENTRIES_OF_ADJUSMENTS-GAAP"/>
      <sheetName val="BALANCE_SHEET-GAAP"/>
      <sheetName val="INCOME_STATEMENT-GAAP"/>
      <sheetName val="PR_Summary"/>
      <sheetName val="Consolidated_Report"/>
      <sheetName val="Fuel_Cons"/>
      <sheetName val="Kagem_HEMM"/>
      <sheetName val="HEMM"/>
      <sheetName val="ledgers"/>
      <sheetName val="Summary"/>
    </sheetNames>
    <sheetDataSet>
      <sheetData sheetId="0"/>
      <sheetData sheetId="1" refreshError="1">
        <row r="19">
          <cell r="B19" t="str">
            <v xml:space="preserve">   Intercompany Receivables</v>
          </cell>
        </row>
        <row r="20">
          <cell r="B20" t="str">
            <v xml:space="preserve">   Inventory:  Wheat</v>
          </cell>
        </row>
        <row r="21">
          <cell r="B21" t="str">
            <v xml:space="preserve">   Inventory:  Flour</v>
          </cell>
        </row>
        <row r="22">
          <cell r="B22" t="str">
            <v xml:space="preserve">   Inventory:  Millfeed</v>
          </cell>
        </row>
        <row r="23">
          <cell r="B23" t="str">
            <v xml:space="preserve">   Inventory: Goods in transit</v>
          </cell>
        </row>
        <row r="24">
          <cell r="B24" t="str">
            <v xml:space="preserve">   Inventory:  Other Raw Materials</v>
          </cell>
        </row>
      </sheetData>
      <sheetData sheetId="2"/>
      <sheetData sheetId="3"/>
      <sheetData sheetId="4"/>
      <sheetData sheetId="5"/>
      <sheetData sheetId="6"/>
      <sheetData sheetId="7"/>
      <sheetData sheetId="8"/>
      <sheetData sheetId="9"/>
      <sheetData sheetId="10"/>
      <sheetData sheetId="11"/>
      <sheetData sheetId="12"/>
      <sheetData sheetId="13"/>
      <sheetData sheetId="14">
        <row r="19">
          <cell r="B19" t="str">
            <v xml:space="preserve">   Intercompany Receivables</v>
          </cell>
        </row>
      </sheetData>
      <sheetData sheetId="15"/>
      <sheetData sheetId="16"/>
      <sheetData sheetId="17"/>
      <sheetData sheetId="18"/>
      <sheetData sheetId="19"/>
      <sheetData sheetId="20"/>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_Late cut-off"/>
      <sheetName val="CMA_Late cut-off (2)"/>
      <sheetName val="CMA_Early cut-off (3)"/>
      <sheetName val="Guidance "/>
      <sheetName val="CMA Calculations- R Factor"/>
      <sheetName val="CMA Calculations- Figure 5440.1"/>
      <sheetName val="CMA Selections"/>
      <sheetName val="Tickmarks"/>
      <sheetName val="CMA_SampleDesign"/>
      <sheetName val="DialogInsert"/>
      <sheetName val="Group Information_2"/>
      <sheetName val="Group Information_3"/>
      <sheetName val="IT Information"/>
      <sheetName val="Trial Balance-ACTUALS"/>
      <sheetName val="Assumptions"/>
      <sheetName val="HN Units-budget 2007"/>
      <sheetName val="LX Units-budget 2007"/>
      <sheetName val="TBABLKSLS-budget 2007"/>
      <sheetName val="TBATE-budget 2007"/>
      <sheetName val="TY Units-budget 2007"/>
    </sheetNames>
    <sheetDataSet>
      <sheetData sheetId="0" refreshError="1"/>
      <sheetData sheetId="1" refreshError="1"/>
      <sheetData sheetId="2"/>
      <sheetData sheetId="3" refreshError="1"/>
      <sheetData sheetId="4" refreshError="1">
        <row r="16">
          <cell r="H16" t="e">
            <v>#DIV/0!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ущество"/>
      <sheetName val="НДС-68 счет"/>
      <sheetName val="Прибыль"/>
      <sheetName val="НДС тест-6 мес"/>
      <sheetName val="91-final"/>
      <sheetName val="НДС - январь"/>
      <sheetName val="НДС - фев"/>
      <sheetName val="НДС - март"/>
      <sheetName val="НДС - апрель"/>
      <sheetName val="НДС - май"/>
      <sheetName val="НДС - май (2)"/>
      <sheetName val="НДС - июнь"/>
      <sheetName val="Книга покупок"/>
      <sheetName val="Основные средства"/>
      <sheetName val="Займы"/>
      <sheetName val="Contacts"/>
      <sheetName val="НДС _ июнь"/>
      <sheetName val="MOE"/>
      <sheetName val="Scenarios"/>
      <sheetName val="Inputs"/>
      <sheetName val="Basic Info"/>
      <sheetName val="Процедуры"/>
      <sheetName val="Tests KYOM"/>
      <sheetName val="Summary"/>
      <sheetName val="Rates"/>
      <sheetName val="HO_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F2" t="str">
            <v>31.12.2005</v>
          </cell>
          <cell r="H2" t="str">
            <v>AJE</v>
          </cell>
          <cell r="I2" t="str">
            <v>Adjusted</v>
          </cell>
          <cell r="J2" t="str">
            <v>RJE</v>
          </cell>
          <cell r="K2" t="str">
            <v>Final</v>
          </cell>
          <cell r="M2" t="str">
            <v>30.09.2005</v>
          </cell>
        </row>
        <row r="4">
          <cell r="F4">
            <v>7337901</v>
          </cell>
          <cell r="H4">
            <v>0</v>
          </cell>
          <cell r="I4">
            <v>7337901</v>
          </cell>
          <cell r="J4">
            <v>0</v>
          </cell>
          <cell r="K4">
            <v>7337901</v>
          </cell>
          <cell r="M4">
            <v>13121734</v>
          </cell>
        </row>
        <row r="5">
          <cell r="F5">
            <v>5332250</v>
          </cell>
          <cell r="H5">
            <v>0</v>
          </cell>
          <cell r="I5">
            <v>5332250</v>
          </cell>
          <cell r="J5">
            <v>0</v>
          </cell>
          <cell r="K5">
            <v>5332250</v>
          </cell>
          <cell r="M5">
            <v>5199942</v>
          </cell>
        </row>
        <row r="6">
          <cell r="F6">
            <v>81925</v>
          </cell>
          <cell r="H6">
            <v>0</v>
          </cell>
          <cell r="I6">
            <v>81925</v>
          </cell>
          <cell r="J6">
            <v>0</v>
          </cell>
          <cell r="K6">
            <v>81925</v>
          </cell>
          <cell r="M6">
            <v>205066</v>
          </cell>
        </row>
        <row r="7">
          <cell r="F7">
            <v>0</v>
          </cell>
          <cell r="H7">
            <v>0</v>
          </cell>
          <cell r="I7">
            <v>0</v>
          </cell>
          <cell r="J7">
            <v>0</v>
          </cell>
          <cell r="K7">
            <v>0</v>
          </cell>
          <cell r="M7">
            <v>1725661</v>
          </cell>
        </row>
        <row r="8">
          <cell r="F8">
            <v>12839805</v>
          </cell>
          <cell r="H8">
            <v>0</v>
          </cell>
          <cell r="I8">
            <v>12839805</v>
          </cell>
          <cell r="J8">
            <v>0</v>
          </cell>
          <cell r="K8">
            <v>12839805</v>
          </cell>
          <cell r="M8">
            <v>4124385</v>
          </cell>
        </row>
        <row r="9">
          <cell r="F9">
            <v>25591881</v>
          </cell>
          <cell r="H9">
            <v>0</v>
          </cell>
          <cell r="I9">
            <v>25591881</v>
          </cell>
          <cell r="J9">
            <v>0</v>
          </cell>
          <cell r="K9">
            <v>25591881</v>
          </cell>
          <cell r="M9">
            <v>24376788</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14006292</v>
          </cell>
          <cell r="H15">
            <v>0</v>
          </cell>
          <cell r="I15">
            <v>14006292</v>
          </cell>
          <cell r="J15">
            <v>0</v>
          </cell>
          <cell r="K15">
            <v>14006292</v>
          </cell>
          <cell r="M15">
            <v>5750656</v>
          </cell>
        </row>
        <row r="16">
          <cell r="F16">
            <v>14006292</v>
          </cell>
          <cell r="H16">
            <v>0</v>
          </cell>
          <cell r="I16">
            <v>14006292</v>
          </cell>
          <cell r="J16">
            <v>0</v>
          </cell>
          <cell r="K16">
            <v>14006292</v>
          </cell>
          <cell r="M16">
            <v>5750656</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293826</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293826</v>
          </cell>
        </row>
        <row r="26">
          <cell r="F26">
            <v>1973084</v>
          </cell>
          <cell r="H26">
            <v>0</v>
          </cell>
          <cell r="I26">
            <v>1973084</v>
          </cell>
          <cell r="J26">
            <v>0</v>
          </cell>
          <cell r="K26">
            <v>1973084</v>
          </cell>
          <cell r="M26">
            <v>1335216</v>
          </cell>
        </row>
        <row r="27">
          <cell r="F27">
            <v>7146</v>
          </cell>
          <cell r="H27">
            <v>0</v>
          </cell>
          <cell r="I27">
            <v>7146</v>
          </cell>
          <cell r="J27">
            <v>0</v>
          </cell>
          <cell r="K27">
            <v>7146</v>
          </cell>
          <cell r="M27">
            <v>561596</v>
          </cell>
        </row>
        <row r="28">
          <cell r="F28">
            <v>14375</v>
          </cell>
          <cell r="H28">
            <v>0</v>
          </cell>
          <cell r="I28">
            <v>14375</v>
          </cell>
          <cell r="J28">
            <v>0</v>
          </cell>
          <cell r="K28">
            <v>14375</v>
          </cell>
          <cell r="M28">
            <v>607731</v>
          </cell>
        </row>
        <row r="29">
          <cell r="F29">
            <v>856750</v>
          </cell>
          <cell r="H29">
            <v>0</v>
          </cell>
          <cell r="I29">
            <v>856750</v>
          </cell>
          <cell r="J29">
            <v>0</v>
          </cell>
          <cell r="K29">
            <v>856750</v>
          </cell>
          <cell r="M29">
            <v>0</v>
          </cell>
        </row>
        <row r="30">
          <cell r="F30">
            <v>6192257</v>
          </cell>
          <cell r="H30">
            <v>0</v>
          </cell>
          <cell r="I30">
            <v>6192257</v>
          </cell>
          <cell r="J30">
            <v>0</v>
          </cell>
          <cell r="K30">
            <v>6192257</v>
          </cell>
          <cell r="M30">
            <v>3840562</v>
          </cell>
        </row>
        <row r="31">
          <cell r="F31">
            <v>5725359</v>
          </cell>
          <cell r="H31">
            <v>0</v>
          </cell>
          <cell r="I31">
            <v>5725359</v>
          </cell>
          <cell r="J31">
            <v>0</v>
          </cell>
          <cell r="K31">
            <v>5725359</v>
          </cell>
          <cell r="M31">
            <v>2422790</v>
          </cell>
        </row>
        <row r="32">
          <cell r="F32">
            <v>257326</v>
          </cell>
          <cell r="H32">
            <v>0</v>
          </cell>
          <cell r="I32">
            <v>257326</v>
          </cell>
          <cell r="J32">
            <v>0</v>
          </cell>
          <cell r="K32">
            <v>257326</v>
          </cell>
          <cell r="M32">
            <v>993932</v>
          </cell>
        </row>
        <row r="33">
          <cell r="F33">
            <v>0</v>
          </cell>
          <cell r="H33">
            <v>0</v>
          </cell>
          <cell r="I33">
            <v>0</v>
          </cell>
          <cell r="J33">
            <v>0</v>
          </cell>
          <cell r="K33">
            <v>0</v>
          </cell>
          <cell r="M33">
            <v>0</v>
          </cell>
        </row>
        <row r="34">
          <cell r="F34">
            <v>15026297</v>
          </cell>
          <cell r="H34">
            <v>0</v>
          </cell>
          <cell r="I34">
            <v>15026297</v>
          </cell>
          <cell r="J34">
            <v>0</v>
          </cell>
          <cell r="K34">
            <v>15026297</v>
          </cell>
          <cell r="M34">
            <v>9761827</v>
          </cell>
        </row>
        <row r="36">
          <cell r="F36">
            <v>97544</v>
          </cell>
          <cell r="H36">
            <v>0</v>
          </cell>
          <cell r="I36">
            <v>97544</v>
          </cell>
          <cell r="J36">
            <v>0</v>
          </cell>
          <cell r="K36">
            <v>97544</v>
          </cell>
          <cell r="M36">
            <v>396783</v>
          </cell>
        </row>
        <row r="37">
          <cell r="F37">
            <v>7346</v>
          </cell>
          <cell r="H37">
            <v>0</v>
          </cell>
          <cell r="I37">
            <v>7346</v>
          </cell>
          <cell r="J37">
            <v>0</v>
          </cell>
          <cell r="K37">
            <v>7346</v>
          </cell>
          <cell r="M37">
            <v>0</v>
          </cell>
        </row>
        <row r="38">
          <cell r="F38">
            <v>0</v>
          </cell>
          <cell r="H38">
            <v>0</v>
          </cell>
          <cell r="I38">
            <v>0</v>
          </cell>
          <cell r="J38">
            <v>0</v>
          </cell>
          <cell r="K38">
            <v>0</v>
          </cell>
          <cell r="M38">
            <v>0</v>
          </cell>
        </row>
        <row r="39">
          <cell r="F39">
            <v>0</v>
          </cell>
          <cell r="H39">
            <v>0</v>
          </cell>
          <cell r="I39">
            <v>0</v>
          </cell>
          <cell r="J39">
            <v>0</v>
          </cell>
          <cell r="K39">
            <v>0</v>
          </cell>
          <cell r="M39">
            <v>0</v>
          </cell>
        </row>
        <row r="40">
          <cell r="F40">
            <v>485980</v>
          </cell>
          <cell r="H40">
            <v>0</v>
          </cell>
          <cell r="I40">
            <v>485980</v>
          </cell>
          <cell r="J40">
            <v>0</v>
          </cell>
          <cell r="K40">
            <v>485980</v>
          </cell>
          <cell r="M40">
            <v>10719</v>
          </cell>
        </row>
        <row r="41">
          <cell r="F41">
            <v>8757</v>
          </cell>
          <cell r="H41">
            <v>0</v>
          </cell>
          <cell r="I41">
            <v>8757</v>
          </cell>
          <cell r="J41">
            <v>0</v>
          </cell>
          <cell r="K41">
            <v>8757</v>
          </cell>
          <cell r="M41">
            <v>3598</v>
          </cell>
        </row>
        <row r="42">
          <cell r="F42">
            <v>0</v>
          </cell>
          <cell r="H42">
            <v>0</v>
          </cell>
          <cell r="I42">
            <v>0</v>
          </cell>
          <cell r="J42">
            <v>0</v>
          </cell>
          <cell r="K42">
            <v>0</v>
          </cell>
          <cell r="M42">
            <v>7711</v>
          </cell>
        </row>
        <row r="43">
          <cell r="F43">
            <v>0</v>
          </cell>
          <cell r="H43">
            <v>0</v>
          </cell>
          <cell r="I43">
            <v>0</v>
          </cell>
          <cell r="J43">
            <v>0</v>
          </cell>
          <cell r="K43">
            <v>0</v>
          </cell>
          <cell r="M43">
            <v>0</v>
          </cell>
        </row>
        <row r="44">
          <cell r="F44">
            <v>599627</v>
          </cell>
          <cell r="H44">
            <v>0</v>
          </cell>
          <cell r="I44">
            <v>599627</v>
          </cell>
          <cell r="J44">
            <v>0</v>
          </cell>
          <cell r="K44">
            <v>599627</v>
          </cell>
          <cell r="M44">
            <v>418811</v>
          </cell>
        </row>
        <row r="46">
          <cell r="F46">
            <v>0</v>
          </cell>
          <cell r="H46">
            <v>0</v>
          </cell>
          <cell r="I46">
            <v>0</v>
          </cell>
          <cell r="J46">
            <v>0</v>
          </cell>
          <cell r="K46">
            <v>0</v>
          </cell>
          <cell r="M46">
            <v>0</v>
          </cell>
        </row>
        <row r="47">
          <cell r="F47">
            <v>0</v>
          </cell>
          <cell r="H47">
            <v>0</v>
          </cell>
          <cell r="I47">
            <v>0</v>
          </cell>
          <cell r="J47">
            <v>0</v>
          </cell>
          <cell r="K47">
            <v>0</v>
          </cell>
          <cell r="M47">
            <v>0</v>
          </cell>
        </row>
        <row r="48">
          <cell r="F48">
            <v>0</v>
          </cell>
          <cell r="H48">
            <v>0</v>
          </cell>
          <cell r="I48">
            <v>0</v>
          </cell>
          <cell r="J48">
            <v>0</v>
          </cell>
          <cell r="K48">
            <v>0</v>
          </cell>
          <cell r="M48">
            <v>0</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4">
          <cell r="F54">
            <v>0</v>
          </cell>
          <cell r="H54">
            <v>0</v>
          </cell>
          <cell r="I54">
            <v>0</v>
          </cell>
          <cell r="J54">
            <v>0</v>
          </cell>
          <cell r="K54">
            <v>0</v>
          </cell>
          <cell r="M54">
            <v>0</v>
          </cell>
        </row>
        <row r="55">
          <cell r="F55">
            <v>0</v>
          </cell>
          <cell r="H55">
            <v>0</v>
          </cell>
          <cell r="I55">
            <v>0</v>
          </cell>
          <cell r="J55">
            <v>0</v>
          </cell>
          <cell r="K55">
            <v>0</v>
          </cell>
          <cell r="M55">
            <v>106878</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0</v>
          </cell>
          <cell r="H59">
            <v>0</v>
          </cell>
          <cell r="I59">
            <v>0</v>
          </cell>
          <cell r="J59">
            <v>0</v>
          </cell>
          <cell r="K59">
            <v>0</v>
          </cell>
          <cell r="M59">
            <v>0</v>
          </cell>
        </row>
        <row r="60">
          <cell r="F60">
            <v>0</v>
          </cell>
          <cell r="H60">
            <v>0</v>
          </cell>
          <cell r="I60">
            <v>0</v>
          </cell>
          <cell r="J60">
            <v>0</v>
          </cell>
          <cell r="K60">
            <v>0</v>
          </cell>
          <cell r="M60">
            <v>0</v>
          </cell>
        </row>
        <row r="61">
          <cell r="F61">
            <v>0</v>
          </cell>
          <cell r="H61">
            <v>0</v>
          </cell>
          <cell r="I61">
            <v>0</v>
          </cell>
          <cell r="J61">
            <v>0</v>
          </cell>
          <cell r="K61">
            <v>0</v>
          </cell>
          <cell r="M61">
            <v>0</v>
          </cell>
        </row>
        <row r="62">
          <cell r="F62">
            <v>0</v>
          </cell>
          <cell r="H62">
            <v>0</v>
          </cell>
          <cell r="I62">
            <v>0</v>
          </cell>
          <cell r="J62">
            <v>0</v>
          </cell>
          <cell r="K62">
            <v>0</v>
          </cell>
          <cell r="M62">
            <v>1531738</v>
          </cell>
        </row>
        <row r="63">
          <cell r="F63">
            <v>0</v>
          </cell>
          <cell r="H63">
            <v>0</v>
          </cell>
          <cell r="I63">
            <v>0</v>
          </cell>
          <cell r="J63">
            <v>0</v>
          </cell>
          <cell r="K63">
            <v>0</v>
          </cell>
          <cell r="M63">
            <v>0</v>
          </cell>
        </row>
        <row r="64">
          <cell r="F64">
            <v>0</v>
          </cell>
          <cell r="H64">
            <v>0</v>
          </cell>
          <cell r="I64">
            <v>0</v>
          </cell>
          <cell r="J64">
            <v>0</v>
          </cell>
          <cell r="K64">
            <v>0</v>
          </cell>
          <cell r="M64">
            <v>1638616</v>
          </cell>
        </row>
        <row r="66">
          <cell r="F66">
            <v>0</v>
          </cell>
          <cell r="H66">
            <v>0</v>
          </cell>
          <cell r="I66">
            <v>0</v>
          </cell>
          <cell r="J66">
            <v>0</v>
          </cell>
          <cell r="K66">
            <v>0</v>
          </cell>
          <cell r="M66">
            <v>874443</v>
          </cell>
        </row>
        <row r="67">
          <cell r="F67">
            <v>20131</v>
          </cell>
          <cell r="H67">
            <v>0</v>
          </cell>
          <cell r="I67">
            <v>20131</v>
          </cell>
          <cell r="J67">
            <v>0</v>
          </cell>
          <cell r="K67">
            <v>20131</v>
          </cell>
          <cell r="M67">
            <v>2743311</v>
          </cell>
        </row>
        <row r="68">
          <cell r="F68">
            <v>1976545</v>
          </cell>
          <cell r="H68">
            <v>0</v>
          </cell>
          <cell r="I68">
            <v>1976545</v>
          </cell>
          <cell r="J68">
            <v>0</v>
          </cell>
          <cell r="K68">
            <v>1976545</v>
          </cell>
          <cell r="M68">
            <v>1957766</v>
          </cell>
        </row>
        <row r="69">
          <cell r="F69">
            <v>0</v>
          </cell>
          <cell r="H69">
            <v>0</v>
          </cell>
          <cell r="I69">
            <v>0</v>
          </cell>
          <cell r="J69">
            <v>0</v>
          </cell>
          <cell r="K69">
            <v>0</v>
          </cell>
          <cell r="M69">
            <v>0</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1996676</v>
          </cell>
          <cell r="H75">
            <v>0</v>
          </cell>
          <cell r="I75">
            <v>1996676</v>
          </cell>
          <cell r="J75">
            <v>0</v>
          </cell>
          <cell r="K75">
            <v>1996676</v>
          </cell>
          <cell r="M75">
            <v>5575520</v>
          </cell>
        </row>
        <row r="77">
          <cell r="F77">
            <v>-7331494</v>
          </cell>
          <cell r="H77">
            <v>0</v>
          </cell>
          <cell r="I77">
            <v>-7331494</v>
          </cell>
          <cell r="J77">
            <v>0</v>
          </cell>
          <cell r="K77">
            <v>-7331494</v>
          </cell>
          <cell r="M77">
            <v>-13121220</v>
          </cell>
        </row>
        <row r="78">
          <cell r="F78">
            <v>-5332804</v>
          </cell>
          <cell r="H78">
            <v>0</v>
          </cell>
          <cell r="I78">
            <v>-5332804</v>
          </cell>
          <cell r="J78">
            <v>0</v>
          </cell>
          <cell r="K78">
            <v>-5332804</v>
          </cell>
          <cell r="M78">
            <v>-5198134</v>
          </cell>
        </row>
        <row r="79">
          <cell r="F79">
            <v>-82044</v>
          </cell>
          <cell r="H79">
            <v>0</v>
          </cell>
          <cell r="I79">
            <v>-82044</v>
          </cell>
          <cell r="J79">
            <v>0</v>
          </cell>
          <cell r="K79">
            <v>-82044</v>
          </cell>
          <cell r="M79">
            <v>-142750</v>
          </cell>
        </row>
        <row r="80">
          <cell r="F80">
            <v>0</v>
          </cell>
          <cell r="H80">
            <v>0</v>
          </cell>
          <cell r="I80">
            <v>0</v>
          </cell>
          <cell r="J80">
            <v>0</v>
          </cell>
          <cell r="K80">
            <v>0</v>
          </cell>
          <cell r="M80">
            <v>-1439194</v>
          </cell>
        </row>
        <row r="81">
          <cell r="F81">
            <v>-13963330</v>
          </cell>
          <cell r="H81">
            <v>0</v>
          </cell>
          <cell r="I81">
            <v>-13963330</v>
          </cell>
          <cell r="J81">
            <v>0</v>
          </cell>
          <cell r="K81">
            <v>-13963330</v>
          </cell>
          <cell r="M81">
            <v>-5563064</v>
          </cell>
        </row>
        <row r="82">
          <cell r="F82">
            <v>-26709672</v>
          </cell>
          <cell r="H82">
            <v>0</v>
          </cell>
          <cell r="I82">
            <v>-26709672</v>
          </cell>
          <cell r="J82">
            <v>0</v>
          </cell>
          <cell r="K82">
            <v>-26709672</v>
          </cell>
          <cell r="M82">
            <v>-25464362</v>
          </cell>
        </row>
        <row r="84">
          <cell r="F84">
            <v>0</v>
          </cell>
          <cell r="H84">
            <v>0</v>
          </cell>
          <cell r="I84">
            <v>0</v>
          </cell>
          <cell r="J84">
            <v>0</v>
          </cell>
          <cell r="K84">
            <v>0</v>
          </cell>
          <cell r="M84">
            <v>0</v>
          </cell>
        </row>
        <row r="85">
          <cell r="F85">
            <v>0</v>
          </cell>
          <cell r="H85">
            <v>0</v>
          </cell>
          <cell r="I85">
            <v>0</v>
          </cell>
          <cell r="J85">
            <v>0</v>
          </cell>
          <cell r="K85">
            <v>0</v>
          </cell>
          <cell r="M85">
            <v>0</v>
          </cell>
        </row>
        <row r="86">
          <cell r="F86">
            <v>0</v>
          </cell>
          <cell r="H86">
            <v>0</v>
          </cell>
          <cell r="I86">
            <v>0</v>
          </cell>
          <cell r="J86">
            <v>0</v>
          </cell>
          <cell r="K86">
            <v>0</v>
          </cell>
          <cell r="M86">
            <v>0</v>
          </cell>
        </row>
        <row r="87">
          <cell r="F87">
            <v>0</v>
          </cell>
          <cell r="H87">
            <v>0</v>
          </cell>
          <cell r="I87">
            <v>0</v>
          </cell>
          <cell r="J87">
            <v>0</v>
          </cell>
          <cell r="K87">
            <v>0</v>
          </cell>
          <cell r="M87">
            <v>-322903</v>
          </cell>
        </row>
        <row r="88">
          <cell r="F88">
            <v>-12926065</v>
          </cell>
          <cell r="H88">
            <v>0</v>
          </cell>
          <cell r="I88">
            <v>-12926065</v>
          </cell>
          <cell r="J88">
            <v>0</v>
          </cell>
          <cell r="K88">
            <v>-12926065</v>
          </cell>
          <cell r="M88">
            <v>-4205584</v>
          </cell>
        </row>
        <row r="89">
          <cell r="F89">
            <v>-12926065</v>
          </cell>
          <cell r="H89">
            <v>0</v>
          </cell>
          <cell r="I89">
            <v>-12926065</v>
          </cell>
          <cell r="J89">
            <v>0</v>
          </cell>
          <cell r="K89">
            <v>-12926065</v>
          </cell>
          <cell r="M89">
            <v>-4528487</v>
          </cell>
        </row>
        <row r="91">
          <cell r="F91">
            <v>0</v>
          </cell>
          <cell r="H91">
            <v>0</v>
          </cell>
          <cell r="I91">
            <v>0</v>
          </cell>
          <cell r="J91">
            <v>0</v>
          </cell>
          <cell r="K91">
            <v>0</v>
          </cell>
          <cell r="M91">
            <v>0</v>
          </cell>
        </row>
        <row r="92">
          <cell r="F92">
            <v>0</v>
          </cell>
          <cell r="H92">
            <v>0</v>
          </cell>
          <cell r="I92">
            <v>0</v>
          </cell>
          <cell r="J92">
            <v>0</v>
          </cell>
          <cell r="K92">
            <v>0</v>
          </cell>
          <cell r="M92">
            <v>0</v>
          </cell>
        </row>
        <row r="93">
          <cell r="F93">
            <v>0</v>
          </cell>
          <cell r="H93">
            <v>0</v>
          </cell>
          <cell r="I93">
            <v>0</v>
          </cell>
          <cell r="J93">
            <v>0</v>
          </cell>
          <cell r="K93">
            <v>0</v>
          </cell>
          <cell r="M93">
            <v>-62572</v>
          </cell>
        </row>
        <row r="94">
          <cell r="F94">
            <v>-1628865</v>
          </cell>
          <cell r="H94">
            <v>0</v>
          </cell>
          <cell r="I94">
            <v>-1628865</v>
          </cell>
          <cell r="J94">
            <v>0</v>
          </cell>
          <cell r="K94">
            <v>-1628865</v>
          </cell>
          <cell r="M94">
            <v>-533365</v>
          </cell>
        </row>
        <row r="95">
          <cell r="F95">
            <v>0</v>
          </cell>
          <cell r="H95">
            <v>0</v>
          </cell>
          <cell r="I95">
            <v>0</v>
          </cell>
          <cell r="J95">
            <v>0</v>
          </cell>
          <cell r="K95">
            <v>0</v>
          </cell>
          <cell r="M95">
            <v>0</v>
          </cell>
        </row>
        <row r="96">
          <cell r="F96">
            <v>0</v>
          </cell>
          <cell r="H96">
            <v>0</v>
          </cell>
          <cell r="I96">
            <v>0</v>
          </cell>
          <cell r="J96">
            <v>0</v>
          </cell>
          <cell r="K96">
            <v>0</v>
          </cell>
          <cell r="M96">
            <v>0</v>
          </cell>
        </row>
        <row r="97">
          <cell r="F97">
            <v>-1628865</v>
          </cell>
          <cell r="H97">
            <v>0</v>
          </cell>
          <cell r="I97">
            <v>-1628865</v>
          </cell>
          <cell r="J97">
            <v>0</v>
          </cell>
          <cell r="K97">
            <v>-1628865</v>
          </cell>
          <cell r="M97">
            <v>-595937</v>
          </cell>
        </row>
        <row r="99">
          <cell r="F99">
            <v>-442559</v>
          </cell>
          <cell r="H99">
            <v>0</v>
          </cell>
          <cell r="I99">
            <v>-442559</v>
          </cell>
          <cell r="J99">
            <v>0</v>
          </cell>
          <cell r="K99">
            <v>-442559</v>
          </cell>
          <cell r="M99">
            <v>-1516737</v>
          </cell>
        </row>
        <row r="100">
          <cell r="F100">
            <v>-7264</v>
          </cell>
          <cell r="H100">
            <v>0</v>
          </cell>
          <cell r="I100">
            <v>-7264</v>
          </cell>
          <cell r="J100">
            <v>0</v>
          </cell>
          <cell r="K100">
            <v>-7264</v>
          </cell>
          <cell r="M100">
            <v>-288790</v>
          </cell>
        </row>
        <row r="101">
          <cell r="F101">
            <v>-14391</v>
          </cell>
          <cell r="H101">
            <v>0</v>
          </cell>
          <cell r="I101">
            <v>-14391</v>
          </cell>
          <cell r="J101">
            <v>0</v>
          </cell>
          <cell r="K101">
            <v>-14391</v>
          </cell>
          <cell r="M101">
            <v>-598040</v>
          </cell>
        </row>
        <row r="102">
          <cell r="F102">
            <v>-863475</v>
          </cell>
          <cell r="H102">
            <v>0</v>
          </cell>
          <cell r="I102">
            <v>-863475</v>
          </cell>
          <cell r="J102">
            <v>0</v>
          </cell>
          <cell r="K102">
            <v>-863475</v>
          </cell>
          <cell r="M102">
            <v>0</v>
          </cell>
        </row>
        <row r="103">
          <cell r="F103">
            <v>-6413884</v>
          </cell>
          <cell r="H103">
            <v>0</v>
          </cell>
          <cell r="I103">
            <v>-6413884</v>
          </cell>
          <cell r="J103">
            <v>0</v>
          </cell>
          <cell r="K103">
            <v>-6413884</v>
          </cell>
          <cell r="M103">
            <v>-3561553</v>
          </cell>
        </row>
        <row r="104">
          <cell r="F104">
            <v>-4874339</v>
          </cell>
          <cell r="H104">
            <v>0</v>
          </cell>
          <cell r="I104">
            <v>-4874339</v>
          </cell>
          <cell r="J104">
            <v>0</v>
          </cell>
          <cell r="K104">
            <v>-4874339</v>
          </cell>
          <cell r="M104">
            <v>-1443042</v>
          </cell>
        </row>
        <row r="105">
          <cell r="F105">
            <v>0</v>
          </cell>
          <cell r="H105">
            <v>0</v>
          </cell>
          <cell r="I105">
            <v>0</v>
          </cell>
          <cell r="J105">
            <v>0</v>
          </cell>
          <cell r="K105">
            <v>0</v>
          </cell>
          <cell r="M105">
            <v>-8308</v>
          </cell>
        </row>
        <row r="106">
          <cell r="F106">
            <v>0</v>
          </cell>
          <cell r="H106">
            <v>0</v>
          </cell>
          <cell r="I106">
            <v>0</v>
          </cell>
          <cell r="J106">
            <v>0</v>
          </cell>
          <cell r="K106">
            <v>0</v>
          </cell>
          <cell r="M106">
            <v>0</v>
          </cell>
        </row>
        <row r="107">
          <cell r="F107">
            <v>-12615912</v>
          </cell>
          <cell r="H107">
            <v>0</v>
          </cell>
          <cell r="I107">
            <v>-12615912</v>
          </cell>
          <cell r="J107">
            <v>0</v>
          </cell>
          <cell r="K107">
            <v>-12615912</v>
          </cell>
          <cell r="M107">
            <v>-7416470</v>
          </cell>
        </row>
        <row r="109">
          <cell r="F109">
            <v>0</v>
          </cell>
          <cell r="H109">
            <v>0</v>
          </cell>
          <cell r="I109">
            <v>0</v>
          </cell>
          <cell r="J109">
            <v>0</v>
          </cell>
          <cell r="K109">
            <v>0</v>
          </cell>
          <cell r="M109">
            <v>0</v>
          </cell>
        </row>
        <row r="110">
          <cell r="F110">
            <v>-7346</v>
          </cell>
          <cell r="H110">
            <v>0</v>
          </cell>
          <cell r="I110">
            <v>-7346</v>
          </cell>
          <cell r="J110">
            <v>0</v>
          </cell>
          <cell r="K110">
            <v>-7346</v>
          </cell>
          <cell r="M110">
            <v>-20098</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-268820</v>
          </cell>
          <cell r="H113">
            <v>0</v>
          </cell>
          <cell r="I113">
            <v>-268820</v>
          </cell>
          <cell r="J113">
            <v>0</v>
          </cell>
          <cell r="K113">
            <v>-268820</v>
          </cell>
          <cell r="M113">
            <v>-334961</v>
          </cell>
        </row>
        <row r="114">
          <cell r="F114">
            <v>-865364</v>
          </cell>
          <cell r="H114">
            <v>0</v>
          </cell>
          <cell r="I114">
            <v>-865364</v>
          </cell>
          <cell r="J114">
            <v>0</v>
          </cell>
          <cell r="K114">
            <v>-865364</v>
          </cell>
          <cell r="M114">
            <v>-1006997</v>
          </cell>
        </row>
        <row r="115">
          <cell r="F115">
            <v>-245352</v>
          </cell>
          <cell r="H115">
            <v>0</v>
          </cell>
          <cell r="I115">
            <v>-245352</v>
          </cell>
          <cell r="J115">
            <v>0</v>
          </cell>
          <cell r="K115">
            <v>-245352</v>
          </cell>
          <cell r="M115">
            <v>-1007077</v>
          </cell>
        </row>
        <row r="116">
          <cell r="F116">
            <v>0</v>
          </cell>
          <cell r="H116">
            <v>0</v>
          </cell>
          <cell r="I116">
            <v>0</v>
          </cell>
          <cell r="J116">
            <v>0</v>
          </cell>
          <cell r="K116">
            <v>0</v>
          </cell>
          <cell r="M116">
            <v>0</v>
          </cell>
        </row>
        <row r="117">
          <cell r="F117">
            <v>-1386882</v>
          </cell>
          <cell r="H117">
            <v>0</v>
          </cell>
          <cell r="I117">
            <v>-1386882</v>
          </cell>
          <cell r="J117">
            <v>0</v>
          </cell>
          <cell r="K117">
            <v>-1386882</v>
          </cell>
          <cell r="M117">
            <v>-2369133</v>
          </cell>
        </row>
        <row r="119">
          <cell r="F119">
            <v>0</v>
          </cell>
          <cell r="H119">
            <v>0</v>
          </cell>
          <cell r="I119">
            <v>0</v>
          </cell>
          <cell r="J119">
            <v>0</v>
          </cell>
          <cell r="K119">
            <v>0</v>
          </cell>
          <cell r="M119">
            <v>-255409</v>
          </cell>
        </row>
        <row r="120">
          <cell r="F120">
            <v>0</v>
          </cell>
          <cell r="H120">
            <v>0</v>
          </cell>
          <cell r="I120">
            <v>0</v>
          </cell>
          <cell r="J120">
            <v>0</v>
          </cell>
          <cell r="K120">
            <v>0</v>
          </cell>
          <cell r="M120">
            <v>0</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0</v>
          </cell>
          <cell r="H123">
            <v>0</v>
          </cell>
          <cell r="I123">
            <v>0</v>
          </cell>
          <cell r="J123">
            <v>0</v>
          </cell>
          <cell r="K123">
            <v>0</v>
          </cell>
          <cell r="M123">
            <v>0</v>
          </cell>
        </row>
        <row r="124">
          <cell r="F124">
            <v>0</v>
          </cell>
          <cell r="H124">
            <v>0</v>
          </cell>
          <cell r="I124">
            <v>0</v>
          </cell>
          <cell r="J124">
            <v>0</v>
          </cell>
          <cell r="K124">
            <v>0</v>
          </cell>
          <cell r="M124">
            <v>0</v>
          </cell>
        </row>
        <row r="125">
          <cell r="F125">
            <v>0</v>
          </cell>
          <cell r="H125">
            <v>0</v>
          </cell>
          <cell r="I125">
            <v>0</v>
          </cell>
          <cell r="J125">
            <v>0</v>
          </cell>
          <cell r="K125">
            <v>0</v>
          </cell>
          <cell r="M125">
            <v>-255409</v>
          </cell>
        </row>
        <row r="127">
          <cell r="F127">
            <v>0</v>
          </cell>
          <cell r="H127">
            <v>0</v>
          </cell>
          <cell r="I127">
            <v>0</v>
          </cell>
          <cell r="J127">
            <v>0</v>
          </cell>
          <cell r="K127">
            <v>0</v>
          </cell>
          <cell r="M127">
            <v>-1076707</v>
          </cell>
        </row>
        <row r="128">
          <cell r="F128">
            <v>-31107</v>
          </cell>
          <cell r="H128">
            <v>0</v>
          </cell>
          <cell r="I128">
            <v>-31107</v>
          </cell>
          <cell r="J128">
            <v>0</v>
          </cell>
          <cell r="K128">
            <v>-31107</v>
          </cell>
          <cell r="M128">
            <v>-3322936</v>
          </cell>
        </row>
        <row r="129">
          <cell r="F129">
            <v>-2427795</v>
          </cell>
          <cell r="H129">
            <v>0</v>
          </cell>
          <cell r="I129">
            <v>-2427795</v>
          </cell>
          <cell r="J129">
            <v>0</v>
          </cell>
          <cell r="K129">
            <v>-2427795</v>
          </cell>
          <cell r="M129">
            <v>-2192230</v>
          </cell>
        </row>
        <row r="130">
          <cell r="F130">
            <v>0</v>
          </cell>
          <cell r="H130">
            <v>0</v>
          </cell>
          <cell r="I130">
            <v>0</v>
          </cell>
          <cell r="J130">
            <v>0</v>
          </cell>
          <cell r="K130">
            <v>0</v>
          </cell>
          <cell r="M130">
            <v>0</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0</v>
          </cell>
          <cell r="H134">
            <v>0</v>
          </cell>
          <cell r="I134">
            <v>0</v>
          </cell>
          <cell r="J134">
            <v>0</v>
          </cell>
          <cell r="K134">
            <v>0</v>
          </cell>
          <cell r="M134">
            <v>0</v>
          </cell>
        </row>
        <row r="135">
          <cell r="F135">
            <v>0</v>
          </cell>
          <cell r="H135">
            <v>0</v>
          </cell>
          <cell r="I135">
            <v>0</v>
          </cell>
          <cell r="J135">
            <v>0</v>
          </cell>
          <cell r="K135">
            <v>0</v>
          </cell>
          <cell r="M135">
            <v>0</v>
          </cell>
        </row>
        <row r="136">
          <cell r="F136">
            <v>0</v>
          </cell>
          <cell r="H136">
            <v>0</v>
          </cell>
          <cell r="I136">
            <v>0</v>
          </cell>
          <cell r="J136">
            <v>0</v>
          </cell>
          <cell r="K136">
            <v>0</v>
          </cell>
          <cell r="M136">
            <v>0</v>
          </cell>
        </row>
        <row r="137">
          <cell r="F137">
            <v>-2458902</v>
          </cell>
          <cell r="H137">
            <v>0</v>
          </cell>
          <cell r="I137">
            <v>-2458902</v>
          </cell>
          <cell r="J137">
            <v>0</v>
          </cell>
          <cell r="K137">
            <v>-2458902</v>
          </cell>
          <cell r="M137">
            <v>-6591873</v>
          </cell>
        </row>
        <row r="139">
          <cell r="F139">
            <v>0</v>
          </cell>
          <cell r="H139">
            <v>0</v>
          </cell>
          <cell r="I139">
            <v>0</v>
          </cell>
          <cell r="J139">
            <v>0</v>
          </cell>
          <cell r="K139">
            <v>0</v>
          </cell>
          <cell r="M139">
            <v>0</v>
          </cell>
        </row>
        <row r="140">
          <cell r="F140">
            <v>0</v>
          </cell>
          <cell r="H140">
            <v>0</v>
          </cell>
          <cell r="I140">
            <v>0</v>
          </cell>
          <cell r="J140">
            <v>0</v>
          </cell>
          <cell r="K140">
            <v>0</v>
          </cell>
          <cell r="M140">
            <v>-96013</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0</v>
          </cell>
          <cell r="H144">
            <v>0</v>
          </cell>
          <cell r="I144">
            <v>0</v>
          </cell>
          <cell r="J144">
            <v>0</v>
          </cell>
          <cell r="K144">
            <v>0</v>
          </cell>
          <cell r="M144">
            <v>0</v>
          </cell>
        </row>
        <row r="145">
          <cell r="F145">
            <v>0</v>
          </cell>
          <cell r="H145">
            <v>0</v>
          </cell>
          <cell r="I145">
            <v>0</v>
          </cell>
          <cell r="J145">
            <v>0</v>
          </cell>
          <cell r="K145">
            <v>0</v>
          </cell>
          <cell r="M145">
            <v>0</v>
          </cell>
        </row>
        <row r="146">
          <cell r="F146">
            <v>0</v>
          </cell>
          <cell r="H146">
            <v>0</v>
          </cell>
          <cell r="I146">
            <v>0</v>
          </cell>
          <cell r="J146">
            <v>0</v>
          </cell>
          <cell r="K146">
            <v>0</v>
          </cell>
          <cell r="M146">
            <v>0</v>
          </cell>
        </row>
        <row r="147">
          <cell r="F147">
            <v>0</v>
          </cell>
          <cell r="H147">
            <v>0</v>
          </cell>
          <cell r="I147">
            <v>0</v>
          </cell>
          <cell r="J147">
            <v>0</v>
          </cell>
          <cell r="K147">
            <v>0</v>
          </cell>
          <cell r="M147">
            <v>-1531738</v>
          </cell>
        </row>
        <row r="148">
          <cell r="F148">
            <v>0</v>
          </cell>
          <cell r="H148">
            <v>0</v>
          </cell>
          <cell r="I148">
            <v>0</v>
          </cell>
          <cell r="J148">
            <v>0</v>
          </cell>
          <cell r="K148">
            <v>0</v>
          </cell>
          <cell r="M148">
            <v>0</v>
          </cell>
        </row>
        <row r="149">
          <cell r="F149">
            <v>0</v>
          </cell>
          <cell r="H149">
            <v>0</v>
          </cell>
          <cell r="I149">
            <v>0</v>
          </cell>
          <cell r="J149">
            <v>0</v>
          </cell>
          <cell r="K149">
            <v>0</v>
          </cell>
          <cell r="M149">
            <v>-1627751</v>
          </cell>
        </row>
        <row r="151">
          <cell r="F151">
            <v>33333</v>
          </cell>
          <cell r="H151">
            <v>0</v>
          </cell>
          <cell r="I151">
            <v>33333</v>
          </cell>
          <cell r="J151">
            <v>0</v>
          </cell>
          <cell r="K151">
            <v>33333</v>
          </cell>
          <cell r="M151">
            <v>47538</v>
          </cell>
        </row>
        <row r="152">
          <cell r="F152">
            <v>13206</v>
          </cell>
          <cell r="H152">
            <v>0</v>
          </cell>
          <cell r="I152">
            <v>13206</v>
          </cell>
          <cell r="J152">
            <v>0</v>
          </cell>
          <cell r="K152">
            <v>13206</v>
          </cell>
          <cell r="M152">
            <v>0</v>
          </cell>
        </row>
        <row r="153">
          <cell r="F153">
            <v>461656</v>
          </cell>
          <cell r="H153">
            <v>0</v>
          </cell>
          <cell r="I153">
            <v>461656</v>
          </cell>
          <cell r="J153">
            <v>0</v>
          </cell>
          <cell r="K153">
            <v>461656</v>
          </cell>
          <cell r="M153">
            <v>1026623</v>
          </cell>
        </row>
        <row r="154">
          <cell r="F154">
            <v>-2644</v>
          </cell>
          <cell r="H154">
            <v>0</v>
          </cell>
          <cell r="I154">
            <v>-2644</v>
          </cell>
          <cell r="J154">
            <v>0</v>
          </cell>
          <cell r="K154">
            <v>-2644</v>
          </cell>
          <cell r="M154">
            <v>-464</v>
          </cell>
        </row>
        <row r="155">
          <cell r="F155">
            <v>-26</v>
          </cell>
          <cell r="H155">
            <v>0</v>
          </cell>
          <cell r="I155">
            <v>-26</v>
          </cell>
          <cell r="J155">
            <v>0</v>
          </cell>
          <cell r="K155">
            <v>-26</v>
          </cell>
          <cell r="M155">
            <v>-40319</v>
          </cell>
        </row>
        <row r="156">
          <cell r="F156">
            <v>0</v>
          </cell>
          <cell r="H156">
            <v>0</v>
          </cell>
          <cell r="I156">
            <v>0</v>
          </cell>
          <cell r="J156">
            <v>0</v>
          </cell>
          <cell r="K156">
            <v>0</v>
          </cell>
          <cell r="M156">
            <v>0</v>
          </cell>
        </row>
        <row r="157">
          <cell r="F157">
            <v>505525</v>
          </cell>
          <cell r="H157">
            <v>0</v>
          </cell>
          <cell r="I157">
            <v>505525</v>
          </cell>
          <cell r="J157">
            <v>0</v>
          </cell>
          <cell r="K157">
            <v>505525</v>
          </cell>
          <cell r="M157">
            <v>1033378</v>
          </cell>
        </row>
        <row r="158">
          <cell r="F158">
            <v>0</v>
          </cell>
          <cell r="H158">
            <v>0</v>
          </cell>
          <cell r="I158">
            <v>0</v>
          </cell>
          <cell r="J158">
            <v>0</v>
          </cell>
          <cell r="K158">
            <v>0</v>
          </cell>
          <cell r="M158">
            <v>0</v>
          </cell>
        </row>
      </sheetData>
      <sheetData sheetId="1">
        <row r="1">
          <cell r="F1" t="str">
            <v>31.12.2005</v>
          </cell>
          <cell r="G1" t="str">
            <v>AJE</v>
          </cell>
          <cell r="H1" t="str">
            <v>Adjusted</v>
          </cell>
          <cell r="I1" t="str">
            <v>RJE</v>
          </cell>
          <cell r="J1" t="str">
            <v>Final</v>
          </cell>
          <cell r="K1" t="str">
            <v>30.09.2005</v>
          </cell>
        </row>
        <row r="3">
          <cell r="F3">
            <v>7337901</v>
          </cell>
          <cell r="G3">
            <v>0</v>
          </cell>
          <cell r="H3">
            <v>7337901</v>
          </cell>
          <cell r="I3">
            <v>0</v>
          </cell>
          <cell r="J3">
            <v>7337901</v>
          </cell>
          <cell r="K3">
            <v>13121734</v>
          </cell>
        </row>
        <row r="4">
          <cell r="F4">
            <v>5332250</v>
          </cell>
          <cell r="G4">
            <v>0</v>
          </cell>
          <cell r="H4">
            <v>5332250</v>
          </cell>
          <cell r="I4">
            <v>0</v>
          </cell>
          <cell r="J4">
            <v>5332250</v>
          </cell>
          <cell r="K4">
            <v>5199942</v>
          </cell>
        </row>
        <row r="5">
          <cell r="F5">
            <v>81925</v>
          </cell>
          <cell r="G5">
            <v>0</v>
          </cell>
          <cell r="H5">
            <v>81925</v>
          </cell>
          <cell r="I5">
            <v>0</v>
          </cell>
          <cell r="J5">
            <v>81925</v>
          </cell>
          <cell r="K5">
            <v>205066</v>
          </cell>
        </row>
        <row r="6">
          <cell r="F6">
            <v>0</v>
          </cell>
          <cell r="G6">
            <v>0</v>
          </cell>
          <cell r="H6">
            <v>0</v>
          </cell>
          <cell r="I6">
            <v>0</v>
          </cell>
          <cell r="J6">
            <v>0</v>
          </cell>
          <cell r="K6">
            <v>1725661</v>
          </cell>
        </row>
        <row r="7">
          <cell r="F7">
            <v>12839805</v>
          </cell>
          <cell r="G7">
            <v>0</v>
          </cell>
          <cell r="H7">
            <v>12839805</v>
          </cell>
          <cell r="I7">
            <v>0</v>
          </cell>
          <cell r="J7">
            <v>12839805</v>
          </cell>
          <cell r="K7">
            <v>4124385</v>
          </cell>
        </row>
        <row r="8">
          <cell r="F8">
            <v>25591881</v>
          </cell>
          <cell r="G8">
            <v>0</v>
          </cell>
          <cell r="H8">
            <v>25591881</v>
          </cell>
          <cell r="I8">
            <v>0</v>
          </cell>
          <cell r="J8">
            <v>25591881</v>
          </cell>
          <cell r="K8">
            <v>24376788</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14006292</v>
          </cell>
          <cell r="G14">
            <v>0</v>
          </cell>
          <cell r="H14">
            <v>14006292</v>
          </cell>
          <cell r="I14">
            <v>0</v>
          </cell>
          <cell r="J14">
            <v>14006292</v>
          </cell>
          <cell r="K14">
            <v>5750656</v>
          </cell>
        </row>
        <row r="15">
          <cell r="F15">
            <v>14006292</v>
          </cell>
          <cell r="G15">
            <v>0</v>
          </cell>
          <cell r="H15">
            <v>14006292</v>
          </cell>
          <cell r="I15">
            <v>0</v>
          </cell>
          <cell r="J15">
            <v>14006292</v>
          </cell>
          <cell r="K15">
            <v>5750656</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293826</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293826</v>
          </cell>
        </row>
        <row r="25">
          <cell r="F25">
            <v>1973084</v>
          </cell>
          <cell r="G25">
            <v>0</v>
          </cell>
          <cell r="H25">
            <v>1973084</v>
          </cell>
          <cell r="I25">
            <v>0</v>
          </cell>
          <cell r="J25">
            <v>1973084</v>
          </cell>
          <cell r="K25">
            <v>1335216</v>
          </cell>
        </row>
        <row r="26">
          <cell r="F26">
            <v>7146</v>
          </cell>
          <cell r="G26">
            <v>0</v>
          </cell>
          <cell r="H26">
            <v>7146</v>
          </cell>
          <cell r="I26">
            <v>0</v>
          </cell>
          <cell r="J26">
            <v>7146</v>
          </cell>
          <cell r="K26">
            <v>561596</v>
          </cell>
        </row>
        <row r="27">
          <cell r="F27">
            <v>14375</v>
          </cell>
          <cell r="G27">
            <v>0</v>
          </cell>
          <cell r="H27">
            <v>14375</v>
          </cell>
          <cell r="I27">
            <v>0</v>
          </cell>
          <cell r="J27">
            <v>14375</v>
          </cell>
          <cell r="K27">
            <v>607731</v>
          </cell>
        </row>
        <row r="28">
          <cell r="F28">
            <v>856750</v>
          </cell>
          <cell r="G28">
            <v>0</v>
          </cell>
          <cell r="H28">
            <v>856750</v>
          </cell>
          <cell r="I28">
            <v>0</v>
          </cell>
          <cell r="J28">
            <v>856750</v>
          </cell>
          <cell r="K28">
            <v>0</v>
          </cell>
        </row>
        <row r="29">
          <cell r="F29">
            <v>6192257</v>
          </cell>
          <cell r="G29">
            <v>0</v>
          </cell>
          <cell r="H29">
            <v>6192257</v>
          </cell>
          <cell r="I29">
            <v>0</v>
          </cell>
          <cell r="J29">
            <v>6192257</v>
          </cell>
          <cell r="K29">
            <v>3840562</v>
          </cell>
        </row>
        <row r="30">
          <cell r="F30">
            <v>5725359</v>
          </cell>
          <cell r="G30">
            <v>0</v>
          </cell>
          <cell r="H30">
            <v>5725359</v>
          </cell>
          <cell r="I30">
            <v>0</v>
          </cell>
          <cell r="J30">
            <v>5725359</v>
          </cell>
          <cell r="K30">
            <v>2422790</v>
          </cell>
        </row>
        <row r="31">
          <cell r="F31">
            <v>257326</v>
          </cell>
          <cell r="G31">
            <v>0</v>
          </cell>
          <cell r="H31">
            <v>257326</v>
          </cell>
          <cell r="I31">
            <v>0</v>
          </cell>
          <cell r="J31">
            <v>257326</v>
          </cell>
          <cell r="K31">
            <v>993932</v>
          </cell>
        </row>
        <row r="32">
          <cell r="F32">
            <v>0</v>
          </cell>
          <cell r="G32">
            <v>0</v>
          </cell>
          <cell r="H32">
            <v>0</v>
          </cell>
          <cell r="I32">
            <v>0</v>
          </cell>
          <cell r="J32">
            <v>0</v>
          </cell>
          <cell r="K32">
            <v>0</v>
          </cell>
        </row>
        <row r="33">
          <cell r="F33">
            <v>15026297</v>
          </cell>
          <cell r="G33">
            <v>0</v>
          </cell>
          <cell r="H33">
            <v>15026297</v>
          </cell>
          <cell r="I33">
            <v>0</v>
          </cell>
          <cell r="J33">
            <v>15026297</v>
          </cell>
          <cell r="K33">
            <v>9761827</v>
          </cell>
        </row>
        <row r="35">
          <cell r="F35">
            <v>97544</v>
          </cell>
          <cell r="G35">
            <v>0</v>
          </cell>
          <cell r="H35">
            <v>97544</v>
          </cell>
          <cell r="I35">
            <v>0</v>
          </cell>
          <cell r="J35">
            <v>97544</v>
          </cell>
          <cell r="K35">
            <v>396783</v>
          </cell>
        </row>
        <row r="36">
          <cell r="F36">
            <v>7346</v>
          </cell>
          <cell r="G36">
            <v>0</v>
          </cell>
          <cell r="H36">
            <v>7346</v>
          </cell>
          <cell r="I36">
            <v>0</v>
          </cell>
          <cell r="J36">
            <v>7346</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485980</v>
          </cell>
          <cell r="G39">
            <v>0</v>
          </cell>
          <cell r="H39">
            <v>485980</v>
          </cell>
          <cell r="I39">
            <v>0</v>
          </cell>
          <cell r="J39">
            <v>485980</v>
          </cell>
          <cell r="K39">
            <v>10719</v>
          </cell>
        </row>
        <row r="40">
          <cell r="F40">
            <v>8757</v>
          </cell>
          <cell r="G40">
            <v>0</v>
          </cell>
          <cell r="H40">
            <v>8757</v>
          </cell>
          <cell r="I40">
            <v>0</v>
          </cell>
          <cell r="J40">
            <v>8757</v>
          </cell>
          <cell r="K40">
            <v>3598</v>
          </cell>
        </row>
        <row r="41">
          <cell r="F41">
            <v>0</v>
          </cell>
          <cell r="G41">
            <v>0</v>
          </cell>
          <cell r="H41">
            <v>0</v>
          </cell>
          <cell r="I41">
            <v>0</v>
          </cell>
          <cell r="J41">
            <v>0</v>
          </cell>
          <cell r="K41">
            <v>7711</v>
          </cell>
        </row>
        <row r="42">
          <cell r="F42">
            <v>0</v>
          </cell>
          <cell r="G42">
            <v>0</v>
          </cell>
          <cell r="H42">
            <v>0</v>
          </cell>
          <cell r="I42">
            <v>0</v>
          </cell>
          <cell r="J42">
            <v>0</v>
          </cell>
          <cell r="K42">
            <v>0</v>
          </cell>
        </row>
        <row r="43">
          <cell r="F43">
            <v>599627</v>
          </cell>
          <cell r="G43">
            <v>0</v>
          </cell>
          <cell r="H43">
            <v>599627</v>
          </cell>
          <cell r="I43">
            <v>0</v>
          </cell>
          <cell r="J43">
            <v>599627</v>
          </cell>
          <cell r="K43">
            <v>418811</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3">
          <cell r="F53">
            <v>0</v>
          </cell>
          <cell r="G53">
            <v>0</v>
          </cell>
          <cell r="H53">
            <v>0</v>
          </cell>
          <cell r="I53">
            <v>0</v>
          </cell>
          <cell r="J53">
            <v>0</v>
          </cell>
          <cell r="K53">
            <v>0</v>
          </cell>
        </row>
        <row r="54">
          <cell r="F54">
            <v>0</v>
          </cell>
          <cell r="G54">
            <v>0</v>
          </cell>
          <cell r="H54">
            <v>0</v>
          </cell>
          <cell r="I54">
            <v>0</v>
          </cell>
          <cell r="J54">
            <v>0</v>
          </cell>
          <cell r="K54">
            <v>106878</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1531738</v>
          </cell>
        </row>
        <row r="62">
          <cell r="F62">
            <v>0</v>
          </cell>
          <cell r="G62">
            <v>0</v>
          </cell>
          <cell r="H62">
            <v>0</v>
          </cell>
          <cell r="I62">
            <v>0</v>
          </cell>
          <cell r="J62">
            <v>0</v>
          </cell>
          <cell r="K62">
            <v>0</v>
          </cell>
        </row>
        <row r="63">
          <cell r="F63">
            <v>0</v>
          </cell>
          <cell r="G63">
            <v>0</v>
          </cell>
          <cell r="H63">
            <v>0</v>
          </cell>
          <cell r="I63">
            <v>0</v>
          </cell>
          <cell r="J63">
            <v>0</v>
          </cell>
          <cell r="K63">
            <v>1638616</v>
          </cell>
        </row>
        <row r="65">
          <cell r="F65">
            <v>0</v>
          </cell>
          <cell r="G65">
            <v>0</v>
          </cell>
          <cell r="H65">
            <v>0</v>
          </cell>
          <cell r="I65">
            <v>0</v>
          </cell>
          <cell r="J65">
            <v>0</v>
          </cell>
          <cell r="K65">
            <v>874443</v>
          </cell>
        </row>
        <row r="66">
          <cell r="F66">
            <v>20131</v>
          </cell>
          <cell r="G66">
            <v>0</v>
          </cell>
          <cell r="H66">
            <v>20131</v>
          </cell>
          <cell r="I66">
            <v>0</v>
          </cell>
          <cell r="J66">
            <v>20131</v>
          </cell>
          <cell r="K66">
            <v>2743311</v>
          </cell>
        </row>
        <row r="67">
          <cell r="F67">
            <v>1976545</v>
          </cell>
          <cell r="G67">
            <v>0</v>
          </cell>
          <cell r="H67">
            <v>1976545</v>
          </cell>
          <cell r="I67">
            <v>0</v>
          </cell>
          <cell r="J67">
            <v>1976545</v>
          </cell>
          <cell r="K67">
            <v>1957766</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1996676</v>
          </cell>
          <cell r="G74">
            <v>0</v>
          </cell>
          <cell r="H74">
            <v>1996676</v>
          </cell>
          <cell r="I74">
            <v>0</v>
          </cell>
          <cell r="J74">
            <v>1996676</v>
          </cell>
          <cell r="K74">
            <v>5575520</v>
          </cell>
        </row>
        <row r="76">
          <cell r="F76">
            <v>-7331494</v>
          </cell>
          <cell r="G76">
            <v>0</v>
          </cell>
          <cell r="H76">
            <v>-7331494</v>
          </cell>
          <cell r="I76">
            <v>0</v>
          </cell>
          <cell r="J76">
            <v>-7331494</v>
          </cell>
          <cell r="K76">
            <v>-13121220</v>
          </cell>
        </row>
        <row r="77">
          <cell r="F77">
            <v>-5332804</v>
          </cell>
          <cell r="G77">
            <v>0</v>
          </cell>
          <cell r="H77">
            <v>-5332804</v>
          </cell>
          <cell r="I77">
            <v>0</v>
          </cell>
          <cell r="J77">
            <v>-5332804</v>
          </cell>
          <cell r="K77">
            <v>-5198134</v>
          </cell>
        </row>
        <row r="78">
          <cell r="F78">
            <v>-82044</v>
          </cell>
          <cell r="G78">
            <v>0</v>
          </cell>
          <cell r="H78">
            <v>-82044</v>
          </cell>
          <cell r="I78">
            <v>0</v>
          </cell>
          <cell r="J78">
            <v>-82044</v>
          </cell>
          <cell r="K78">
            <v>-142750</v>
          </cell>
        </row>
        <row r="79">
          <cell r="F79">
            <v>0</v>
          </cell>
          <cell r="G79">
            <v>0</v>
          </cell>
          <cell r="H79">
            <v>0</v>
          </cell>
          <cell r="I79">
            <v>0</v>
          </cell>
          <cell r="J79">
            <v>0</v>
          </cell>
          <cell r="K79">
            <v>-1439194</v>
          </cell>
        </row>
        <row r="80">
          <cell r="F80">
            <v>-13963330</v>
          </cell>
          <cell r="G80">
            <v>0</v>
          </cell>
          <cell r="H80">
            <v>-13963330</v>
          </cell>
          <cell r="I80">
            <v>0</v>
          </cell>
          <cell r="J80">
            <v>-13963330</v>
          </cell>
          <cell r="K80">
            <v>-5563064</v>
          </cell>
        </row>
        <row r="81">
          <cell r="F81">
            <v>-26709672</v>
          </cell>
          <cell r="G81">
            <v>0</v>
          </cell>
          <cell r="H81">
            <v>-26709672</v>
          </cell>
          <cell r="I81">
            <v>0</v>
          </cell>
          <cell r="J81">
            <v>-26709672</v>
          </cell>
          <cell r="K81">
            <v>-25464362</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-322903</v>
          </cell>
        </row>
        <row r="87">
          <cell r="F87">
            <v>-12926065</v>
          </cell>
          <cell r="G87">
            <v>0</v>
          </cell>
          <cell r="H87">
            <v>-12926065</v>
          </cell>
          <cell r="I87">
            <v>0</v>
          </cell>
          <cell r="J87">
            <v>-12926065</v>
          </cell>
          <cell r="K87">
            <v>-4205584</v>
          </cell>
        </row>
        <row r="88">
          <cell r="F88">
            <v>-12926065</v>
          </cell>
          <cell r="G88">
            <v>0</v>
          </cell>
          <cell r="H88">
            <v>-12926065</v>
          </cell>
          <cell r="I88">
            <v>0</v>
          </cell>
          <cell r="J88">
            <v>-12926065</v>
          </cell>
          <cell r="K88">
            <v>-4528487</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-62572</v>
          </cell>
        </row>
        <row r="93">
          <cell r="F93">
            <v>-1628865</v>
          </cell>
          <cell r="G93">
            <v>0</v>
          </cell>
          <cell r="H93">
            <v>-1628865</v>
          </cell>
          <cell r="I93">
            <v>0</v>
          </cell>
          <cell r="J93">
            <v>-1628865</v>
          </cell>
          <cell r="K93">
            <v>-533365</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-1628865</v>
          </cell>
          <cell r="G96">
            <v>0</v>
          </cell>
          <cell r="H96">
            <v>-1628865</v>
          </cell>
          <cell r="I96">
            <v>0</v>
          </cell>
          <cell r="J96">
            <v>-1628865</v>
          </cell>
          <cell r="K96">
            <v>-595937</v>
          </cell>
        </row>
        <row r="98">
          <cell r="F98">
            <v>-442559</v>
          </cell>
          <cell r="G98">
            <v>0</v>
          </cell>
          <cell r="H98">
            <v>-442559</v>
          </cell>
          <cell r="I98">
            <v>0</v>
          </cell>
          <cell r="J98">
            <v>-442559</v>
          </cell>
          <cell r="K98">
            <v>-1516737</v>
          </cell>
        </row>
        <row r="99">
          <cell r="F99">
            <v>-7264</v>
          </cell>
          <cell r="G99">
            <v>0</v>
          </cell>
          <cell r="H99">
            <v>-7264</v>
          </cell>
          <cell r="I99">
            <v>0</v>
          </cell>
          <cell r="J99">
            <v>-7264</v>
          </cell>
          <cell r="K99">
            <v>-288790</v>
          </cell>
        </row>
        <row r="100">
          <cell r="F100">
            <v>-14391</v>
          </cell>
          <cell r="G100">
            <v>0</v>
          </cell>
          <cell r="H100">
            <v>-14391</v>
          </cell>
          <cell r="I100">
            <v>0</v>
          </cell>
          <cell r="J100">
            <v>-14391</v>
          </cell>
          <cell r="K100">
            <v>-598040</v>
          </cell>
        </row>
        <row r="101">
          <cell r="F101">
            <v>-863475</v>
          </cell>
          <cell r="G101">
            <v>0</v>
          </cell>
          <cell r="H101">
            <v>-863475</v>
          </cell>
          <cell r="I101">
            <v>0</v>
          </cell>
          <cell r="J101">
            <v>-863475</v>
          </cell>
          <cell r="K101">
            <v>0</v>
          </cell>
        </row>
        <row r="102">
          <cell r="F102">
            <v>-6413884</v>
          </cell>
          <cell r="G102">
            <v>0</v>
          </cell>
          <cell r="H102">
            <v>-6413884</v>
          </cell>
          <cell r="I102">
            <v>0</v>
          </cell>
          <cell r="J102">
            <v>-6413884</v>
          </cell>
          <cell r="K102">
            <v>-3561553</v>
          </cell>
        </row>
        <row r="103">
          <cell r="F103">
            <v>-4874339</v>
          </cell>
          <cell r="G103">
            <v>0</v>
          </cell>
          <cell r="H103">
            <v>-4874339</v>
          </cell>
          <cell r="I103">
            <v>0</v>
          </cell>
          <cell r="J103">
            <v>-4874339</v>
          </cell>
          <cell r="K103">
            <v>-1443042</v>
          </cell>
        </row>
        <row r="104">
          <cell r="F104">
            <v>0</v>
          </cell>
          <cell r="G104">
            <v>0</v>
          </cell>
          <cell r="H104">
            <v>0</v>
          </cell>
          <cell r="I104">
            <v>0</v>
          </cell>
          <cell r="J104">
            <v>0</v>
          </cell>
          <cell r="K104">
            <v>-8308</v>
          </cell>
        </row>
        <row r="105">
          <cell r="F105">
            <v>0</v>
          </cell>
          <cell r="G105">
            <v>0</v>
          </cell>
          <cell r="H105">
            <v>0</v>
          </cell>
          <cell r="I105">
            <v>0</v>
          </cell>
          <cell r="J105">
            <v>0</v>
          </cell>
          <cell r="K105">
            <v>0</v>
          </cell>
        </row>
        <row r="106">
          <cell r="F106">
            <v>-12615912</v>
          </cell>
          <cell r="G106">
            <v>0</v>
          </cell>
          <cell r="H106">
            <v>-12615912</v>
          </cell>
          <cell r="I106">
            <v>0</v>
          </cell>
          <cell r="J106">
            <v>-12615912</v>
          </cell>
          <cell r="K106">
            <v>-7416470</v>
          </cell>
        </row>
        <row r="108">
          <cell r="F108">
            <v>0</v>
          </cell>
          <cell r="G108">
            <v>0</v>
          </cell>
          <cell r="H108">
            <v>0</v>
          </cell>
          <cell r="I108">
            <v>0</v>
          </cell>
          <cell r="J108">
            <v>0</v>
          </cell>
          <cell r="K108">
            <v>0</v>
          </cell>
        </row>
        <row r="109">
          <cell r="F109">
            <v>-7346</v>
          </cell>
          <cell r="G109">
            <v>0</v>
          </cell>
          <cell r="H109">
            <v>-7346</v>
          </cell>
          <cell r="I109">
            <v>0</v>
          </cell>
          <cell r="J109">
            <v>-7346</v>
          </cell>
          <cell r="K109">
            <v>-20098</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-268820</v>
          </cell>
          <cell r="G112">
            <v>0</v>
          </cell>
          <cell r="H112">
            <v>-268820</v>
          </cell>
          <cell r="I112">
            <v>0</v>
          </cell>
          <cell r="J112">
            <v>-268820</v>
          </cell>
          <cell r="K112">
            <v>-334961</v>
          </cell>
        </row>
        <row r="113">
          <cell r="F113">
            <v>-865364</v>
          </cell>
          <cell r="G113">
            <v>0</v>
          </cell>
          <cell r="H113">
            <v>-865364</v>
          </cell>
          <cell r="I113">
            <v>0</v>
          </cell>
          <cell r="J113">
            <v>-865364</v>
          </cell>
          <cell r="K113">
            <v>-1006997</v>
          </cell>
        </row>
        <row r="114">
          <cell r="F114">
            <v>-245352</v>
          </cell>
          <cell r="G114">
            <v>0</v>
          </cell>
          <cell r="H114">
            <v>-245352</v>
          </cell>
          <cell r="I114">
            <v>0</v>
          </cell>
          <cell r="J114">
            <v>-245352</v>
          </cell>
          <cell r="K114">
            <v>-1007077</v>
          </cell>
        </row>
        <row r="115">
          <cell r="F115">
            <v>0</v>
          </cell>
          <cell r="G115">
            <v>0</v>
          </cell>
          <cell r="H115">
            <v>0</v>
          </cell>
          <cell r="I115">
            <v>0</v>
          </cell>
          <cell r="J115">
            <v>0</v>
          </cell>
          <cell r="K115">
            <v>0</v>
          </cell>
        </row>
        <row r="116">
          <cell r="F116">
            <v>-1386882</v>
          </cell>
          <cell r="G116">
            <v>0</v>
          </cell>
          <cell r="H116">
            <v>-1386882</v>
          </cell>
          <cell r="I116">
            <v>0</v>
          </cell>
          <cell r="J116">
            <v>-1386882</v>
          </cell>
          <cell r="K116">
            <v>-2369133</v>
          </cell>
        </row>
        <row r="118">
          <cell r="F118">
            <v>0</v>
          </cell>
          <cell r="G118">
            <v>0</v>
          </cell>
          <cell r="H118">
            <v>0</v>
          </cell>
          <cell r="I118">
            <v>0</v>
          </cell>
          <cell r="J118">
            <v>0</v>
          </cell>
          <cell r="K118">
            <v>-255409</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-255409</v>
          </cell>
        </row>
        <row r="126">
          <cell r="F126">
            <v>0</v>
          </cell>
          <cell r="G126">
            <v>0</v>
          </cell>
          <cell r="H126">
            <v>0</v>
          </cell>
          <cell r="I126">
            <v>0</v>
          </cell>
          <cell r="J126">
            <v>0</v>
          </cell>
          <cell r="K126">
            <v>-1076707</v>
          </cell>
        </row>
        <row r="127">
          <cell r="F127">
            <v>-31107</v>
          </cell>
          <cell r="G127">
            <v>0</v>
          </cell>
          <cell r="H127">
            <v>-31107</v>
          </cell>
          <cell r="I127">
            <v>0</v>
          </cell>
          <cell r="J127">
            <v>-31107</v>
          </cell>
          <cell r="K127">
            <v>-3322936</v>
          </cell>
        </row>
        <row r="128">
          <cell r="F128">
            <v>-2427795</v>
          </cell>
          <cell r="G128">
            <v>0</v>
          </cell>
          <cell r="H128">
            <v>-2427795</v>
          </cell>
          <cell r="I128">
            <v>0</v>
          </cell>
          <cell r="J128">
            <v>-2427795</v>
          </cell>
          <cell r="K128">
            <v>-2192230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-2458902</v>
          </cell>
          <cell r="G136">
            <v>0</v>
          </cell>
          <cell r="H136">
            <v>-2458902</v>
          </cell>
          <cell r="I136">
            <v>0</v>
          </cell>
          <cell r="J136">
            <v>-2458902</v>
          </cell>
          <cell r="K136">
            <v>-6591873</v>
          </cell>
        </row>
        <row r="138">
          <cell r="F138">
            <v>0</v>
          </cell>
          <cell r="G138">
            <v>0</v>
          </cell>
          <cell r="H138">
            <v>0</v>
          </cell>
          <cell r="I138">
            <v>0</v>
          </cell>
          <cell r="J138">
            <v>0</v>
          </cell>
          <cell r="K138">
            <v>0</v>
          </cell>
        </row>
        <row r="139">
          <cell r="F139">
            <v>0</v>
          </cell>
          <cell r="G139">
            <v>0</v>
          </cell>
          <cell r="H139">
            <v>0</v>
          </cell>
          <cell r="I139">
            <v>0</v>
          </cell>
          <cell r="J139">
            <v>0</v>
          </cell>
          <cell r="K139">
            <v>-96013</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-1531738</v>
          </cell>
        </row>
        <row r="147">
          <cell r="F147">
            <v>0</v>
          </cell>
          <cell r="G147">
            <v>0</v>
          </cell>
          <cell r="H147">
            <v>0</v>
          </cell>
          <cell r="I147">
            <v>0</v>
          </cell>
          <cell r="J147">
            <v>0</v>
          </cell>
          <cell r="K147">
            <v>0</v>
          </cell>
        </row>
        <row r="148">
          <cell r="F148">
            <v>0</v>
          </cell>
          <cell r="G148">
            <v>0</v>
          </cell>
          <cell r="H148">
            <v>0</v>
          </cell>
          <cell r="I148">
            <v>0</v>
          </cell>
          <cell r="J148">
            <v>0</v>
          </cell>
          <cell r="K148">
            <v>-1627751</v>
          </cell>
        </row>
        <row r="150">
          <cell r="F150">
            <v>33333</v>
          </cell>
          <cell r="G150">
            <v>0</v>
          </cell>
          <cell r="H150">
            <v>33333</v>
          </cell>
          <cell r="I150">
            <v>0</v>
          </cell>
          <cell r="J150">
            <v>33333</v>
          </cell>
          <cell r="K150">
            <v>47538</v>
          </cell>
        </row>
        <row r="151">
          <cell r="F151">
            <v>13206</v>
          </cell>
          <cell r="G151">
            <v>0</v>
          </cell>
          <cell r="H151">
            <v>13206</v>
          </cell>
          <cell r="I151">
            <v>0</v>
          </cell>
          <cell r="J151">
            <v>13206</v>
          </cell>
          <cell r="K151">
            <v>0</v>
          </cell>
        </row>
        <row r="152">
          <cell r="F152">
            <v>461656</v>
          </cell>
          <cell r="G152">
            <v>0</v>
          </cell>
          <cell r="H152">
            <v>461656</v>
          </cell>
          <cell r="I152">
            <v>0</v>
          </cell>
          <cell r="J152">
            <v>461656</v>
          </cell>
          <cell r="K152">
            <v>1026623</v>
          </cell>
        </row>
        <row r="153">
          <cell r="F153">
            <v>-2644</v>
          </cell>
          <cell r="G153">
            <v>0</v>
          </cell>
          <cell r="H153">
            <v>-2644</v>
          </cell>
          <cell r="I153">
            <v>0</v>
          </cell>
          <cell r="J153">
            <v>-2644</v>
          </cell>
          <cell r="K153">
            <v>-464</v>
          </cell>
        </row>
        <row r="154">
          <cell r="F154">
            <v>-26</v>
          </cell>
          <cell r="G154">
            <v>0</v>
          </cell>
          <cell r="H154">
            <v>-26</v>
          </cell>
          <cell r="I154">
            <v>0</v>
          </cell>
          <cell r="J154">
            <v>-26</v>
          </cell>
          <cell r="K154">
            <v>-40319</v>
          </cell>
        </row>
        <row r="155">
          <cell r="F155">
            <v>0</v>
          </cell>
          <cell r="G155">
            <v>0</v>
          </cell>
          <cell r="H155">
            <v>0</v>
          </cell>
          <cell r="I155">
            <v>0</v>
          </cell>
          <cell r="J155">
            <v>0</v>
          </cell>
          <cell r="K155">
            <v>0</v>
          </cell>
        </row>
        <row r="156">
          <cell r="F156">
            <v>505525</v>
          </cell>
          <cell r="G156">
            <v>0</v>
          </cell>
          <cell r="H156">
            <v>505525</v>
          </cell>
          <cell r="I156">
            <v>0</v>
          </cell>
          <cell r="J156">
            <v>505525</v>
          </cell>
          <cell r="K156">
            <v>1033378</v>
          </cell>
        </row>
        <row r="157">
          <cell r="F157">
            <v>0</v>
          </cell>
          <cell r="G157">
            <v>0</v>
          </cell>
          <cell r="H157">
            <v>0</v>
          </cell>
          <cell r="I157">
            <v>0</v>
          </cell>
          <cell r="J157">
            <v>0</v>
          </cell>
          <cell r="K157">
            <v>0</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
      <sheetName val="INDICA. CLAVES"/>
      <sheetName val="CARPROG"/>
      <sheetName val="Anexo 10"/>
      <sheetName val="ESTDO. RESUL. PRE-AJUSTE"/>
      <sheetName val="P&amp;Gcamel"/>
      <sheetName val="BALANCE_PRE-AJUSTE"/>
      <sheetName val="BALcamel"/>
      <sheetName val="Anexo 1"/>
      <sheetName val="Anexo 2"/>
      <sheetName val="P y G INCA"/>
      <sheetName val="Bal. INCA"/>
      <sheetName val="AJUSTES INFLAC"/>
      <sheetName val="INDICADORES INCA"/>
      <sheetName val="CALIFICACION"/>
      <sheetName val="INDICA. CUAN."/>
      <sheetName val="CARTERA"/>
      <sheetName val="Castigos"/>
      <sheetName val="RENTPROG"/>
      <sheetName val="TASA INTERES"/>
      <sheetName val="Links"/>
      <sheetName val="Lead"/>
      <sheetName val="INDICA__CLAVES"/>
      <sheetName val="Anexo_10"/>
      <sheetName val="ESTDO__RESUL__PRE-AJUSTE"/>
      <sheetName val="Anexo_1"/>
      <sheetName val="Anexo_2"/>
      <sheetName val="P_y_G_INCA"/>
      <sheetName val="Bal__INCA"/>
      <sheetName val="AJUSTES_INFLAC"/>
      <sheetName val="INDICADORES_INCA"/>
      <sheetName val="INDICA__CUAN_"/>
      <sheetName val="TASA_INTERES"/>
      <sheetName val="Basic Info"/>
      <sheetName val="INDICA__CLAVES1"/>
      <sheetName val="Anexo_101"/>
      <sheetName val="ESTDO__RESUL__PRE-AJUSTE1"/>
      <sheetName val="Anexo_11"/>
      <sheetName val="Anexo_21"/>
      <sheetName val="P_y_G_INCA1"/>
      <sheetName val="Bal__INCA1"/>
      <sheetName val="AJUSTES_INFLAC1"/>
      <sheetName val="INDICADORES_INCA1"/>
      <sheetName val="INDICA__CUAN_1"/>
      <sheetName val="TASA_INTERES1"/>
      <sheetName val="INDICA__CLAVES2"/>
      <sheetName val="Anexo_102"/>
      <sheetName val="ESTDO__RESUL__PRE-AJUSTE2"/>
      <sheetName val="Anexo_12"/>
      <sheetName val="Anexo_22"/>
      <sheetName val="P_y_G_INCA2"/>
      <sheetName val="Bal__INCA2"/>
      <sheetName val="AJUSTES_INFLAC2"/>
      <sheetName val="INDICADORES_INCA2"/>
      <sheetName val="INDICA__CUAN_2"/>
      <sheetName val="TASA_INTERES2"/>
      <sheetName val="Basic_Info"/>
      <sheetName val="SOURCE DATA"/>
      <sheetName val="НДС - июнь"/>
      <sheetName val="CMA Calculations- R Factor"/>
      <sheetName val="Survey Data"/>
      <sheetName val="Salaries &amp; Benefits &amp; Staffing"/>
      <sheetName val="MD98"/>
      <sheetName val="Parameters"/>
    </sheetNames>
    <sheetDataSet>
      <sheetData sheetId="0" refreshError="1">
        <row r="5">
          <cell r="D5" t="str">
            <v>Genesis - Guatemala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refreshError="1"/>
      <sheetData sheetId="6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
      <sheetName val="Links"/>
      <sheetName val="Lead"/>
      <sheetName val="НДС - июнь"/>
    </sheetNames>
    <sheetDataSet>
      <sheetData sheetId="0" refreshError="1">
        <row r="5">
          <cell r="D5" t="str">
            <v>Fundación Paraguaya de Cooperación y Desarrollo</v>
          </cell>
        </row>
        <row r="6">
          <cell r="D6" t="str">
            <v>Miles de Guaranies</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est"/>
      <sheetName val="Excess Calc"/>
      <sheetName val="Threashold"/>
      <sheetName val="Tickmarks"/>
      <sheetName val="Help"/>
      <sheetName val="Links"/>
      <sheetName val="Lead"/>
      <sheetName val="INTRODU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упление"/>
      <sheetName val="Модернизация "/>
      <sheetName val="выбытие 01.04.05-30.09.05"/>
    </sheetNames>
    <sheetDataSet>
      <sheetData sheetId="0" refreshError="1"/>
      <sheetData sheetId="1" refreshError="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mp; Dates"/>
      <sheetName val="Account Classification"/>
      <sheetName val="Account Mapping"/>
      <sheetName val="SSG Accounts"/>
    </sheetNames>
    <sheetDataSet>
      <sheetData sheetId="0">
        <row r="21">
          <cell r="C21">
            <v>12</v>
          </cell>
          <cell r="D21">
            <v>39873</v>
          </cell>
          <cell r="E21">
            <v>39903</v>
          </cell>
          <cell r="F21">
            <v>4</v>
          </cell>
          <cell r="G21">
            <v>31</v>
          </cell>
          <cell r="H21">
            <v>1218</v>
          </cell>
          <cell r="I21">
            <v>1218</v>
          </cell>
          <cell r="J21">
            <v>1184.5196774193548</v>
          </cell>
          <cell r="K21">
            <v>0</v>
          </cell>
          <cell r="L21">
            <v>8.1463000000000001</v>
          </cell>
          <cell r="M21">
            <v>8.1463000000000001</v>
          </cell>
          <cell r="N21">
            <v>8.1463000000000001</v>
          </cell>
          <cell r="O21">
            <v>0</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omputation"/>
      <sheetName val="Tax Reconciliation proof"/>
      <sheetName val="Deferred Tax Computation"/>
      <sheetName val="Financial Statements Tax Note"/>
      <sheetName val="Deferred tax note"/>
      <sheetName val="Def tax mvt note"/>
      <sheetName val="Revised TB"/>
      <sheetName val="Revised TB Comaprison"/>
      <sheetName val="FS"/>
      <sheetName val="Summary"/>
      <sheetName val="TB-PL"/>
      <sheetName val="Disposals-Motor"/>
      <sheetName val="Motor"/>
      <sheetName val="Computers"/>
      <sheetName val="furniture &amp; equipment"/>
      <sheetName val="nltribs0w"/>
      <sheetName val="audit fees"/>
      <sheetName val="fuel"/>
      <sheetName val="Deprn"/>
      <sheetName val="bank charges"/>
      <sheetName val="electricity and water"/>
      <sheetName val="license and insurance"/>
      <sheetName val="office rent"/>
      <sheetName val="postage"/>
      <sheetName val="printing"/>
      <sheetName val="Computer repairs"/>
      <sheetName val="repairs and maintance"/>
      <sheetName val="repairs motor"/>
      <sheetName val="security"/>
      <sheetName val="travel foregin"/>
      <sheetName val="training local"/>
      <sheetName val="training foregin"/>
      <sheetName val="telephone"/>
      <sheetName val="office exps"/>
      <sheetName val="subs"/>
      <sheetName val="travel local"/>
      <sheetName val="ENTERTAINMENT"/>
      <sheetName val="DIRECTORS FEES"/>
      <sheetName val="MEDICAL"/>
      <sheetName val="EDUCATION"/>
      <sheetName val="STAFF WELFARE"/>
      <sheetName val="ADVERTISING"/>
      <sheetName val="DIRECTORS EXPENSES"/>
      <sheetName val="donations"/>
      <sheetName val="INTERNAL AUDIT EXPE"/>
      <sheetName val="J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os_leasing_adj_ Journal Set "/>
      <sheetName val="#ССЫЛКА"/>
      <sheetName val="Приложение 3"/>
      <sheetName val="АКРасч"/>
      <sheetName val="УрРасч"/>
      <sheetName val="OS01_6OZ"/>
      <sheetName val="UnadjBS"/>
      <sheetName val="Adjustments"/>
      <sheetName val="СЭЛТ"/>
      <sheetName val="Курсы валют ЦБ"/>
      <sheetName val="МБП"/>
      <sheetName val="МСФО"/>
      <sheetName val="РСБУ_МСФО"/>
      <sheetName val="PL"/>
      <sheetName val="AR-AP"/>
      <sheetName val="FS"/>
      <sheetName val="Note СF"/>
      <sheetName val="Топливо"/>
      <sheetName val="Топливо 1 кв"/>
      <sheetName val="ДЗ госкомпании"/>
      <sheetName val="Impairment"/>
      <sheetName val="PENSION DISCLOSURE Final"/>
      <sheetName val="8-Аренда земли"/>
      <sheetName val="Проформа"/>
      <sheetName val="RAS P&amp;L"/>
      <sheetName val="AJEs"/>
      <sheetName val="5"/>
      <sheetName val="Консолидация"/>
      <sheetName val="Перечень компаний"/>
      <sheetName val="Инвестиции"/>
      <sheetName val="Титул"/>
      <sheetName val="5.2"/>
      <sheetName val="P&amp;L"/>
      <sheetName val="Balance Sheet"/>
      <sheetName val="Time"/>
      <sheetName val="5222 "/>
      <sheetName val="Assumptions"/>
      <sheetName val="scenario1"/>
      <sheetName val="BS-group"/>
      <sheetName val="Uganda"/>
      <sheetName val="Nomos_leasing_adj_%20Journal%20"/>
      <sheetName val="SpravCfuNew"/>
      <sheetName val="values"/>
    </sheetNames>
    <definedNames>
      <definedName name="Возврат"/>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делка с Барклаем"/>
      <sheetName val="47407-08 вал"/>
      <sheetName val="Forward_deals"/>
      <sheetName val="IFRS"/>
      <sheetName val="Для расш по вал"/>
      <sheetName val="CCY revaluation"/>
      <sheetName val="Переоценка бал"/>
      <sheetName val="Переоценка сроч"/>
      <sheetName val="Опционы"/>
      <sheetName val="Исх сроч"/>
      <sheetName val="Лист2"/>
      <sheetName val="сроч ЦБ"/>
      <sheetName val="Валюта"/>
      <sheetName val="11 сч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183.5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Transactions"/>
      <sheetName val="Date_Lup"/>
      <sheetName val="Ledger Transaction Details"/>
      <sheetName val="Lookup"/>
      <sheetName val="Instructions"/>
      <sheetName val="MENU"/>
      <sheetName val="Cover"/>
      <sheetName val="Checklist"/>
      <sheetName val="TB"/>
      <sheetName val="Balance Sheet"/>
      <sheetName val="Income Statement"/>
      <sheetName val="Schedules"/>
      <sheetName val="Income Statement 1-12"/>
      <sheetName val="Bank &amp; Cash"/>
      <sheetName val="Asset Reg"/>
      <sheetName val="Interest Paid"/>
      <sheetName val="Royalties"/>
      <sheetName val="Commissions"/>
      <sheetName val="Export"/>
      <sheetName val="Sales"/>
      <sheetName val="Sundry Drs"/>
      <sheetName val="Drs"/>
      <sheetName val="Crs"/>
      <sheetName val="FAR"/>
      <sheetName val="Other Income"/>
      <sheetName val="Sundry Crs"/>
      <sheetName val="Creditors"/>
      <sheetName val="Stock Valuation"/>
      <sheetName val="Leave Pay Prov"/>
      <sheetName val="Payroll Recon"/>
      <sheetName val="Loan Fees"/>
      <sheetName val="Tax Schedules"/>
      <sheetName val="Statutory Deductions"/>
      <sheetName val="Rates"/>
      <sheetName val="Board report info"/>
      <sheetName val="Sheet20"/>
      <sheetName val="Sheet19"/>
    </sheetNames>
    <sheetDataSet>
      <sheetData sheetId="0"/>
      <sheetData sheetId="1"/>
      <sheetData sheetId="2"/>
      <sheetData sheetId="3"/>
      <sheetData sheetId="4"/>
      <sheetData sheetId="5">
        <row r="1">
          <cell r="A1" t="str">
            <v>June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6">
          <cell r="B6">
            <v>5268</v>
          </cell>
        </row>
      </sheetData>
      <sheetData sheetId="36"/>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Инвестиции"/>
      <sheetName val="Энерго КФВ '98"/>
      <sheetName val="Энерго ДФВ '98"/>
      <sheetName val="Энерго КФВ '99"/>
      <sheetName val="Энерго ДФВ '99"/>
      <sheetName val="Энерго ДФВ '00"/>
      <sheetName val="Энерго КФВ '00"/>
      <sheetName val="Энерго ДФВ '01"/>
      <sheetName val="Энерго КФВ '01"/>
      <sheetName val="Энерго ДФВ '02"/>
      <sheetName val="Энерго КФВ '02"/>
      <sheetName val="TexOverdue '98"/>
      <sheetName val="TexLoans '98"/>
      <sheetName val="ТехPNs '98"/>
      <sheetName val="ТехBPNs '98"/>
      <sheetName val="ТехSover '98"/>
      <sheetName val="УКТаблПроводки"/>
      <sheetName val="Проводки"/>
      <sheetName val="ОАО КФВ '01"/>
      <sheetName val="ОАО КФВ '02"/>
      <sheetName val="ОАО ДФВ '01"/>
      <sheetName val="ОАО ДФВ '02"/>
      <sheetName val="Выясняется"/>
      <sheetName val="ОАО КФВ '98"/>
      <sheetName val="ОАО КФВ '99"/>
      <sheetName val="ОАО КФВ '00"/>
      <sheetName val="ОАО ДФВ '98"/>
      <sheetName val="ОАО ДФВ '99"/>
      <sheetName val="ОАО ДФВ '00"/>
      <sheetName val="ООО ДФВ '98"/>
      <sheetName val="ООО КФВ '98"/>
      <sheetName val="ООО ДФВ '99"/>
      <sheetName val="ООО КФВ '99"/>
      <sheetName val="ООО ДФВ '00"/>
      <sheetName val="ООО КФВ '00"/>
      <sheetName val="ООО ДФВ '01"/>
      <sheetName val="ООО КФВ '01"/>
      <sheetName val="ООО ДФВ '02"/>
      <sheetName val="ООО КФВ '02"/>
      <sheetName val="Note"/>
      <sheetName val="ДискВекселей"/>
      <sheetName val="ГКО-ОФЗ ОАО"/>
      <sheetName val="ГКО-ОФЗ ООО"/>
      <sheetName val="ГКО-ОФЗ Энерго"/>
      <sheetName val="ГКО-ОФЗ Новые пакеты"/>
      <sheetName val="ГКО-ОФЗ Котировки"/>
      <sheetName val="ОФЗinfo1"/>
      <sheetName val="ОФЗinfo2"/>
      <sheetName val="ОФЗinfo3"/>
      <sheetName val="КотировкиАкции"/>
      <sheetName val="СчетаИнвест"/>
      <sheetName val="СБ '99 ОАО"/>
      <sheetName val="Счета"/>
      <sheetName val="Средние Индексы"/>
      <sheetName val="Перечень компаний"/>
      <sheetName val="Ассоциированные"/>
      <sheetName val="Добавить сч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row r="6">
          <cell r="L6">
            <v>1998</v>
          </cell>
          <cell r="O6">
            <v>1999</v>
          </cell>
          <cell r="P6">
            <v>1999</v>
          </cell>
          <cell r="Q6">
            <v>1999</v>
          </cell>
        </row>
        <row r="15">
          <cell r="M15">
            <v>1999</v>
          </cell>
          <cell r="N15">
            <v>1999</v>
          </cell>
          <cell r="P15">
            <v>1999</v>
          </cell>
          <cell r="R15">
            <v>2000</v>
          </cell>
          <cell r="S15">
            <v>2000</v>
          </cell>
          <cell r="U15">
            <v>2000</v>
          </cell>
          <cell r="W15">
            <v>2001</v>
          </cell>
          <cell r="X15">
            <v>2001</v>
          </cell>
          <cell r="Z15">
            <v>2001</v>
          </cell>
          <cell r="AB15">
            <v>2002</v>
          </cell>
          <cell r="AC15">
            <v>2002</v>
          </cell>
          <cell r="AE15">
            <v>2002</v>
          </cell>
        </row>
      </sheetData>
      <sheetData sheetId="5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 val="Лист1"/>
      <sheetName val="Лист3"/>
      <sheetName val="XLR_NoRangeSheet"/>
      <sheetName val="Products"/>
      <sheetName val="UnadjBS"/>
      <sheetName val="FA Movement Kyrg"/>
      <sheetName val="FTP-Instruct"/>
      <sheetName val="Cover Page"/>
      <sheetName val="PL dec. 18"/>
      <sheetName val="BS dec.18"/>
      <sheetName val="Other Assets"/>
      <sheetName val="PL Summary K"/>
      <sheetName val="BS Fin"/>
      <sheetName val="Key"/>
      <sheetName val="Subsidiary"/>
      <sheetName val="ImportedTB"/>
    </sheetNames>
    <sheetDataSet>
      <sheetData sheetId="0"/>
      <sheetData sheetId="1"/>
      <sheetData sheetId="2"/>
      <sheetData sheetId="3"/>
      <sheetData sheetId="4" refreshError="1">
        <row r="6">
          <cell r="J6" t="str">
            <v>ОАО НМ-ТРАСТ ДУ ИДУ</v>
          </cell>
          <cell r="K6" t="str">
            <v>NOMOS</v>
          </cell>
          <cell r="L6" t="str">
            <v>ДУ_82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ancy"/>
      <sheetName val="Bubget"/>
      <sheetName val="over pay roll sum (2)"/>
      <sheetName val="over pay roll sum"/>
      <sheetName val="tax account"/>
      <sheetName val="Tax submission"/>
      <sheetName val="Disbursement"/>
      <sheetName val="Fee Computation"/>
      <sheetName val="Control Ac"/>
      <sheetName val="SALES Control Revised"/>
      <sheetName val="SALES Control"/>
      <sheetName val="PROPERT"/>
      <sheetName val="NETPAY"/>
      <sheetName val="PAYE"/>
      <sheetName val="Napsa"/>
      <sheetName val="unpresented chq LSL 101070018"/>
      <sheetName val="zmk rec LSK 101070018"/>
      <sheetName val="Loan Repayment"/>
      <sheetName val="Foreighn"/>
      <sheetName val="PAYMENT"/>
      <sheetName val="RECEIPTS ZMK"/>
      <sheetName val="Chart1"/>
      <sheetName val="salary"/>
      <sheetName val="Expenses"/>
      <sheetName val="unpresen chqNDL ZMK400235007"/>
      <sheetName val="equip"/>
      <sheetName val="IN"/>
      <sheetName val="Notes 1"/>
      <sheetName val="OP"/>
      <sheetName val="Sheet2"/>
      <sheetName val="AD"/>
      <sheetName val="Equity"/>
      <sheetName val="Notes 2"/>
      <sheetName val="BA"/>
      <sheetName val="cash flow REVISED"/>
      <sheetName val="Cashflow"/>
      <sheetName val="Summary sales"/>
      <sheetName val="SALES R"/>
      <sheetName val="Interest "/>
      <sheetName val="TB"/>
      <sheetName val="Pety cash"/>
      <sheetName val="creditors"/>
      <sheetName val="Journal Entry"/>
      <sheetName val="NDL U$ RECE 040023023"/>
      <sheetName val="zmk rec ND 400235007"/>
      <sheetName val="USD REC LSK 101070034"/>
      <sheetName val="LSK U$ pay 101070034"/>
      <sheetName val="LSK U$ RECE 101070034"/>
      <sheetName val="LSK U$ RECE 101070042"/>
      <sheetName val="PETY USD "/>
      <sheetName val="USD REC LSK 101070042"/>
      <sheetName val="LSK U$ pay 101070042 "/>
      <sheetName val="USD REC NDL 040023023"/>
      <sheetName val="Sale VAT"/>
      <sheetName val="Finance Lease"/>
      <sheetName val="g"/>
      <sheetName val="Sheet1"/>
      <sheetName val="Terminal benefit"/>
      <sheetName val="FIxed Deposit"/>
      <sheetName val="Kanyimbo model"/>
      <sheetName val="WHT"/>
      <sheetName val="CURRENCY  RISK"/>
      <sheetName val="LIQUITY RISK"/>
      <sheetName val="CREDIT RISK"/>
      <sheetName val="NDL  U$ pay 040023023"/>
      <sheetName val="Rates"/>
      <sheetName val="Lookup"/>
      <sheetName val="ZESCO"/>
      <sheetName val="ZCSA"/>
      <sheetName val="MATT PRINTING"/>
      <sheetName val="ACCURATE BUSINESS"/>
      <sheetName val="TRIANGLE SERVICES"/>
      <sheetName val="LUSAKA GOLF CLUB"/>
      <sheetName val="HOLLARD INSURANCE"/>
      <sheetName val="DASHAS"/>
      <sheetName val="ZIHRM"/>
      <sheetName val="DASHAS-2"/>
      <sheetName val="UNZA-MARLON"/>
      <sheetName val="DRAKE &amp; GORHAM"/>
      <sheetName val="MUTINTA MWANZA"/>
      <sheetName val="RADISSON"/>
      <sheetName val="PROTEA"/>
      <sheetName val="SALHAMI"/>
      <sheetName val="PREMIUM TV"/>
      <sheetName val="TOPTV"/>
      <sheetName val="MARTINS NJEKWA"/>
      <sheetName val="CHRINOVIS"/>
      <sheetName val="MED INSTALLATIONS"/>
      <sheetName val="GEORGE CHISHA"/>
      <sheetName val="MICPILE"/>
      <sheetName val="WILLIES"/>
      <sheetName val="SATLINK"/>
      <sheetName val="CLUB ENTERTAINMENT"/>
      <sheetName val="SHIFT BOSS"/>
      <sheetName val="LENSAT"/>
      <sheetName val="M &amp; K"/>
      <sheetName val="ABNAT"/>
      <sheetName val="BETTERDAYZ"/>
      <sheetName val="BONITECH"/>
      <sheetName val="LUBEENZU"/>
      <sheetName val="BRITECH"/>
      <sheetName val="JKM"/>
      <sheetName val="SKY"/>
      <sheetName val="STAR"/>
      <sheetName val="BECKS"/>
      <sheetName val="CLEB"/>
      <sheetName val="EUCO TRADING"/>
      <sheetName val="KING GEORGE"/>
      <sheetName val="J GOMANI"/>
      <sheetName val="ULTRALINK"/>
      <sheetName val="SPACELINK"/>
      <sheetName val="INCREDIBLE LINKS"/>
      <sheetName val="DELTA SATELLITE"/>
      <sheetName val="MULTISAT"/>
      <sheetName val="EVANS"/>
      <sheetName val="CHARLES MVULA"/>
      <sheetName val="CHIZA SICHILIMA"/>
      <sheetName val="GAME STORES"/>
      <sheetName val="REAL ESTATE INVESTMENTS"/>
      <sheetName val="SHAMWANA"/>
      <sheetName val="CHITALU KAIBELE"/>
      <sheetName val="PRINCE JERE"/>
      <sheetName val="BARBARA CHEKUDA"/>
      <sheetName val="DANIEL NGOMA"/>
      <sheetName val="SWEDDY JACKSON"/>
      <sheetName val="DUNHILL SIMULIYE"/>
      <sheetName val="MWAULUKA NAMBULA"/>
      <sheetName val="VICTOR PHIRI"/>
      <sheetName val="ANGELA S NACHILONGO"/>
      <sheetName val="MOSES MTONGA"/>
      <sheetName val="ABEL NGOMA"/>
      <sheetName val="PM ONE"/>
      <sheetName val="VEHICLE CENTRE"/>
      <sheetName val="BRIAN KANGUYA"/>
      <sheetName val="SHOPRITE 1"/>
      <sheetName val="SHOPRITE 2"/>
      <sheetName val="SIMAWE KAULULE"/>
      <sheetName val="MARTIN SIETA"/>
      <sheetName val="CHAMA CHISHIMBA"/>
      <sheetName val="ZAMTEL GSM"/>
      <sheetName val="ZAMTEL FIBRE SERVICE"/>
      <sheetName val="ZESCO - OCT"/>
      <sheetName val="Sheet73"/>
      <sheetName val="Sheet74"/>
      <sheetName val="Sheet75"/>
      <sheetName val="Sheet76"/>
      <sheetName val="Sheet77"/>
      <sheetName val="Sheet78"/>
      <sheetName val="Sheet79"/>
      <sheetName val="Sheet80"/>
      <sheetName val="Sheet81"/>
      <sheetName val="Sheet82"/>
      <sheetName val="Sheet83"/>
      <sheetName val="Scorecard"/>
      <sheetName val="over_pay_roll_sum_(2)"/>
      <sheetName val="over_pay_roll_sum"/>
      <sheetName val="tax_account"/>
      <sheetName val="Tax_submission"/>
      <sheetName val="Fee_Computation"/>
      <sheetName val="Control_Ac"/>
      <sheetName val="SALES_Control_Revised"/>
      <sheetName val="SALES_Control"/>
      <sheetName val="unpresented_chq_LSL_101070018"/>
      <sheetName val="zmk_rec_LSK_101070018"/>
      <sheetName val="Loan_Repayment"/>
      <sheetName val="RECEIPTS_ZMK"/>
      <sheetName val="unpresen_chqNDL_ZMK400235007"/>
      <sheetName val="Notes_1"/>
      <sheetName val="Notes_2"/>
      <sheetName val="cash_flow_REVISED"/>
      <sheetName val="Summary_sales"/>
      <sheetName val="SALES_R"/>
      <sheetName val="Interest_"/>
      <sheetName val="Pety_cash"/>
      <sheetName val="Journal_Entry"/>
      <sheetName val="NDL_U$_RECE_040023023"/>
      <sheetName val="zmk_rec_ND_400235007"/>
      <sheetName val="USD_REC_LSK_101070034"/>
      <sheetName val="LSK_U$_pay_101070034"/>
      <sheetName val="LSK_U$_RECE_101070034"/>
      <sheetName val="LSK_U$_RECE_101070042"/>
      <sheetName val="PETY_USD_"/>
      <sheetName val="USD_REC_LSK_101070042"/>
      <sheetName val="LSK_U$_pay_101070042_"/>
      <sheetName val="USD_REC_NDL_040023023"/>
      <sheetName val="Sale_VAT"/>
      <sheetName val="Finance_Lease"/>
      <sheetName val="Terminal_benefit"/>
      <sheetName val="FIxed_Deposit"/>
      <sheetName val="Kanyimbo_model"/>
      <sheetName val="CURRENCY__RISK"/>
      <sheetName val="LIQUITY_RISK"/>
      <sheetName val="CREDIT_RISK"/>
      <sheetName val="NDL__U$_pay_0400230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215">
          <cell r="B215" t="str">
            <v>Personal Levy</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dwn"/>
      <sheetName val="cost test"/>
      <sheetName val="REPO"/>
      <sheetName val="REPO-2"/>
      <sheetName val="Tickmarks"/>
      <sheetName val="Переоценка сроч"/>
      <sheetName val="Products"/>
      <sheetName val="Лист1"/>
      <sheetName val="XLR_NoRangeShee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Overview"/>
      <sheetName val="Tickmarks"/>
      <sheetName val="MetaData"/>
    </sheetNames>
    <sheetDataSet>
      <sheetData sheetId="0" refreshError="1"/>
      <sheetData sheetId="1" refreshError="1"/>
      <sheetData sheetId="2" refreshError="1"/>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2)"/>
      <sheetName val="TB"/>
      <sheetName val="Sheet4"/>
      <sheetName val="SOCI"/>
      <sheetName val="SFP"/>
      <sheetName val="SOCIE"/>
      <sheetName val="CFS"/>
      <sheetName val="Clients TB"/>
      <sheetName val="Reclassifications"/>
      <sheetName val="IntIncome"/>
      <sheetName val="Allowance"/>
      <sheetName val="OtherInc"/>
      <sheetName val="Forex note"/>
      <sheetName val="Opex"/>
      <sheetName val="IncomeTax"/>
      <sheetName val="Cash"/>
      <sheetName val="LoanToCust"/>
      <sheetName val="PPE"/>
      <sheetName val="IA"/>
      <sheetName val="Other assets"/>
      <sheetName val="LoansPay"/>
      <sheetName val="OtherLiab"/>
      <sheetName val="ShareCap"/>
      <sheetName val="RP"/>
      <sheetName val="FV of Fin Instr"/>
      <sheetName val="Cap Risk"/>
      <sheetName val="Geo"/>
      <sheetName val="LiqRisk"/>
      <sheetName val="IntRate Sensit"/>
      <sheetName val="Liquid"/>
      <sheetName val="ForeignCurr"/>
      <sheetName val="Tickmarks"/>
      <sheetName val="workings"/>
      <sheetName val="Cor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C16">
            <v>517400</v>
          </cell>
          <cell r="E16">
            <v>391551</v>
          </cell>
          <cell r="G16">
            <v>397574</v>
          </cell>
          <cell r="I16">
            <v>201172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n"/>
      <sheetName val="Work done"/>
      <sheetName val="CCY Revaluation"/>
      <sheetName val="Securities"/>
      <sheetName val="REPO Deals"/>
      <sheetName val="Futures"/>
      <sheetName val="Options"/>
      <sheetName val="Tickmarks"/>
      <sheetName val="OFZ"/>
      <sheetName val="micex"/>
      <sheetName val="Rates"/>
      <sheetName val="bonds micex"/>
      <sheetName val="shares micex"/>
      <sheetName val="Forts"/>
      <sheetName val="FA Movement "/>
      <sheetName val="depreciation testing"/>
      <sheetName val="10Cash"/>
      <sheetName val="P&amp;L"/>
      <sheetName val="Provisions"/>
      <sheetName val="Additions_Disposals"/>
      <sheetName val="breakdown"/>
      <sheetName val="FA 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reakdown"/>
      <sheetName val="REPO Deals"/>
      <sheetName val="Futures"/>
      <sheetName val="Tickmarks"/>
      <sheetName val="Gold Deals"/>
      <sheetName val="CCY Revaluation"/>
      <sheetName val="Forts"/>
      <sheetName val="Statements_FUTURES"/>
      <sheetName val="Отчет f04"/>
      <sheetName val="RTS"/>
      <sheetName val="Model"/>
      <sheetName val="Inputs"/>
      <sheetName val="FA Movement "/>
      <sheetName val="depreciation testing"/>
      <sheetName val="service chg actual"/>
      <sheetName val="NOTES 17-18"/>
      <sheetName val="t12_1"/>
      <sheetName val="Stmnt of fin position"/>
      <sheetName val="DIR RESPONS."/>
      <sheetName val="NOTES 18-19"/>
      <sheetName val="CORP INFO(1)"/>
      <sheetName val="NOTES 27"/>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ize"/>
      <sheetName val="Age Analysis"/>
      <sheetName val="Guidance "/>
      <sheetName val="MUS Calculations- Figure 5410.1"/>
      <sheetName val="MUS Selections"/>
      <sheetName val="Other Confirmations"/>
      <sheetName val="Staff Debtors"/>
      <sheetName val="XREF"/>
      <sheetName val="Tickmarks"/>
      <sheetName val="CMA_SampleDesign"/>
      <sheetName val="DialogInsert"/>
    </sheetNames>
    <sheetDataSet>
      <sheetData sheetId="0">
        <row r="14">
          <cell r="D14">
            <v>12385485.690000001</v>
          </cell>
        </row>
      </sheetData>
      <sheetData sheetId="1"/>
      <sheetData sheetId="2"/>
      <sheetData sheetId="3">
        <row r="20">
          <cell r="D20">
            <v>12385485.690000001</v>
          </cell>
          <cell r="H20">
            <v>-700000</v>
          </cell>
        </row>
      </sheetData>
      <sheetData sheetId="4"/>
      <sheetData sheetId="5"/>
      <sheetData sheetId="6">
        <row r="36">
          <cell r="D36">
            <v>29646.62</v>
          </cell>
        </row>
      </sheetData>
      <sheetData sheetId="7"/>
      <sheetData sheetId="8"/>
      <sheetData sheetId="9"/>
      <sheetData sheetId="1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LS"/>
      <sheetName val="PN's"/>
      <sheetName val="LLS05"/>
      <sheetName val="HLR05"/>
    </sheetNames>
    <sheetDataSet>
      <sheetData sheetId="0"/>
      <sheetData sheetId="1" refreshError="1"/>
      <sheetData sheetId="2" refreshError="1"/>
      <sheetData sheetId="3" refreshError="1"/>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 val="90803"/>
      <sheetName val="90902"/>
      <sheetName val="91202"/>
      <sheetName val="91204"/>
      <sheetName val="91302"/>
      <sheetName val="Права и обязанности"/>
      <sheetName val="91303"/>
      <sheetName val="91305"/>
      <sheetName val="91307"/>
      <sheetName val="91308"/>
      <sheetName val="91309"/>
      <sheetName val="91310"/>
      <sheetName val="91405"/>
      <sheetName val="91401"/>
      <sheetName val="91503"/>
      <sheetName val="Tickmarks"/>
      <sheetName val="Additions testing"/>
      <sheetName val="Movement schedule"/>
      <sheetName val="depreciation testing"/>
      <sheetName val="REPO Deals"/>
      <sheetName val="HLR05"/>
      <sheetName val="Breakdown"/>
      <sheetName val="service chg actual"/>
      <sheetName val="NTN-2009"/>
      <sheetName val="Recon'n"/>
    </sheetNames>
    <sheetDataSet>
      <sheetData sheetId="0">
        <row r="36">
          <cell r="D36">
            <v>-1687705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on"/>
      <sheetName val="Summary"/>
      <sheetName val="customers"/>
      <sheetName val="31.12.99 loan summary"/>
      <sheetName val="Accrued interest - PBC"/>
      <sheetName val="Credit lines - PBC"/>
      <sheetName val="Tickmarks"/>
      <sheetName val="Accrued interest _ PBC"/>
      <sheetName val="Credit lines _ PBC"/>
      <sheetName val="breakdown"/>
      <sheetName val="FA depreciation"/>
      <sheetName val="Additions testing"/>
      <sheetName val="Movement schedule"/>
      <sheetName val="BD"/>
      <sheetName val="depreciation testing"/>
      <sheetName val="Dates"/>
      <sheetName val="VAT"/>
      <sheetName val="PBC,curr.HO&amp;branch"/>
      <sheetName val="Коммерческ_"/>
      <sheetName val="Задолженность по лизингу"/>
      <sheetName val="Depreciation"/>
      <sheetName val="Lead"/>
      <sheetName val="XREF"/>
      <sheetName val="PY_Delotte_LLA"/>
      <sheetName val="HLR05"/>
      <sheetName val="Recon'n"/>
    </sheetNames>
    <sheetDataSet>
      <sheetData sheetId="0" refreshError="1"/>
      <sheetData sheetId="1" refreshError="1"/>
      <sheetData sheetId="2" refreshError="1"/>
      <sheetData sheetId="3" refreshError="1"/>
      <sheetData sheetId="4"/>
      <sheetData sheetId="5" refreshError="1">
        <row r="18">
          <cell r="F18">
            <v>6930588.4199999999</v>
          </cell>
        </row>
      </sheetData>
      <sheetData sheetId="6"/>
      <sheetData sheetId="7"/>
      <sheetData sheetId="8">
        <row r="18">
          <cell r="F18">
            <v>6930588.4199999999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mp;L"/>
      <sheetName val="CI"/>
      <sheetName val="FA"/>
      <sheetName val="RE"/>
      <sheetName val="Investments"/>
      <sheetName val="Tickmarks"/>
      <sheetName val="Infl. indices"/>
      <sheetName val="Provisions"/>
      <sheetName val="breakdown"/>
      <sheetName val="Credit lines - PBC"/>
      <sheetName val="Accrued interest - PBC"/>
      <sheetName val="FA depreciation"/>
      <sheetName val="Пример"/>
      <sheetName val="service chg actual"/>
      <sheetName val="BD"/>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Adj"/>
      <sheetName val="Summary"/>
      <sheetName val="Disclosures_DS"/>
      <sheetName val="Bonds_dln"/>
      <sheetName val="Shares_dln"/>
      <sheetName val="Bonds_AFS&amp;HTM"/>
      <sheetName val="Shares_AFS"/>
      <sheetName val="Investments_shares_AFS"/>
      <sheetName val="Investments_roll-forward"/>
      <sheetName val="DEPO_L"/>
      <sheetName val="DEPO_A"/>
      <sheetName val="Tickmarks"/>
      <sheetName val="Recon'n"/>
      <sheetName val="P&amp;L"/>
      <sheetName val="Provisions"/>
      <sheetName val="Accrued interest - PBC"/>
      <sheetName val="Credit lines - PBC"/>
      <sheetName val="Breakdown PBC &amp; provisions"/>
      <sheetName val="PBC,curr.HO&amp;branch"/>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N"/>
      <sheetName val="20202"/>
      <sheetName val="20206"/>
      <sheetName val="20207"/>
      <sheetName val="20208"/>
      <sheetName val="20209"/>
      <sheetName val="CBR"/>
      <sheetName val="IAS"/>
      <sheetName val="Tickmarks"/>
      <sheetName val="Capex"/>
    </sheetNames>
    <sheetDataSet>
      <sheetData sheetId="0" refreshError="1"/>
      <sheetData sheetId="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2_1"/>
      <sheetName val="t12_2"/>
      <sheetName val="t10"/>
      <sheetName val="6.2"/>
      <sheetName val="Table 1 (BS)"/>
      <sheetName val="Table 2 (PL)"/>
      <sheetName val="Table 4 (Share holders)"/>
      <sheetName val="Table 5 CapAdeqRario"/>
      <sheetName val="Table 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VAT (acc.19)"/>
      <sheetName val="VAT (acc.68)"/>
      <sheetName val="PIT"/>
      <sheetName val="MOT"/>
      <sheetName val="taxes payments test"/>
      <sheetName val="Tickmarks"/>
      <sheetName val="PBC 69"/>
      <sheetName val="PBC 68.27"/>
      <sheetName val="PBC 68.19"/>
      <sheetName val="PBC 68.9"/>
      <sheetName val="PBC 68.2"/>
      <sheetName val="PBC 68.4"/>
      <sheetName val="PBC 68.18"/>
      <sheetName val="All Payments for period"/>
      <sheetName val="Payments test"/>
      <sheetName val="Property tax"/>
      <sheetName val="Mining tax"/>
      <sheetName val="Export duties"/>
      <sheetName val="VAT"/>
      <sheetName val="BD"/>
      <sheetName val="HLR05"/>
      <sheetName val="t12_1"/>
      <sheetName val="Lead as at 30.06.04"/>
      <sheetName val="UST"/>
      <sheetName val="Inv_roll-fwd"/>
      <sheetName val="Dealing-other bonds"/>
      <sheetName val="Changes in Equity"/>
      <sheetName val="CORP INFO(1)"/>
      <sheetName val="PPE 2"/>
      <sheetName val="Stmnt of fin position"/>
      <sheetName val="Creditors Listing"/>
    </sheetNames>
    <sheetDataSet>
      <sheetData sheetId="0" refreshError="1">
        <row r="22">
          <cell r="F22">
            <v>22486.13754</v>
          </cell>
          <cell r="H22">
            <v>-20042.94729</v>
          </cell>
          <cell r="J22">
            <v>15790.242500000002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Mvnt"/>
      <sheetName val="3310"/>
      <sheetName val="Alternative test"/>
      <sheetName val="Table"/>
      <sheetName val="XREF"/>
      <sheetName val="Tickmarks"/>
      <sheetName val="8180 (8181,8182)"/>
      <sheetName val="8082"/>
      <sheetName val="8250"/>
      <sheetName val="8140"/>
      <sheetName val="8070"/>
      <sheetName val="8145"/>
      <sheetName val="8200"/>
      <sheetName val="8113"/>
      <sheetName val="8210"/>
      <sheetName val="#REF"/>
    </sheetNames>
    <sheetDataSet>
      <sheetData sheetId="0"/>
      <sheetData sheetId="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ranches Selection"/>
      <sheetName val="Nostro"/>
      <sheetName val="Loans to banks"/>
      <sheetName val="PNs"/>
      <sheetName val="Cut-off"/>
      <sheetName val="IAS-notes"/>
      <sheetName val="Tickmarks"/>
      <sheetName val="RVS-quotes"/>
      <sheetName val="20060216"/>
      <sheetName val="059"/>
      <sheetName val="120"/>
      <sheetName val="081"/>
      <sheetName val="126"/>
      <sheetName val="7000"/>
      <sheetName val="Target"/>
      <sheetName val="Datasheet"/>
      <sheetName val="Excess Calc Social Tax"/>
      <sheetName val="Q4 CMA"/>
      <sheetName val="9m CMA"/>
      <sheetName val="SF Thru"/>
      <sheetName val="Truck list"/>
      <sheetName val="setup"/>
      <sheetName val="PP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sheetName val="INDEX"/>
      <sheetName val="O"/>
      <sheetName val="1"/>
      <sheetName val="1a"/>
      <sheetName val="1A(1)"/>
      <sheetName val="2"/>
      <sheetName val="3"/>
      <sheetName val="4"/>
      <sheetName val="4A(1)"/>
      <sheetName val="4A(2)"/>
      <sheetName val="4B(1)"/>
      <sheetName val="4B(2)"/>
      <sheetName val="4C(1)"/>
      <sheetName val="4C(2)"/>
      <sheetName val="4D(1)"/>
      <sheetName val="4D(2)"/>
      <sheetName val="5(1)"/>
      <sheetName val="5(2)"/>
      <sheetName val="5A"/>
      <sheetName val="5B"/>
      <sheetName val="5C"/>
      <sheetName val="5D"/>
      <sheetName val="6(1)"/>
      <sheetName val="6(2)"/>
      <sheetName val="7"/>
      <sheetName val="8"/>
      <sheetName val="8A(1)"/>
      <sheetName val="8A(2)"/>
      <sheetName val="8B"/>
      <sheetName val="9"/>
      <sheetName val="10"/>
      <sheetName val="10A"/>
      <sheetName val="10B"/>
      <sheetName val="11(1)"/>
      <sheetName val="11(2)"/>
      <sheetName val="11B"/>
      <sheetName val="12"/>
      <sheetName val="13"/>
      <sheetName val="14A(1)"/>
      <sheetName val="14A(2)"/>
      <sheetName val="14B(1)"/>
      <sheetName val="14B(2)"/>
      <sheetName val="15(1)"/>
      <sheetName val="15(2)"/>
      <sheetName val="analyse"/>
      <sheetName val="DATA"/>
      <sheetName val="rate"/>
      <sheetName val="TABLE"/>
      <sheetName val="0"/>
      <sheetName val="4A"/>
      <sheetName val="4A$"/>
      <sheetName val="4AY"/>
      <sheetName val="4AY$"/>
      <sheetName val="4AM"/>
      <sheetName val="4AM$"/>
      <sheetName val="5"/>
      <sheetName val="5$"/>
      <sheetName val="6"/>
      <sheetName val="6$"/>
      <sheetName val="8A"/>
      <sheetName val="9A"/>
      <sheetName val="9B"/>
      <sheetName val="9D"/>
      <sheetName val="9E"/>
      <sheetName val="10C"/>
      <sheetName val="10D"/>
      <sheetName val="10E"/>
      <sheetName val="10F"/>
      <sheetName val="10G"/>
      <sheetName val="10H"/>
      <sheetName val="10I"/>
      <sheetName val="10J"/>
      <sheetName val="10K"/>
      <sheetName val="10L"/>
      <sheetName val="11"/>
      <sheetName val="11 interm  CFA"/>
      <sheetName val="11 interm USD"/>
      <sheetName val="11A"/>
      <sheetName val="14"/>
      <sheetName val="TTest"/>
      <sheetName val="5 D"/>
      <sheetName val="Revenue - Trends"/>
      <sheetName val="Assum"/>
      <sheetName val="FINPACK-MOLIDOR P12-99"/>
      <sheetName val="INCOME_STATEMENT-GAAP"/>
      <sheetName val="BALANCE_SHEET-GAAP"/>
      <sheetName val="ENTRIES_OF_ADJUSMENTS-GAAP"/>
      <sheetName val="11_interm__CFA"/>
      <sheetName val="11_interm_USD"/>
      <sheetName val="5_D"/>
    </sheetNames>
    <sheetDataSet>
      <sheetData sheetId="0" refreshError="1"/>
      <sheetData sheetId="1" refreshError="1"/>
      <sheetData sheetId="2" refreshError="1"/>
      <sheetData sheetId="3" refreshError="1"/>
      <sheetData sheetId="4" refreshError="1"/>
      <sheetData sheetId="5" refreshError="1">
        <row r="19">
          <cell r="C19">
            <v>24324036</v>
          </cell>
        </row>
      </sheetData>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JE and RJE"/>
      <sheetName val="Per branches"/>
      <sheetName val="For disclosure"/>
      <sheetName val="Test"/>
      <sheetName val="Fair Value"/>
      <sheetName val="Restatement as per IAS 29"/>
      <sheetName val="IAS 29 indices"/>
      <sheetName val="XREF"/>
      <sheetName val="Tickmarks"/>
      <sheetName val="059"/>
      <sheetName val="Actual"/>
      <sheetName val="TB"/>
      <sheetName val="Lookup"/>
      <sheetName val="entitlements"/>
      <sheetName val="Expenses Category"/>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неопределены"/>
      <sheetName val="f_651"/>
      <sheetName val="H_6 London"/>
      <sheetName val="CCY_today "/>
      <sheetName val="Sheet 1"/>
      <sheetName val="Sheet1"/>
      <sheetName val="Test"/>
      <sheetName val="Code of Umeme Assets"/>
      <sheetName val="Actual"/>
    </sheetNames>
    <sheetDataSet>
      <sheetData sheetId="0" refreshError="1"/>
      <sheetData sheetId="1" refreshError="1"/>
      <sheetData sheetId="2" refreshError="1">
        <row r="1">
          <cell r="E1">
            <v>39444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таблиц"/>
      <sheetName val="Список предприятий"/>
      <sheetName val="Список подразделений"/>
      <sheetName val="IAS Proforma"/>
      <sheetName val="Ф-1-2"/>
      <sheetName val="Invent'02"/>
      <sheetName val="Adj2002"/>
      <sheetName val="Consol"/>
      <sheetName val="model '02"/>
      <sheetName val="MG '02"/>
      <sheetName val="DTX '02"/>
      <sheetName val="Долгосрочные вложения"/>
      <sheetName val="PPE'02"/>
      <sheetName val="PL_2002"/>
      <sheetName val="Reconciliat"/>
      <sheetName val="Движение капитала"/>
      <sheetName val="PL_2002 (бел.руб)"/>
      <sheetName val="Adj 2001"/>
      <sheetName val="Белорусский рубль"/>
      <sheetName val="Деб. и кред. на 31.12.02 "/>
      <sheetName val="Налоговые платежи 2002"/>
      <sheetName val="Доходы-расходы (год)"/>
      <sheetName val="ТМЦ 2001-2002"/>
      <sheetName val="Расшифр РБП и проч выб"/>
      <sheetName val="Выручка 2002"/>
      <sheetName val="Доходы-расходы 1 квартал"/>
      <sheetName val="Доходы-расходы 2 квартал"/>
      <sheetName val="Доходы-расходы 3 квартал"/>
      <sheetName val="Доходы-расходы 4 квартал"/>
      <sheetName val="Денежные средства 2002"/>
      <sheetName val="Check Other"/>
      <sheetName val="Табл. 5.3"/>
      <sheetName val="Табл. 6.4"/>
      <sheetName val="Табл. 6.5"/>
      <sheetName val="Собственные акции"/>
      <sheetName val="Краткосроч. вложения 2001-2002"/>
      <sheetName val="Внутригрупп расчеты 31.12.02"/>
      <sheetName val="Убытки на балансе"/>
      <sheetName val="Связанные стороны на 31.12. 02"/>
      <sheetName val="денежные потоки2002"/>
      <sheetName val="Векселя у эмитента "/>
      <sheetName val="Групповые операции с векселями"/>
      <sheetName val="Долгоср. займы и кредиты  2002"/>
      <sheetName val="Краткоср. займы и кредиты  2002"/>
      <sheetName val="Выданные гарантии 2002"/>
      <sheetName val="Судебные иски"/>
      <sheetName val="Резервы предстоящих расходов"/>
      <sheetName val=" Общие таблицы"/>
      <sheetName val="хищения аварии"/>
      <sheetName val="замена труб"/>
      <sheetName val="f_651"/>
      <sheetName val="Code of Umeme Assets"/>
      <sheetName val="Test"/>
    </sheetNames>
    <sheetDataSet>
      <sheetData sheetId="0" refreshError="1"/>
      <sheetData sheetId="1" refreshError="1"/>
      <sheetData sheetId="2" refreshError="1"/>
      <sheetData sheetId="3" refreshError="1"/>
      <sheetData sheetId="4" refreshError="1"/>
      <sheetData sheetId="5" refreshError="1"/>
      <sheetData sheetId="6" refreshError="1">
        <row r="2">
          <cell r="A2">
            <v>1011095</v>
          </cell>
          <cell r="B2" t="str">
            <v>Investments unal (Инвест общ)</v>
          </cell>
          <cell r="C2">
            <v>0</v>
          </cell>
          <cell r="D2">
            <v>0</v>
          </cell>
          <cell r="J2">
            <v>0</v>
          </cell>
          <cell r="K2">
            <v>0</v>
          </cell>
          <cell r="L2">
            <v>0</v>
          </cell>
          <cell r="M2">
            <v>0</v>
          </cell>
          <cell r="N2">
            <v>0</v>
          </cell>
          <cell r="U2">
            <v>0</v>
          </cell>
        </row>
        <row r="65">
          <cell r="A65">
            <v>1012095</v>
          </cell>
          <cell r="B65" t="str">
            <v>PPE net unal</v>
          </cell>
          <cell r="C65">
            <v>1601390</v>
          </cell>
          <cell r="D65">
            <v>26352.153562</v>
          </cell>
          <cell r="J65">
            <v>0</v>
          </cell>
          <cell r="K65">
            <v>0</v>
          </cell>
          <cell r="L65">
            <v>0</v>
          </cell>
          <cell r="M65">
            <v>0</v>
          </cell>
          <cell r="N65">
            <v>-26352.153562</v>
          </cell>
          <cell r="U65">
            <v>0</v>
          </cell>
        </row>
        <row r="120">
          <cell r="A120">
            <v>1021095</v>
          </cell>
          <cell r="B120" t="str">
            <v>Invent unal (Запасы общ)</v>
          </cell>
          <cell r="C120">
            <v>22087</v>
          </cell>
          <cell r="D120">
            <v>363.45925460000001</v>
          </cell>
          <cell r="J120">
            <v>0</v>
          </cell>
          <cell r="K120">
            <v>0</v>
          </cell>
          <cell r="L120">
            <v>0</v>
          </cell>
          <cell r="M120">
            <v>0</v>
          </cell>
          <cell r="N120">
            <v>0</v>
          </cell>
          <cell r="P120">
            <v>-363</v>
          </cell>
          <cell r="U120">
            <v>0.45925460000000839</v>
          </cell>
        </row>
        <row r="121">
          <cell r="A121">
            <v>1021195</v>
          </cell>
          <cell r="B121" t="str">
            <v>Linefill unallocated (Технолог запас)</v>
          </cell>
          <cell r="C121">
            <v>0</v>
          </cell>
          <cell r="D121">
            <v>0</v>
          </cell>
          <cell r="J121">
            <v>0</v>
          </cell>
          <cell r="K121">
            <v>0</v>
          </cell>
          <cell r="L121">
            <v>0</v>
          </cell>
          <cell r="M121">
            <v>0</v>
          </cell>
          <cell r="N121">
            <v>0</v>
          </cell>
          <cell r="U121">
            <v>0</v>
          </cell>
        </row>
        <row r="132">
          <cell r="A132">
            <v>1023095</v>
          </cell>
          <cell r="B132" t="str">
            <v>Trad oth receiv unall</v>
          </cell>
          <cell r="C132">
            <v>112251</v>
          </cell>
          <cell r="D132">
            <v>1847.1800057999999</v>
          </cell>
          <cell r="F132">
            <v>-1847.1800057999999</v>
          </cell>
          <cell r="J132">
            <v>-1847.1800057999999</v>
          </cell>
          <cell r="K132">
            <v>0</v>
          </cell>
          <cell r="L132">
            <v>0</v>
          </cell>
          <cell r="M132">
            <v>0</v>
          </cell>
          <cell r="N132">
            <v>0</v>
          </cell>
          <cell r="U132">
            <v>0</v>
          </cell>
        </row>
        <row r="133">
          <cell r="A133">
            <v>1023195</v>
          </cell>
          <cell r="B133" t="str">
            <v>Crim outfl debt unal (Крим врезки общ)</v>
          </cell>
          <cell r="C133">
            <v>0</v>
          </cell>
          <cell r="D133">
            <v>0</v>
          </cell>
          <cell r="J133">
            <v>0</v>
          </cell>
          <cell r="K133">
            <v>0</v>
          </cell>
          <cell r="L133">
            <v>0</v>
          </cell>
          <cell r="M133">
            <v>0</v>
          </cell>
          <cell r="N133">
            <v>0</v>
          </cell>
          <cell r="U133">
            <v>0</v>
          </cell>
        </row>
        <row r="178">
          <cell r="A178">
            <v>1025095</v>
          </cell>
          <cell r="B178" t="str">
            <v>Cash &amp; equiv unal ( Денеж сред)</v>
          </cell>
          <cell r="C178">
            <v>97328</v>
          </cell>
          <cell r="D178">
            <v>1601.6101024</v>
          </cell>
          <cell r="I178">
            <v>-1601.6101024</v>
          </cell>
          <cell r="J178">
            <v>-1601.6101024</v>
          </cell>
          <cell r="K178">
            <v>0</v>
          </cell>
          <cell r="L178">
            <v>0</v>
          </cell>
          <cell r="M178">
            <v>0</v>
          </cell>
          <cell r="N178">
            <v>0</v>
          </cell>
          <cell r="U178">
            <v>0</v>
          </cell>
        </row>
        <row r="186">
          <cell r="A186">
            <v>2011295</v>
          </cell>
          <cell r="B186" t="str">
            <v>Long Oth unall (Долгоср КЗ общ)</v>
          </cell>
          <cell r="C186">
            <v>0</v>
          </cell>
          <cell r="D186">
            <v>0</v>
          </cell>
          <cell r="J186">
            <v>0</v>
          </cell>
          <cell r="K186">
            <v>0</v>
          </cell>
          <cell r="L186">
            <v>0</v>
          </cell>
          <cell r="M186">
            <v>0</v>
          </cell>
          <cell r="N186">
            <v>0</v>
          </cell>
          <cell r="U186">
            <v>0</v>
          </cell>
        </row>
        <row r="203">
          <cell r="A203">
            <v>2011095</v>
          </cell>
          <cell r="B203" t="str">
            <v>Trad &amp; oth pay unall (Торг проч кред задолж общ)</v>
          </cell>
          <cell r="C203">
            <v>-34136</v>
          </cell>
          <cell r="D203">
            <v>-561.73518880000006</v>
          </cell>
          <cell r="G203">
            <v>561.73518880000006</v>
          </cell>
          <cell r="J203">
            <v>561.73518880000006</v>
          </cell>
          <cell r="K203">
            <v>0</v>
          </cell>
          <cell r="L203">
            <v>0</v>
          </cell>
          <cell r="M203">
            <v>0</v>
          </cell>
          <cell r="N203">
            <v>0</v>
          </cell>
          <cell r="U203">
            <v>0</v>
          </cell>
        </row>
        <row r="211">
          <cell r="A211">
            <v>2022195</v>
          </cell>
          <cell r="B211" t="str">
            <v>Tax payab (Налог обязат) unal</v>
          </cell>
          <cell r="C211">
            <v>0</v>
          </cell>
          <cell r="D211">
            <v>0</v>
          </cell>
          <cell r="G211">
            <v>-271.61943480000002</v>
          </cell>
          <cell r="H211">
            <v>271.61943480000002</v>
          </cell>
          <cell r="J211">
            <v>0</v>
          </cell>
          <cell r="K211">
            <v>0</v>
          </cell>
          <cell r="L211">
            <v>0</v>
          </cell>
          <cell r="M211">
            <v>0</v>
          </cell>
          <cell r="N211">
            <v>0</v>
          </cell>
          <cell r="U211">
            <v>0</v>
          </cell>
        </row>
        <row r="242">
          <cell r="A242">
            <v>2023095</v>
          </cell>
          <cell r="B242" t="str">
            <v>Divids pay unall  ( Задолж дивид общ)</v>
          </cell>
          <cell r="C242">
            <v>0</v>
          </cell>
          <cell r="D242">
            <v>0</v>
          </cell>
          <cell r="J242">
            <v>0</v>
          </cell>
          <cell r="K242">
            <v>0</v>
          </cell>
          <cell r="L242">
            <v>0</v>
          </cell>
          <cell r="M242">
            <v>0</v>
          </cell>
          <cell r="N242">
            <v>0</v>
          </cell>
          <cell r="U242">
            <v>0</v>
          </cell>
        </row>
        <row r="263">
          <cell r="A263">
            <v>2024095</v>
          </cell>
          <cell r="B263" t="str">
            <v>Loans &amp; cur port long debt unal  (Займ и тек час)</v>
          </cell>
          <cell r="C263">
            <v>0</v>
          </cell>
          <cell r="D263">
            <v>0</v>
          </cell>
          <cell r="J263">
            <v>0</v>
          </cell>
          <cell r="K263">
            <v>0</v>
          </cell>
          <cell r="L263">
            <v>0</v>
          </cell>
          <cell r="M263">
            <v>0</v>
          </cell>
          <cell r="N263">
            <v>0</v>
          </cell>
          <cell r="U263">
            <v>0</v>
          </cell>
        </row>
        <row r="294">
          <cell r="A294">
            <v>4011095</v>
          </cell>
          <cell r="B294" t="str">
            <v>Revenue unallocated (Выручка общ)</v>
          </cell>
          <cell r="C294">
            <v>-564134</v>
          </cell>
          <cell r="D294">
            <v>-9283.2762772000005</v>
          </cell>
          <cell r="J294">
            <v>0</v>
          </cell>
          <cell r="K294">
            <v>9283.2762772000005</v>
          </cell>
          <cell r="L294">
            <v>0</v>
          </cell>
          <cell r="M294">
            <v>9283.2762772000005</v>
          </cell>
          <cell r="N294">
            <v>0</v>
          </cell>
          <cell r="U294">
            <v>0</v>
          </cell>
        </row>
        <row r="308">
          <cell r="A308">
            <v>5011095</v>
          </cell>
          <cell r="B308" t="str">
            <v>COGS unallocated (Себест общ)</v>
          </cell>
          <cell r="C308">
            <v>521349</v>
          </cell>
          <cell r="D308">
            <v>8579.214874199999</v>
          </cell>
          <cell r="J308">
            <v>0</v>
          </cell>
          <cell r="K308">
            <v>-8579.214874199999</v>
          </cell>
          <cell r="L308">
            <v>0</v>
          </cell>
          <cell r="M308">
            <v>-8579.214874199999</v>
          </cell>
          <cell r="N308">
            <v>0</v>
          </cell>
          <cell r="U308">
            <v>0</v>
          </cell>
        </row>
        <row r="312">
          <cell r="A312">
            <v>5011195</v>
          </cell>
          <cell r="B312" t="str">
            <v>Depr unal soc (Аморт соц расходы)</v>
          </cell>
          <cell r="C312">
            <v>0</v>
          </cell>
          <cell r="D312">
            <v>0</v>
          </cell>
          <cell r="J312">
            <v>0</v>
          </cell>
          <cell r="K312">
            <v>0</v>
          </cell>
          <cell r="L312">
            <v>0</v>
          </cell>
          <cell r="M312">
            <v>0</v>
          </cell>
          <cell r="N312">
            <v>0</v>
          </cell>
          <cell r="U312">
            <v>0</v>
          </cell>
        </row>
        <row r="322">
          <cell r="A322">
            <v>7011095</v>
          </cell>
          <cell r="B322" t="str">
            <v>Other exp unal (Прочие расх общ)</v>
          </cell>
          <cell r="C322">
            <v>4323</v>
          </cell>
          <cell r="D322">
            <v>71.138423399999994</v>
          </cell>
          <cell r="J322">
            <v>0</v>
          </cell>
          <cell r="K322">
            <v>-71.138423399999994</v>
          </cell>
          <cell r="L322">
            <v>0</v>
          </cell>
          <cell r="M322">
            <v>-71.138423399999994</v>
          </cell>
          <cell r="N322">
            <v>0</v>
          </cell>
          <cell r="U322">
            <v>0</v>
          </cell>
        </row>
        <row r="323">
          <cell r="A323">
            <v>7011195</v>
          </cell>
          <cell r="B323" t="str">
            <v>Other rev unal (Прочие дох общ)</v>
          </cell>
          <cell r="C323">
            <v>-4648</v>
          </cell>
          <cell r="D323">
            <v>-76.486558399999993</v>
          </cell>
          <cell r="J323">
            <v>0</v>
          </cell>
          <cell r="K323">
            <v>76.486558399999993</v>
          </cell>
          <cell r="L323">
            <v>0</v>
          </cell>
          <cell r="M323">
            <v>76.486558399999993</v>
          </cell>
          <cell r="N323">
            <v>0</v>
          </cell>
          <cell r="U323">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mp; Dates"/>
      <sheetName val="Account Classification"/>
      <sheetName val="Account Mapping"/>
      <sheetName val="SSG Accounts"/>
    </sheetNames>
    <sheetDataSet>
      <sheetData sheetId="0" refreshError="1"/>
      <sheetData sheetId="1" refreshError="1"/>
      <sheetData sheetId="2" refreshError="1">
        <row r="7">
          <cell r="B7">
            <v>100000255200</v>
          </cell>
        </row>
        <row r="8">
          <cell r="B8">
            <v>101100255200</v>
          </cell>
        </row>
        <row r="9">
          <cell r="B9">
            <v>101105255200</v>
          </cell>
        </row>
        <row r="10">
          <cell r="B10">
            <v>101270255200</v>
          </cell>
        </row>
        <row r="11">
          <cell r="B11">
            <v>101990255200</v>
          </cell>
        </row>
        <row r="12">
          <cell r="B12">
            <v>102100255200</v>
          </cell>
        </row>
        <row r="13">
          <cell r="B13">
            <v>102450255200</v>
          </cell>
        </row>
        <row r="14">
          <cell r="B14">
            <v>102975255200</v>
          </cell>
        </row>
        <row r="15">
          <cell r="B15">
            <v>102980255200</v>
          </cell>
        </row>
        <row r="16">
          <cell r="B16">
            <v>103620255200</v>
          </cell>
        </row>
        <row r="17">
          <cell r="B17">
            <v>104060255200</v>
          </cell>
        </row>
        <row r="18">
          <cell r="B18">
            <v>105080255200</v>
          </cell>
        </row>
        <row r="19">
          <cell r="B19">
            <v>105770255200</v>
          </cell>
        </row>
        <row r="20">
          <cell r="B20">
            <v>105870255200</v>
          </cell>
        </row>
        <row r="21">
          <cell r="B21">
            <v>106340255200</v>
          </cell>
        </row>
        <row r="22">
          <cell r="B22">
            <v>300000255200</v>
          </cell>
        </row>
        <row r="23">
          <cell r="B23">
            <v>301690255200</v>
          </cell>
        </row>
        <row r="24">
          <cell r="B24">
            <v>302850255200</v>
          </cell>
        </row>
        <row r="25">
          <cell r="B25">
            <v>303050255200</v>
          </cell>
        </row>
        <row r="26">
          <cell r="B26">
            <v>303700255200</v>
          </cell>
        </row>
        <row r="27">
          <cell r="B27">
            <v>303705255200</v>
          </cell>
        </row>
        <row r="28">
          <cell r="B28">
            <v>306460255200</v>
          </cell>
        </row>
        <row r="29">
          <cell r="B29">
            <v>314480255200</v>
          </cell>
        </row>
        <row r="30">
          <cell r="B30">
            <v>315310255200</v>
          </cell>
        </row>
        <row r="31">
          <cell r="B31">
            <v>316380255200</v>
          </cell>
        </row>
        <row r="32">
          <cell r="B32">
            <v>331680255200</v>
          </cell>
        </row>
        <row r="33">
          <cell r="B33">
            <v>333010255200</v>
          </cell>
        </row>
        <row r="34">
          <cell r="B34">
            <v>333560255200</v>
          </cell>
        </row>
        <row r="35">
          <cell r="B35">
            <v>333565255200</v>
          </cell>
        </row>
        <row r="36">
          <cell r="B36">
            <v>333590255200</v>
          </cell>
        </row>
        <row r="37">
          <cell r="B37">
            <v>334580255200</v>
          </cell>
        </row>
        <row r="38">
          <cell r="B38">
            <v>334620255200</v>
          </cell>
        </row>
        <row r="39">
          <cell r="B39">
            <v>334680255200</v>
          </cell>
        </row>
        <row r="40">
          <cell r="B40">
            <v>334750255200</v>
          </cell>
        </row>
        <row r="41">
          <cell r="B41">
            <v>335440255200</v>
          </cell>
        </row>
        <row r="42">
          <cell r="B42">
            <v>391680255200</v>
          </cell>
        </row>
        <row r="43">
          <cell r="B43">
            <v>392640255200</v>
          </cell>
        </row>
        <row r="44">
          <cell r="B44">
            <v>393085255200</v>
          </cell>
        </row>
        <row r="45">
          <cell r="B45">
            <v>394070255200</v>
          </cell>
        </row>
        <row r="46">
          <cell r="B46">
            <v>394100255200</v>
          </cell>
        </row>
        <row r="47">
          <cell r="B47">
            <v>394680255200</v>
          </cell>
        </row>
        <row r="48">
          <cell r="B48">
            <v>394965255200</v>
          </cell>
        </row>
        <row r="49">
          <cell r="B49">
            <v>401620255200</v>
          </cell>
        </row>
        <row r="50">
          <cell r="B50">
            <v>402590255200</v>
          </cell>
        </row>
        <row r="51">
          <cell r="B51">
            <v>404360255200</v>
          </cell>
        </row>
        <row r="52">
          <cell r="B52">
            <v>404560255200</v>
          </cell>
        </row>
        <row r="53">
          <cell r="B53">
            <v>414450255200</v>
          </cell>
        </row>
        <row r="54">
          <cell r="B54">
            <v>401620255210</v>
          </cell>
        </row>
        <row r="55">
          <cell r="B55">
            <v>402590255210</v>
          </cell>
        </row>
        <row r="56">
          <cell r="B56">
            <v>404360255210</v>
          </cell>
        </row>
        <row r="57">
          <cell r="B57">
            <v>404560255210</v>
          </cell>
        </row>
        <row r="58">
          <cell r="B58">
            <v>414450255210</v>
          </cell>
        </row>
        <row r="59">
          <cell r="B59">
            <v>100000255311</v>
          </cell>
        </row>
        <row r="60">
          <cell r="B60">
            <v>101430255311</v>
          </cell>
        </row>
        <row r="61">
          <cell r="B61">
            <v>101440255311</v>
          </cell>
        </row>
        <row r="62">
          <cell r="B62">
            <v>102210255311</v>
          </cell>
        </row>
        <row r="63">
          <cell r="B63">
            <v>102220255311</v>
          </cell>
        </row>
        <row r="64">
          <cell r="B64">
            <v>103770255311</v>
          </cell>
        </row>
        <row r="65">
          <cell r="B65">
            <v>103780255311</v>
          </cell>
        </row>
        <row r="66">
          <cell r="B66">
            <v>105660255311</v>
          </cell>
        </row>
        <row r="67">
          <cell r="B67">
            <v>105670255311</v>
          </cell>
        </row>
        <row r="68">
          <cell r="B68">
            <v>201290255311</v>
          </cell>
        </row>
        <row r="69">
          <cell r="B69">
            <v>202630255311</v>
          </cell>
        </row>
        <row r="70">
          <cell r="B70">
            <v>401620255311</v>
          </cell>
        </row>
        <row r="71">
          <cell r="B71">
            <v>402590255311</v>
          </cell>
        </row>
        <row r="72">
          <cell r="B72">
            <v>404360255311</v>
          </cell>
        </row>
        <row r="73">
          <cell r="B73">
            <v>404560255311</v>
          </cell>
        </row>
        <row r="74">
          <cell r="B74">
            <v>414450255311</v>
          </cell>
        </row>
        <row r="75">
          <cell r="B75">
            <v>100000255312</v>
          </cell>
        </row>
        <row r="76">
          <cell r="B76">
            <v>101430255312</v>
          </cell>
        </row>
        <row r="77">
          <cell r="B77">
            <v>101440255312</v>
          </cell>
        </row>
        <row r="78">
          <cell r="B78">
            <v>102210255312</v>
          </cell>
        </row>
        <row r="79">
          <cell r="B79">
            <v>102220255312</v>
          </cell>
        </row>
        <row r="80">
          <cell r="B80">
            <v>103770255312</v>
          </cell>
        </row>
        <row r="81">
          <cell r="B81">
            <v>103780255312</v>
          </cell>
        </row>
        <row r="82">
          <cell r="B82">
            <v>201290255312</v>
          </cell>
        </row>
        <row r="83">
          <cell r="B83">
            <v>202630255312</v>
          </cell>
        </row>
        <row r="84">
          <cell r="B84">
            <v>401620255312</v>
          </cell>
        </row>
        <row r="85">
          <cell r="B85">
            <v>402590255312</v>
          </cell>
        </row>
        <row r="86">
          <cell r="B86">
            <v>404360255312</v>
          </cell>
        </row>
        <row r="87">
          <cell r="B87">
            <v>404560255312</v>
          </cell>
        </row>
        <row r="88">
          <cell r="B88">
            <v>414450255312</v>
          </cell>
        </row>
        <row r="89">
          <cell r="B89">
            <v>100000255313</v>
          </cell>
        </row>
        <row r="90">
          <cell r="B90">
            <v>101430255313</v>
          </cell>
        </row>
        <row r="91">
          <cell r="B91">
            <v>101440255313</v>
          </cell>
        </row>
        <row r="92">
          <cell r="B92">
            <v>102210255313</v>
          </cell>
        </row>
        <row r="93">
          <cell r="B93">
            <v>102220255313</v>
          </cell>
        </row>
        <row r="94">
          <cell r="B94">
            <v>103770255313</v>
          </cell>
        </row>
        <row r="95">
          <cell r="B95">
            <v>103780255313</v>
          </cell>
        </row>
        <row r="96">
          <cell r="B96">
            <v>201290255313</v>
          </cell>
        </row>
        <row r="97">
          <cell r="B97">
            <v>202630255313</v>
          </cell>
        </row>
        <row r="98">
          <cell r="B98">
            <v>401620255313</v>
          </cell>
        </row>
        <row r="99">
          <cell r="B99">
            <v>402590255313</v>
          </cell>
        </row>
        <row r="100">
          <cell r="B100">
            <v>404360255313</v>
          </cell>
        </row>
        <row r="101">
          <cell r="B101">
            <v>404560255313</v>
          </cell>
        </row>
        <row r="102">
          <cell r="B102">
            <v>414450255313</v>
          </cell>
        </row>
        <row r="103">
          <cell r="B103">
            <v>100000255314</v>
          </cell>
        </row>
        <row r="104">
          <cell r="B104">
            <v>101430255314</v>
          </cell>
        </row>
        <row r="105">
          <cell r="B105">
            <v>101440255314</v>
          </cell>
        </row>
        <row r="106">
          <cell r="B106">
            <v>102210255314</v>
          </cell>
        </row>
        <row r="107">
          <cell r="B107">
            <v>102220255314</v>
          </cell>
        </row>
        <row r="108">
          <cell r="B108">
            <v>103770255314</v>
          </cell>
        </row>
        <row r="109">
          <cell r="B109">
            <v>103780255314</v>
          </cell>
        </row>
        <row r="110">
          <cell r="B110">
            <v>201290255314</v>
          </cell>
        </row>
        <row r="111">
          <cell r="B111">
            <v>202630255314</v>
          </cell>
        </row>
        <row r="112">
          <cell r="B112">
            <v>401620255314</v>
          </cell>
        </row>
        <row r="113">
          <cell r="B113">
            <v>402590255314</v>
          </cell>
        </row>
        <row r="114">
          <cell r="B114">
            <v>404360255314</v>
          </cell>
        </row>
        <row r="115">
          <cell r="B115">
            <v>404560255314</v>
          </cell>
        </row>
        <row r="116">
          <cell r="B116">
            <v>414450255314</v>
          </cell>
        </row>
        <row r="117">
          <cell r="B117">
            <v>100000255315</v>
          </cell>
        </row>
        <row r="118">
          <cell r="B118">
            <v>101430255315</v>
          </cell>
        </row>
        <row r="119">
          <cell r="B119">
            <v>101440255315</v>
          </cell>
        </row>
        <row r="120">
          <cell r="B120">
            <v>102210255315</v>
          </cell>
        </row>
        <row r="121">
          <cell r="B121">
            <v>102220255315</v>
          </cell>
        </row>
        <row r="122">
          <cell r="B122">
            <v>103770255315</v>
          </cell>
        </row>
        <row r="123">
          <cell r="B123">
            <v>103780255315</v>
          </cell>
        </row>
        <row r="124">
          <cell r="B124">
            <v>201290255315</v>
          </cell>
        </row>
        <row r="125">
          <cell r="B125">
            <v>202630255315</v>
          </cell>
        </row>
        <row r="126">
          <cell r="B126">
            <v>401620255315</v>
          </cell>
        </row>
        <row r="127">
          <cell r="B127">
            <v>402590255315</v>
          </cell>
        </row>
        <row r="128">
          <cell r="B128">
            <v>404360255315</v>
          </cell>
        </row>
        <row r="129">
          <cell r="B129">
            <v>404560255315</v>
          </cell>
        </row>
        <row r="130">
          <cell r="B130">
            <v>414450255315</v>
          </cell>
        </row>
        <row r="131">
          <cell r="B131">
            <v>100000255316</v>
          </cell>
        </row>
        <row r="132">
          <cell r="B132">
            <v>101430255316</v>
          </cell>
        </row>
        <row r="133">
          <cell r="B133">
            <v>101440255316</v>
          </cell>
        </row>
        <row r="134">
          <cell r="B134">
            <v>102210255316</v>
          </cell>
        </row>
        <row r="135">
          <cell r="B135">
            <v>102220255316</v>
          </cell>
        </row>
        <row r="136">
          <cell r="B136">
            <v>103770255316</v>
          </cell>
        </row>
        <row r="137">
          <cell r="B137">
            <v>103780255316</v>
          </cell>
        </row>
        <row r="138">
          <cell r="B138">
            <v>201290255316</v>
          </cell>
        </row>
        <row r="139">
          <cell r="B139">
            <v>202630255316</v>
          </cell>
        </row>
        <row r="140">
          <cell r="B140">
            <v>401620255316</v>
          </cell>
        </row>
        <row r="141">
          <cell r="B141">
            <v>402590255316</v>
          </cell>
        </row>
        <row r="142">
          <cell r="B142">
            <v>404360255316</v>
          </cell>
        </row>
        <row r="143">
          <cell r="B143">
            <v>404560255316</v>
          </cell>
        </row>
        <row r="144">
          <cell r="B144">
            <v>414450255316</v>
          </cell>
        </row>
        <row r="145">
          <cell r="B145">
            <v>100000255317</v>
          </cell>
        </row>
        <row r="146">
          <cell r="B146">
            <v>101430255317</v>
          </cell>
        </row>
        <row r="147">
          <cell r="B147">
            <v>101440255317</v>
          </cell>
        </row>
        <row r="148">
          <cell r="B148">
            <v>102210255317</v>
          </cell>
        </row>
        <row r="149">
          <cell r="B149">
            <v>102220255317</v>
          </cell>
        </row>
        <row r="150">
          <cell r="B150">
            <v>103770255317</v>
          </cell>
        </row>
        <row r="151">
          <cell r="B151">
            <v>103780255317</v>
          </cell>
        </row>
        <row r="152">
          <cell r="B152">
            <v>201290255317</v>
          </cell>
        </row>
        <row r="153">
          <cell r="B153">
            <v>202630255317</v>
          </cell>
        </row>
        <row r="154">
          <cell r="B154">
            <v>401620255317</v>
          </cell>
        </row>
        <row r="155">
          <cell r="B155">
            <v>402590255317</v>
          </cell>
        </row>
        <row r="156">
          <cell r="B156">
            <v>404360255317</v>
          </cell>
        </row>
        <row r="157">
          <cell r="B157">
            <v>404560255317</v>
          </cell>
        </row>
        <row r="158">
          <cell r="B158">
            <v>414450255317</v>
          </cell>
        </row>
        <row r="159">
          <cell r="B159">
            <v>100000255318</v>
          </cell>
        </row>
        <row r="160">
          <cell r="B160">
            <v>101430255318</v>
          </cell>
        </row>
        <row r="161">
          <cell r="B161">
            <v>101440255318</v>
          </cell>
        </row>
        <row r="162">
          <cell r="B162">
            <v>102210255318</v>
          </cell>
        </row>
        <row r="163">
          <cell r="B163">
            <v>102220255318</v>
          </cell>
        </row>
        <row r="164">
          <cell r="B164">
            <v>103770255318</v>
          </cell>
        </row>
        <row r="165">
          <cell r="B165">
            <v>103780255318</v>
          </cell>
        </row>
        <row r="166">
          <cell r="B166">
            <v>201290255318</v>
          </cell>
        </row>
        <row r="167">
          <cell r="B167">
            <v>202630255318</v>
          </cell>
        </row>
        <row r="168">
          <cell r="B168">
            <v>401620255318</v>
          </cell>
        </row>
        <row r="169">
          <cell r="B169">
            <v>402590255318</v>
          </cell>
        </row>
        <row r="170">
          <cell r="B170">
            <v>404360255318</v>
          </cell>
        </row>
        <row r="171">
          <cell r="B171">
            <v>404560255318</v>
          </cell>
        </row>
        <row r="172">
          <cell r="B172">
            <v>414450255318</v>
          </cell>
        </row>
        <row r="173">
          <cell r="B173">
            <v>100000255325</v>
          </cell>
        </row>
        <row r="174">
          <cell r="B174">
            <v>101430255325</v>
          </cell>
        </row>
        <row r="175">
          <cell r="B175">
            <v>101440255325</v>
          </cell>
        </row>
        <row r="176">
          <cell r="B176">
            <v>101710255325</v>
          </cell>
        </row>
        <row r="177">
          <cell r="B177">
            <v>101720255325</v>
          </cell>
        </row>
        <row r="178">
          <cell r="B178">
            <v>101970255325</v>
          </cell>
        </row>
        <row r="179">
          <cell r="B179">
            <v>102210255325</v>
          </cell>
        </row>
        <row r="180">
          <cell r="B180">
            <v>102220255325</v>
          </cell>
        </row>
        <row r="181">
          <cell r="B181">
            <v>102430255325</v>
          </cell>
        </row>
        <row r="182">
          <cell r="B182">
            <v>102620255325</v>
          </cell>
        </row>
        <row r="183">
          <cell r="B183">
            <v>103540255325</v>
          </cell>
        </row>
        <row r="184">
          <cell r="B184">
            <v>103770255325</v>
          </cell>
        </row>
        <row r="185">
          <cell r="B185">
            <v>103780255325</v>
          </cell>
        </row>
        <row r="186">
          <cell r="B186">
            <v>104060255325</v>
          </cell>
        </row>
        <row r="187">
          <cell r="B187">
            <v>104970255325</v>
          </cell>
        </row>
        <row r="188">
          <cell r="B188">
            <v>106110255325</v>
          </cell>
        </row>
        <row r="189">
          <cell r="B189">
            <v>201290255325</v>
          </cell>
        </row>
        <row r="190">
          <cell r="B190">
            <v>202630255325</v>
          </cell>
        </row>
        <row r="191">
          <cell r="B191">
            <v>401620255325</v>
          </cell>
        </row>
        <row r="192">
          <cell r="B192">
            <v>402590255325</v>
          </cell>
        </row>
        <row r="193">
          <cell r="B193">
            <v>404360255325</v>
          </cell>
        </row>
        <row r="194">
          <cell r="B194">
            <v>404560255325</v>
          </cell>
        </row>
        <row r="195">
          <cell r="B195">
            <v>414450255325</v>
          </cell>
        </row>
        <row r="196">
          <cell r="B196">
            <v>100000255328</v>
          </cell>
        </row>
        <row r="197">
          <cell r="B197">
            <v>101430255328</v>
          </cell>
        </row>
        <row r="198">
          <cell r="B198">
            <v>101440255328</v>
          </cell>
        </row>
        <row r="199">
          <cell r="B199">
            <v>102210255328</v>
          </cell>
        </row>
        <row r="200">
          <cell r="B200">
            <v>102220255328</v>
          </cell>
        </row>
        <row r="201">
          <cell r="B201">
            <v>103770255328</v>
          </cell>
        </row>
        <row r="202">
          <cell r="B202">
            <v>103780255328</v>
          </cell>
        </row>
        <row r="203">
          <cell r="B203">
            <v>104040255328</v>
          </cell>
        </row>
        <row r="204">
          <cell r="B204">
            <v>106390255328</v>
          </cell>
        </row>
        <row r="205">
          <cell r="B205">
            <v>201290255328</v>
          </cell>
        </row>
        <row r="206">
          <cell r="B206">
            <v>202630255328</v>
          </cell>
        </row>
        <row r="207">
          <cell r="B207">
            <v>401620255328</v>
          </cell>
        </row>
        <row r="208">
          <cell r="B208">
            <v>402590255328</v>
          </cell>
        </row>
        <row r="209">
          <cell r="B209">
            <v>404360255328</v>
          </cell>
        </row>
        <row r="210">
          <cell r="B210">
            <v>404560255328</v>
          </cell>
        </row>
        <row r="211">
          <cell r="B211">
            <v>414450255328</v>
          </cell>
        </row>
        <row r="212">
          <cell r="B212">
            <v>100000255330</v>
          </cell>
        </row>
        <row r="213">
          <cell r="B213">
            <v>201290255330</v>
          </cell>
        </row>
        <row r="214">
          <cell r="B214">
            <v>202630255330</v>
          </cell>
        </row>
        <row r="215">
          <cell r="B215">
            <v>202635255330</v>
          </cell>
        </row>
        <row r="216">
          <cell r="B216">
            <v>301690255330</v>
          </cell>
        </row>
        <row r="217">
          <cell r="B217">
            <v>302040255330</v>
          </cell>
        </row>
        <row r="218">
          <cell r="B218">
            <v>302070255330</v>
          </cell>
        </row>
        <row r="219">
          <cell r="B219">
            <v>302850255330</v>
          </cell>
        </row>
        <row r="220">
          <cell r="B220">
            <v>303050255330</v>
          </cell>
        </row>
        <row r="221">
          <cell r="B221">
            <v>303140255330</v>
          </cell>
        </row>
        <row r="222">
          <cell r="B222">
            <v>303500255330</v>
          </cell>
        </row>
        <row r="223">
          <cell r="B223">
            <v>303530255330</v>
          </cell>
        </row>
        <row r="224">
          <cell r="B224">
            <v>303700255330</v>
          </cell>
        </row>
        <row r="225">
          <cell r="B225">
            <v>306460255330</v>
          </cell>
        </row>
        <row r="226">
          <cell r="B226">
            <v>314480255330</v>
          </cell>
        </row>
        <row r="227">
          <cell r="B227">
            <v>331270255330</v>
          </cell>
        </row>
        <row r="228">
          <cell r="B228">
            <v>331275255330</v>
          </cell>
        </row>
        <row r="229">
          <cell r="B229">
            <v>331930255330</v>
          </cell>
        </row>
        <row r="230">
          <cell r="B230">
            <v>332910255330</v>
          </cell>
        </row>
        <row r="231">
          <cell r="B231">
            <v>333180255330</v>
          </cell>
        </row>
        <row r="232">
          <cell r="B232">
            <v>333520255330</v>
          </cell>
        </row>
        <row r="233">
          <cell r="B233">
            <v>333560255330</v>
          </cell>
        </row>
        <row r="234">
          <cell r="B234">
            <v>333563255330</v>
          </cell>
        </row>
        <row r="235">
          <cell r="B235">
            <v>333590255330</v>
          </cell>
        </row>
        <row r="236">
          <cell r="B236">
            <v>333980255330</v>
          </cell>
        </row>
        <row r="237">
          <cell r="B237">
            <v>334000255330</v>
          </cell>
        </row>
        <row r="238">
          <cell r="B238">
            <v>334100255330</v>
          </cell>
        </row>
        <row r="239">
          <cell r="B239">
            <v>334340255330</v>
          </cell>
        </row>
        <row r="240">
          <cell r="B240">
            <v>334420255330</v>
          </cell>
        </row>
        <row r="241">
          <cell r="B241">
            <v>334580255330</v>
          </cell>
        </row>
        <row r="242">
          <cell r="B242">
            <v>334620255330</v>
          </cell>
        </row>
        <row r="243">
          <cell r="B243">
            <v>334750255330</v>
          </cell>
        </row>
        <row r="244">
          <cell r="B244">
            <v>335710255330</v>
          </cell>
        </row>
        <row r="245">
          <cell r="B245">
            <v>391680255330</v>
          </cell>
        </row>
        <row r="246">
          <cell r="B246">
            <v>394745255330</v>
          </cell>
        </row>
        <row r="247">
          <cell r="B247">
            <v>395705255330</v>
          </cell>
        </row>
        <row r="248">
          <cell r="B248">
            <v>401620255330</v>
          </cell>
        </row>
        <row r="249">
          <cell r="B249">
            <v>402590255330</v>
          </cell>
        </row>
        <row r="250">
          <cell r="B250">
            <v>404360255330</v>
          </cell>
        </row>
        <row r="251">
          <cell r="B251">
            <v>404560255330</v>
          </cell>
        </row>
        <row r="252">
          <cell r="B252">
            <v>414450255330</v>
          </cell>
        </row>
        <row r="253">
          <cell r="B253">
            <v>401620255335</v>
          </cell>
        </row>
        <row r="254">
          <cell r="B254">
            <v>402590255335</v>
          </cell>
        </row>
        <row r="255">
          <cell r="B255">
            <v>404360255335</v>
          </cell>
        </row>
        <row r="256">
          <cell r="B256">
            <v>404560255335</v>
          </cell>
        </row>
        <row r="257">
          <cell r="B257">
            <v>414450255335</v>
          </cell>
        </row>
        <row r="258">
          <cell r="B258">
            <v>100000255349</v>
          </cell>
        </row>
        <row r="259">
          <cell r="B259">
            <v>101935255349</v>
          </cell>
        </row>
        <row r="260">
          <cell r="B260">
            <v>104380255349</v>
          </cell>
        </row>
        <row r="261">
          <cell r="B261">
            <v>104970255349</v>
          </cell>
        </row>
        <row r="262">
          <cell r="B262">
            <v>100000255351</v>
          </cell>
        </row>
        <row r="263">
          <cell r="B263">
            <v>101280255351</v>
          </cell>
        </row>
        <row r="264">
          <cell r="B264">
            <v>102570255351</v>
          </cell>
        </row>
        <row r="265">
          <cell r="B265">
            <v>105340255351</v>
          </cell>
        </row>
        <row r="266">
          <cell r="B266">
            <v>111090255351</v>
          </cell>
        </row>
        <row r="267">
          <cell r="B267">
            <v>112010255351</v>
          </cell>
        </row>
        <row r="268">
          <cell r="B268">
            <v>112330255351</v>
          </cell>
        </row>
        <row r="269">
          <cell r="B269">
            <v>113350255351</v>
          </cell>
        </row>
        <row r="270">
          <cell r="B270">
            <v>114060255351</v>
          </cell>
        </row>
        <row r="271">
          <cell r="B271">
            <v>114900255351</v>
          </cell>
        </row>
        <row r="272">
          <cell r="B272">
            <v>115190255351</v>
          </cell>
        </row>
        <row r="273">
          <cell r="B273">
            <v>116600255351</v>
          </cell>
        </row>
        <row r="274">
          <cell r="B274">
            <v>100000255352</v>
          </cell>
        </row>
        <row r="275">
          <cell r="B275">
            <v>101280255352</v>
          </cell>
        </row>
        <row r="276">
          <cell r="B276">
            <v>102570255352</v>
          </cell>
        </row>
        <row r="277">
          <cell r="B277">
            <v>105340255352</v>
          </cell>
        </row>
        <row r="278">
          <cell r="B278">
            <v>111090255352</v>
          </cell>
        </row>
        <row r="279">
          <cell r="B279">
            <v>112010255352</v>
          </cell>
        </row>
        <row r="280">
          <cell r="B280">
            <v>112330255352</v>
          </cell>
        </row>
        <row r="281">
          <cell r="B281">
            <v>113350255352</v>
          </cell>
        </row>
        <row r="282">
          <cell r="B282">
            <v>114060255352</v>
          </cell>
        </row>
        <row r="283">
          <cell r="B283">
            <v>114900255352</v>
          </cell>
        </row>
        <row r="284">
          <cell r="B284">
            <v>115190255352</v>
          </cell>
        </row>
        <row r="285">
          <cell r="B285">
            <v>116600255352</v>
          </cell>
        </row>
        <row r="286">
          <cell r="B286">
            <v>100000255353</v>
          </cell>
        </row>
        <row r="287">
          <cell r="B287">
            <v>101280255353</v>
          </cell>
        </row>
        <row r="288">
          <cell r="B288">
            <v>102570255353</v>
          </cell>
        </row>
        <row r="289">
          <cell r="B289">
            <v>105340255353</v>
          </cell>
        </row>
        <row r="290">
          <cell r="B290">
            <v>111090255353</v>
          </cell>
        </row>
        <row r="291">
          <cell r="B291">
            <v>112010255353</v>
          </cell>
        </row>
        <row r="292">
          <cell r="B292">
            <v>112330255353</v>
          </cell>
        </row>
        <row r="293">
          <cell r="B293">
            <v>113350255353</v>
          </cell>
        </row>
        <row r="294">
          <cell r="B294">
            <v>114060255353</v>
          </cell>
        </row>
        <row r="295">
          <cell r="B295">
            <v>114900255353</v>
          </cell>
        </row>
        <row r="296">
          <cell r="B296">
            <v>115190255353</v>
          </cell>
        </row>
        <row r="297">
          <cell r="B297">
            <v>116600255353</v>
          </cell>
        </row>
        <row r="298">
          <cell r="B298">
            <v>100000255354</v>
          </cell>
        </row>
        <row r="299">
          <cell r="B299">
            <v>101280255354</v>
          </cell>
        </row>
        <row r="300">
          <cell r="B300">
            <v>102570255354</v>
          </cell>
        </row>
        <row r="301">
          <cell r="B301">
            <v>105340255354</v>
          </cell>
        </row>
        <row r="302">
          <cell r="B302">
            <v>111090255354</v>
          </cell>
        </row>
        <row r="303">
          <cell r="B303">
            <v>112010255354</v>
          </cell>
        </row>
        <row r="304">
          <cell r="B304">
            <v>112330255354</v>
          </cell>
        </row>
        <row r="305">
          <cell r="B305">
            <v>113350255354</v>
          </cell>
        </row>
        <row r="306">
          <cell r="B306">
            <v>114060255354</v>
          </cell>
        </row>
        <row r="307">
          <cell r="B307">
            <v>114900255354</v>
          </cell>
        </row>
        <row r="308">
          <cell r="B308">
            <v>115190255354</v>
          </cell>
        </row>
        <row r="309">
          <cell r="B309">
            <v>116600255354</v>
          </cell>
        </row>
        <row r="310">
          <cell r="B310">
            <v>100000255355</v>
          </cell>
        </row>
        <row r="311">
          <cell r="B311">
            <v>101280255355</v>
          </cell>
        </row>
        <row r="312">
          <cell r="B312">
            <v>102570255355</v>
          </cell>
        </row>
        <row r="313">
          <cell r="B313">
            <v>105340255355</v>
          </cell>
        </row>
        <row r="314">
          <cell r="B314">
            <v>111090255355</v>
          </cell>
        </row>
        <row r="315">
          <cell r="B315">
            <v>112010255355</v>
          </cell>
        </row>
        <row r="316">
          <cell r="B316">
            <v>112330255355</v>
          </cell>
        </row>
        <row r="317">
          <cell r="B317">
            <v>113350255355</v>
          </cell>
        </row>
        <row r="318">
          <cell r="B318">
            <v>114060255355</v>
          </cell>
        </row>
        <row r="319">
          <cell r="B319">
            <v>114900255355</v>
          </cell>
        </row>
        <row r="320">
          <cell r="B320">
            <v>115190255355</v>
          </cell>
        </row>
        <row r="321">
          <cell r="B321">
            <v>116600255355</v>
          </cell>
        </row>
        <row r="322">
          <cell r="B322">
            <v>100000255359</v>
          </cell>
        </row>
        <row r="323">
          <cell r="B323">
            <v>101280255359</v>
          </cell>
        </row>
        <row r="324">
          <cell r="B324">
            <v>102570255359</v>
          </cell>
        </row>
        <row r="325">
          <cell r="B325">
            <v>105340255359</v>
          </cell>
        </row>
        <row r="326">
          <cell r="B326">
            <v>111090255359</v>
          </cell>
        </row>
        <row r="327">
          <cell r="B327">
            <v>112010255359</v>
          </cell>
        </row>
        <row r="328">
          <cell r="B328">
            <v>112330255359</v>
          </cell>
        </row>
        <row r="329">
          <cell r="B329">
            <v>113350255359</v>
          </cell>
        </row>
        <row r="330">
          <cell r="B330">
            <v>114060255359</v>
          </cell>
        </row>
        <row r="331">
          <cell r="B331">
            <v>114900255359</v>
          </cell>
        </row>
        <row r="332">
          <cell r="B332">
            <v>115190255359</v>
          </cell>
        </row>
        <row r="333">
          <cell r="B333">
            <v>116600255359</v>
          </cell>
        </row>
        <row r="334">
          <cell r="B334">
            <v>100000255510</v>
          </cell>
        </row>
        <row r="335">
          <cell r="B335">
            <v>106150255510</v>
          </cell>
        </row>
        <row r="336">
          <cell r="B336">
            <v>206150255510</v>
          </cell>
        </row>
        <row r="337">
          <cell r="B337">
            <v>332420255510</v>
          </cell>
        </row>
        <row r="338">
          <cell r="B338">
            <v>334060255510</v>
          </cell>
        </row>
        <row r="339">
          <cell r="B339">
            <v>334365255510</v>
          </cell>
        </row>
        <row r="340">
          <cell r="B340">
            <v>334367255510</v>
          </cell>
        </row>
        <row r="341">
          <cell r="B341">
            <v>334370255510</v>
          </cell>
        </row>
        <row r="342">
          <cell r="B342">
            <v>334750255510</v>
          </cell>
        </row>
        <row r="343">
          <cell r="B343">
            <v>336200255510</v>
          </cell>
        </row>
        <row r="344">
          <cell r="B344">
            <v>336570255510</v>
          </cell>
        </row>
        <row r="345">
          <cell r="B345">
            <v>401620255510</v>
          </cell>
        </row>
        <row r="346">
          <cell r="B346">
            <v>402590255510</v>
          </cell>
        </row>
        <row r="347">
          <cell r="B347">
            <v>404360255510</v>
          </cell>
        </row>
        <row r="348">
          <cell r="B348">
            <v>404560255510</v>
          </cell>
        </row>
        <row r="349">
          <cell r="B349">
            <v>414450255510</v>
          </cell>
        </row>
        <row r="350">
          <cell r="B350">
            <v>100000255515</v>
          </cell>
        </row>
        <row r="351">
          <cell r="B351">
            <v>103020255515</v>
          </cell>
        </row>
        <row r="352">
          <cell r="B352">
            <v>203020255515</v>
          </cell>
        </row>
        <row r="353">
          <cell r="B353">
            <v>316460255515</v>
          </cell>
        </row>
        <row r="354">
          <cell r="B354">
            <v>333580255515</v>
          </cell>
        </row>
        <row r="355">
          <cell r="B355">
            <v>333590255515</v>
          </cell>
        </row>
        <row r="356">
          <cell r="B356">
            <v>334750255515</v>
          </cell>
        </row>
        <row r="357">
          <cell r="B357">
            <v>401620255515</v>
          </cell>
        </row>
        <row r="358">
          <cell r="B358">
            <v>402590255515</v>
          </cell>
        </row>
        <row r="359">
          <cell r="B359">
            <v>404360255515</v>
          </cell>
        </row>
        <row r="360">
          <cell r="B360">
            <v>404560255515</v>
          </cell>
        </row>
        <row r="361">
          <cell r="B361">
            <v>414450255515</v>
          </cell>
        </row>
        <row r="362">
          <cell r="B362">
            <v>100000255520</v>
          </cell>
        </row>
        <row r="363">
          <cell r="B363">
            <v>106520255520</v>
          </cell>
        </row>
        <row r="364">
          <cell r="B364">
            <v>206520255520</v>
          </cell>
        </row>
        <row r="365">
          <cell r="B365">
            <v>401620255520</v>
          </cell>
        </row>
        <row r="366">
          <cell r="B366">
            <v>402590255520</v>
          </cell>
        </row>
        <row r="367">
          <cell r="B367">
            <v>404360255520</v>
          </cell>
        </row>
        <row r="368">
          <cell r="B368">
            <v>404560255520</v>
          </cell>
        </row>
        <row r="369">
          <cell r="B369">
            <v>414450255520</v>
          </cell>
        </row>
        <row r="370">
          <cell r="B370">
            <v>100000255525</v>
          </cell>
        </row>
        <row r="371">
          <cell r="B371">
            <v>104430255525</v>
          </cell>
        </row>
        <row r="372">
          <cell r="B372">
            <v>333860255525</v>
          </cell>
        </row>
        <row r="373">
          <cell r="B373">
            <v>334280255525</v>
          </cell>
        </row>
        <row r="374">
          <cell r="B374">
            <v>100000255530</v>
          </cell>
        </row>
        <row r="375">
          <cell r="B375">
            <v>106510255530</v>
          </cell>
        </row>
        <row r="376">
          <cell r="B376">
            <v>401620255530</v>
          </cell>
        </row>
        <row r="377">
          <cell r="B377">
            <v>402590255530</v>
          </cell>
        </row>
        <row r="378">
          <cell r="B378">
            <v>404360255530</v>
          </cell>
        </row>
        <row r="379">
          <cell r="B379">
            <v>404560255530</v>
          </cell>
        </row>
        <row r="380">
          <cell r="B380">
            <v>414450255530</v>
          </cell>
        </row>
        <row r="381">
          <cell r="B381">
            <v>100000255535</v>
          </cell>
        </row>
        <row r="382">
          <cell r="B382">
            <v>102060255535</v>
          </cell>
        </row>
        <row r="383">
          <cell r="B383">
            <v>202060255535</v>
          </cell>
        </row>
        <row r="384">
          <cell r="B384">
            <v>332062255535</v>
          </cell>
        </row>
        <row r="385">
          <cell r="B385">
            <v>332064255535</v>
          </cell>
        </row>
        <row r="386">
          <cell r="B386">
            <v>332066255535</v>
          </cell>
        </row>
        <row r="387">
          <cell r="B387">
            <v>332068255535</v>
          </cell>
        </row>
        <row r="388">
          <cell r="B388">
            <v>401620255535</v>
          </cell>
        </row>
        <row r="389">
          <cell r="B389">
            <v>402590255535</v>
          </cell>
        </row>
        <row r="390">
          <cell r="B390">
            <v>404360255535</v>
          </cell>
        </row>
        <row r="391">
          <cell r="B391">
            <v>404560255535</v>
          </cell>
        </row>
        <row r="392">
          <cell r="B392">
            <v>414450255535</v>
          </cell>
        </row>
        <row r="393">
          <cell r="B393">
            <v>100000255540</v>
          </cell>
        </row>
        <row r="394">
          <cell r="B394">
            <v>331640255540</v>
          </cell>
        </row>
        <row r="395">
          <cell r="B395">
            <v>333080255540</v>
          </cell>
        </row>
        <row r="396">
          <cell r="B396">
            <v>333810255540</v>
          </cell>
        </row>
        <row r="397">
          <cell r="B397">
            <v>335100255540</v>
          </cell>
        </row>
        <row r="398">
          <cell r="B398">
            <v>335105255540</v>
          </cell>
        </row>
        <row r="399">
          <cell r="B399">
            <v>335110255540</v>
          </cell>
        </row>
        <row r="400">
          <cell r="B400">
            <v>335115255540</v>
          </cell>
        </row>
        <row r="401">
          <cell r="B401">
            <v>401620255540</v>
          </cell>
        </row>
        <row r="402">
          <cell r="B402">
            <v>402590255540</v>
          </cell>
        </row>
        <row r="403">
          <cell r="B403">
            <v>404360255540</v>
          </cell>
        </row>
        <row r="404">
          <cell r="B404">
            <v>404560255540</v>
          </cell>
        </row>
        <row r="405">
          <cell r="B405">
            <v>414450255540</v>
          </cell>
        </row>
        <row r="406">
          <cell r="B406">
            <v>100000255545</v>
          </cell>
        </row>
        <row r="407">
          <cell r="B407">
            <v>105620255545</v>
          </cell>
        </row>
        <row r="408">
          <cell r="B408">
            <v>105880255545</v>
          </cell>
        </row>
        <row r="409">
          <cell r="B409">
            <v>105890255545</v>
          </cell>
        </row>
        <row r="410">
          <cell r="B410">
            <v>105900255545</v>
          </cell>
        </row>
        <row r="411">
          <cell r="B411">
            <v>105910255545</v>
          </cell>
        </row>
        <row r="412">
          <cell r="B412">
            <v>105920255545</v>
          </cell>
        </row>
        <row r="413">
          <cell r="B413">
            <v>105930255545</v>
          </cell>
        </row>
        <row r="414">
          <cell r="B414">
            <v>105940255545</v>
          </cell>
        </row>
        <row r="415">
          <cell r="B415">
            <v>105950255545</v>
          </cell>
        </row>
        <row r="416">
          <cell r="B416">
            <v>100000255550</v>
          </cell>
        </row>
        <row r="417">
          <cell r="B417">
            <v>101500255550</v>
          </cell>
        </row>
        <row r="418">
          <cell r="B418">
            <v>101740255550</v>
          </cell>
        </row>
        <row r="419">
          <cell r="B419">
            <v>101745255550</v>
          </cell>
        </row>
        <row r="420">
          <cell r="B420">
            <v>102650255550</v>
          </cell>
        </row>
        <row r="421">
          <cell r="B421">
            <v>102660255550</v>
          </cell>
        </row>
        <row r="422">
          <cell r="B422">
            <v>102670255550</v>
          </cell>
        </row>
        <row r="423">
          <cell r="B423">
            <v>102900255550</v>
          </cell>
        </row>
        <row r="424">
          <cell r="B424">
            <v>104060255550</v>
          </cell>
        </row>
        <row r="425">
          <cell r="B425">
            <v>104140255550</v>
          </cell>
        </row>
        <row r="426">
          <cell r="B426">
            <v>104160255550</v>
          </cell>
        </row>
        <row r="427">
          <cell r="B427">
            <v>105420255550</v>
          </cell>
        </row>
        <row r="428">
          <cell r="B428">
            <v>105460255550</v>
          </cell>
        </row>
        <row r="429">
          <cell r="B429">
            <v>105560255550</v>
          </cell>
        </row>
        <row r="430">
          <cell r="B430">
            <v>105620255550</v>
          </cell>
        </row>
        <row r="431">
          <cell r="B431">
            <v>106190255550</v>
          </cell>
        </row>
        <row r="432">
          <cell r="B432">
            <v>106360255550</v>
          </cell>
        </row>
        <row r="433">
          <cell r="B433">
            <v>106520255550</v>
          </cell>
        </row>
        <row r="434">
          <cell r="B434">
            <v>206520255550</v>
          </cell>
        </row>
        <row r="435">
          <cell r="B435">
            <v>100000255610</v>
          </cell>
        </row>
        <row r="436">
          <cell r="B436">
            <v>395715255610</v>
          </cell>
        </row>
        <row r="437">
          <cell r="B437">
            <v>401620255610</v>
          </cell>
        </row>
        <row r="438">
          <cell r="B438">
            <v>402590255610</v>
          </cell>
        </row>
        <row r="439">
          <cell r="B439">
            <v>404360255610</v>
          </cell>
        </row>
        <row r="440">
          <cell r="B440">
            <v>404560255610</v>
          </cell>
        </row>
        <row r="441">
          <cell r="B441">
            <v>414450255610</v>
          </cell>
        </row>
        <row r="442">
          <cell r="B442">
            <v>501050255610</v>
          </cell>
        </row>
        <row r="443">
          <cell r="B443">
            <v>501080255610</v>
          </cell>
        </row>
        <row r="444">
          <cell r="B444">
            <v>501140255610</v>
          </cell>
        </row>
        <row r="445">
          <cell r="B445">
            <v>501170255610</v>
          </cell>
        </row>
        <row r="446">
          <cell r="B446">
            <v>501172255610</v>
          </cell>
        </row>
        <row r="447">
          <cell r="B447">
            <v>501174255610</v>
          </cell>
        </row>
        <row r="448">
          <cell r="B448">
            <v>501176255610</v>
          </cell>
        </row>
        <row r="449">
          <cell r="B449">
            <v>501250255610</v>
          </cell>
        </row>
        <row r="450">
          <cell r="B450">
            <v>501300255610</v>
          </cell>
        </row>
        <row r="451">
          <cell r="B451">
            <v>501420255610</v>
          </cell>
        </row>
        <row r="452">
          <cell r="B452">
            <v>501425255610</v>
          </cell>
        </row>
        <row r="453">
          <cell r="B453">
            <v>501855255610</v>
          </cell>
        </row>
        <row r="454">
          <cell r="B454">
            <v>501860255610</v>
          </cell>
        </row>
        <row r="455">
          <cell r="B455">
            <v>501880255610</v>
          </cell>
        </row>
        <row r="456">
          <cell r="B456">
            <v>501920255610</v>
          </cell>
        </row>
        <row r="457">
          <cell r="B457">
            <v>502020255610</v>
          </cell>
        </row>
        <row r="458">
          <cell r="B458">
            <v>502090255610</v>
          </cell>
        </row>
        <row r="459">
          <cell r="B459">
            <v>502265255610</v>
          </cell>
        </row>
        <row r="460">
          <cell r="B460">
            <v>502266255610</v>
          </cell>
        </row>
        <row r="461">
          <cell r="B461">
            <v>502280255610</v>
          </cell>
        </row>
        <row r="462">
          <cell r="B462">
            <v>502700255610</v>
          </cell>
        </row>
        <row r="463">
          <cell r="B463">
            <v>503360255610</v>
          </cell>
        </row>
        <row r="464">
          <cell r="B464">
            <v>503615255610</v>
          </cell>
        </row>
        <row r="465">
          <cell r="B465">
            <v>503616255610</v>
          </cell>
        </row>
        <row r="466">
          <cell r="B466">
            <v>503680255610</v>
          </cell>
        </row>
        <row r="467">
          <cell r="B467">
            <v>503750255610</v>
          </cell>
        </row>
        <row r="468">
          <cell r="B468">
            <v>503850255610</v>
          </cell>
        </row>
        <row r="469">
          <cell r="B469">
            <v>504060255610</v>
          </cell>
        </row>
        <row r="470">
          <cell r="B470">
            <v>504170255610</v>
          </cell>
        </row>
        <row r="471">
          <cell r="B471">
            <v>504340255610</v>
          </cell>
        </row>
        <row r="472">
          <cell r="B472">
            <v>504350255610</v>
          </cell>
        </row>
        <row r="473">
          <cell r="B473">
            <v>504590255610</v>
          </cell>
        </row>
        <row r="474">
          <cell r="B474">
            <v>504620255610</v>
          </cell>
        </row>
        <row r="475">
          <cell r="B475">
            <v>504700255610</v>
          </cell>
        </row>
        <row r="476">
          <cell r="B476">
            <v>504750255610</v>
          </cell>
        </row>
        <row r="477">
          <cell r="B477">
            <v>505095255610</v>
          </cell>
        </row>
        <row r="478">
          <cell r="B478">
            <v>506385255610</v>
          </cell>
        </row>
        <row r="479">
          <cell r="B479">
            <v>506386255610</v>
          </cell>
        </row>
        <row r="480">
          <cell r="B480">
            <v>506430255610</v>
          </cell>
        </row>
        <row r="481">
          <cell r="B481">
            <v>506460255610</v>
          </cell>
        </row>
        <row r="482">
          <cell r="B482">
            <v>506535255610</v>
          </cell>
        </row>
        <row r="483">
          <cell r="B483">
            <v>506536255610</v>
          </cell>
        </row>
        <row r="484">
          <cell r="B484">
            <v>506537255610</v>
          </cell>
        </row>
        <row r="485">
          <cell r="B485">
            <v>100000255620</v>
          </cell>
        </row>
        <row r="486">
          <cell r="B486">
            <v>401620255620</v>
          </cell>
        </row>
        <row r="487">
          <cell r="B487">
            <v>402590255620</v>
          </cell>
        </row>
        <row r="488">
          <cell r="B488">
            <v>404360255620</v>
          </cell>
        </row>
        <row r="489">
          <cell r="B489">
            <v>404560255620</v>
          </cell>
        </row>
        <row r="490">
          <cell r="B490">
            <v>414450255620</v>
          </cell>
        </row>
        <row r="491">
          <cell r="B491">
            <v>501070255620</v>
          </cell>
        </row>
        <row r="492">
          <cell r="B492">
            <v>501075255620</v>
          </cell>
        </row>
        <row r="493">
          <cell r="B493">
            <v>501077255620</v>
          </cell>
        </row>
        <row r="494">
          <cell r="B494">
            <v>501310255620</v>
          </cell>
        </row>
        <row r="495">
          <cell r="B495">
            <v>501450255620</v>
          </cell>
        </row>
        <row r="496">
          <cell r="B496">
            <v>501452255620</v>
          </cell>
        </row>
        <row r="497">
          <cell r="B497">
            <v>501454255620</v>
          </cell>
        </row>
        <row r="498">
          <cell r="B498">
            <v>502050255620</v>
          </cell>
        </row>
        <row r="499">
          <cell r="B499">
            <v>502870255620</v>
          </cell>
        </row>
        <row r="500">
          <cell r="B500">
            <v>503000255620</v>
          </cell>
        </row>
        <row r="501">
          <cell r="B501">
            <v>503090255620</v>
          </cell>
        </row>
        <row r="502">
          <cell r="B502">
            <v>503320255620</v>
          </cell>
        </row>
        <row r="503">
          <cell r="B503">
            <v>503370255620</v>
          </cell>
        </row>
        <row r="504">
          <cell r="B504">
            <v>503880255620</v>
          </cell>
        </row>
        <row r="505">
          <cell r="B505">
            <v>503890255620</v>
          </cell>
        </row>
        <row r="506">
          <cell r="B506">
            <v>504130255620</v>
          </cell>
        </row>
        <row r="507">
          <cell r="B507">
            <v>504600255620</v>
          </cell>
        </row>
        <row r="508">
          <cell r="B508">
            <v>504830255620</v>
          </cell>
        </row>
        <row r="509">
          <cell r="B509">
            <v>504870255620</v>
          </cell>
        </row>
        <row r="510">
          <cell r="B510">
            <v>504960255620</v>
          </cell>
        </row>
        <row r="511">
          <cell r="B511">
            <v>505650255620</v>
          </cell>
        </row>
        <row r="512">
          <cell r="B512">
            <v>506435255620</v>
          </cell>
        </row>
        <row r="513">
          <cell r="B513">
            <v>506580255620</v>
          </cell>
        </row>
        <row r="514">
          <cell r="B514">
            <v>506590255620</v>
          </cell>
        </row>
        <row r="515">
          <cell r="B515">
            <v>100000255630</v>
          </cell>
        </row>
        <row r="516">
          <cell r="B516">
            <v>100001255630</v>
          </cell>
        </row>
        <row r="517">
          <cell r="B517">
            <v>102200255630</v>
          </cell>
        </row>
        <row r="518">
          <cell r="B518">
            <v>102330255630</v>
          </cell>
        </row>
        <row r="519">
          <cell r="B519">
            <v>102790255630</v>
          </cell>
        </row>
        <row r="520">
          <cell r="B520">
            <v>104250255630</v>
          </cell>
        </row>
        <row r="521">
          <cell r="B521">
            <v>105190255630</v>
          </cell>
        </row>
        <row r="522">
          <cell r="B522">
            <v>106600255630</v>
          </cell>
        </row>
        <row r="523">
          <cell r="B523">
            <v>502195255630</v>
          </cell>
        </row>
        <row r="524">
          <cell r="B524">
            <v>502200255630</v>
          </cell>
        </row>
        <row r="525">
          <cell r="B525">
            <v>502330255630</v>
          </cell>
        </row>
        <row r="526">
          <cell r="B526">
            <v>502790255630</v>
          </cell>
        </row>
        <row r="527">
          <cell r="B527">
            <v>504250255630</v>
          </cell>
        </row>
        <row r="528">
          <cell r="B528">
            <v>505190255630</v>
          </cell>
        </row>
        <row r="529">
          <cell r="B529">
            <v>505200255630</v>
          </cell>
        </row>
        <row r="530">
          <cell r="B530">
            <v>505210255630</v>
          </cell>
        </row>
        <row r="531">
          <cell r="B531">
            <v>506600255630</v>
          </cell>
        </row>
        <row r="532">
          <cell r="B532">
            <v>100000255640</v>
          </cell>
        </row>
        <row r="533">
          <cell r="B533">
            <v>381050255640</v>
          </cell>
        </row>
        <row r="534">
          <cell r="B534">
            <v>382760255640</v>
          </cell>
        </row>
        <row r="535">
          <cell r="B535">
            <v>392780255640</v>
          </cell>
        </row>
        <row r="536">
          <cell r="B536">
            <v>393005255640</v>
          </cell>
        </row>
        <row r="537">
          <cell r="B537">
            <v>393120255640</v>
          </cell>
        </row>
        <row r="538">
          <cell r="B538">
            <v>401620255640</v>
          </cell>
        </row>
        <row r="539">
          <cell r="B539">
            <v>402590255640</v>
          </cell>
        </row>
        <row r="540">
          <cell r="B540">
            <v>404360255640</v>
          </cell>
        </row>
        <row r="541">
          <cell r="B541">
            <v>404560255640</v>
          </cell>
        </row>
        <row r="542">
          <cell r="B542">
            <v>414450255640</v>
          </cell>
        </row>
        <row r="543">
          <cell r="B543">
            <v>501090255640</v>
          </cell>
        </row>
        <row r="544">
          <cell r="B544">
            <v>501480255640</v>
          </cell>
        </row>
        <row r="545">
          <cell r="B545">
            <v>501690255640</v>
          </cell>
        </row>
        <row r="546">
          <cell r="B546">
            <v>501870255640</v>
          </cell>
        </row>
        <row r="547">
          <cell r="B547">
            <v>502075255640</v>
          </cell>
        </row>
        <row r="548">
          <cell r="B548">
            <v>502310255640</v>
          </cell>
        </row>
        <row r="549">
          <cell r="B549">
            <v>502315255640</v>
          </cell>
        </row>
        <row r="550">
          <cell r="B550">
            <v>502320255640</v>
          </cell>
        </row>
        <row r="551">
          <cell r="B551">
            <v>502340255640</v>
          </cell>
        </row>
        <row r="552">
          <cell r="B552">
            <v>502370255640</v>
          </cell>
        </row>
        <row r="553">
          <cell r="B553">
            <v>502550255640</v>
          </cell>
        </row>
        <row r="554">
          <cell r="B554">
            <v>502610255640</v>
          </cell>
        </row>
        <row r="555">
          <cell r="B555">
            <v>502720255640</v>
          </cell>
        </row>
        <row r="556">
          <cell r="B556">
            <v>502750255640</v>
          </cell>
        </row>
        <row r="557">
          <cell r="B557">
            <v>502780255640</v>
          </cell>
        </row>
        <row r="558">
          <cell r="B558">
            <v>503120255640</v>
          </cell>
        </row>
        <row r="559">
          <cell r="B559">
            <v>503200255640</v>
          </cell>
        </row>
        <row r="560">
          <cell r="B560">
            <v>503410255640</v>
          </cell>
        </row>
        <row r="561">
          <cell r="B561">
            <v>503570255640</v>
          </cell>
        </row>
        <row r="562">
          <cell r="B562">
            <v>504240255640</v>
          </cell>
        </row>
        <row r="563">
          <cell r="B563">
            <v>504410255640</v>
          </cell>
        </row>
        <row r="564">
          <cell r="B564">
            <v>504620255640</v>
          </cell>
        </row>
        <row r="565">
          <cell r="B565">
            <v>504640255640</v>
          </cell>
        </row>
        <row r="566">
          <cell r="B566">
            <v>504750255640</v>
          </cell>
        </row>
        <row r="567">
          <cell r="B567">
            <v>505090255640</v>
          </cell>
        </row>
        <row r="568">
          <cell r="B568">
            <v>505430255640</v>
          </cell>
        </row>
        <row r="569">
          <cell r="B569">
            <v>505960255640</v>
          </cell>
        </row>
        <row r="570">
          <cell r="B570">
            <v>506070255640</v>
          </cell>
        </row>
        <row r="571">
          <cell r="B571">
            <v>506460255640</v>
          </cell>
        </row>
        <row r="572">
          <cell r="B572">
            <v>506536255640</v>
          </cell>
        </row>
        <row r="573">
          <cell r="B573">
            <v>100000255641</v>
          </cell>
        </row>
        <row r="574">
          <cell r="B574">
            <v>401620255641</v>
          </cell>
        </row>
        <row r="575">
          <cell r="B575">
            <v>402590255641</v>
          </cell>
        </row>
        <row r="576">
          <cell r="B576">
            <v>404360255641</v>
          </cell>
        </row>
        <row r="577">
          <cell r="B577">
            <v>404560255641</v>
          </cell>
        </row>
        <row r="578">
          <cell r="B578">
            <v>414450255641</v>
          </cell>
        </row>
        <row r="579">
          <cell r="B579">
            <v>100000255642</v>
          </cell>
        </row>
        <row r="580">
          <cell r="B580">
            <v>382580255642</v>
          </cell>
        </row>
        <row r="581">
          <cell r="B581">
            <v>501090255642</v>
          </cell>
        </row>
        <row r="582">
          <cell r="B582">
            <v>501570255642</v>
          </cell>
        </row>
        <row r="583">
          <cell r="B583">
            <v>501650255642</v>
          </cell>
        </row>
        <row r="584">
          <cell r="B584">
            <v>501680255642</v>
          </cell>
        </row>
        <row r="585">
          <cell r="B585">
            <v>501870255642</v>
          </cell>
        </row>
        <row r="586">
          <cell r="B586">
            <v>502340255642</v>
          </cell>
        </row>
        <row r="587">
          <cell r="B587">
            <v>502550255642</v>
          </cell>
        </row>
        <row r="588">
          <cell r="B588">
            <v>502720255642</v>
          </cell>
        </row>
        <row r="589">
          <cell r="B589">
            <v>502780255642</v>
          </cell>
        </row>
        <row r="590">
          <cell r="B590">
            <v>503200255642</v>
          </cell>
        </row>
        <row r="591">
          <cell r="B591">
            <v>503410255642</v>
          </cell>
        </row>
        <row r="592">
          <cell r="B592">
            <v>503510255642</v>
          </cell>
        </row>
        <row r="593">
          <cell r="B593">
            <v>504060255642</v>
          </cell>
        </row>
        <row r="594">
          <cell r="B594">
            <v>504240255642</v>
          </cell>
        </row>
        <row r="595">
          <cell r="B595">
            <v>504580255642</v>
          </cell>
        </row>
        <row r="596">
          <cell r="B596">
            <v>505090255642</v>
          </cell>
        </row>
        <row r="597">
          <cell r="B597">
            <v>505430255642</v>
          </cell>
        </row>
        <row r="598">
          <cell r="B598">
            <v>505635255642</v>
          </cell>
        </row>
        <row r="599">
          <cell r="B599">
            <v>505640255642</v>
          </cell>
        </row>
        <row r="600">
          <cell r="B600">
            <v>505960255642</v>
          </cell>
        </row>
        <row r="601">
          <cell r="B601">
            <v>506070255642</v>
          </cell>
        </row>
        <row r="602">
          <cell r="B602">
            <v>506620255642</v>
          </cell>
        </row>
        <row r="603">
          <cell r="B603">
            <v>100000255644</v>
          </cell>
        </row>
        <row r="604">
          <cell r="B604">
            <v>503830255644</v>
          </cell>
        </row>
        <row r="605">
          <cell r="B605">
            <v>401620255645</v>
          </cell>
        </row>
        <row r="606">
          <cell r="B606">
            <v>402590255645</v>
          </cell>
        </row>
        <row r="607">
          <cell r="B607">
            <v>404360255645</v>
          </cell>
        </row>
        <row r="608">
          <cell r="B608">
            <v>404560255645</v>
          </cell>
        </row>
        <row r="609">
          <cell r="B609">
            <v>414450255645</v>
          </cell>
        </row>
        <row r="610">
          <cell r="B610">
            <v>503590255645</v>
          </cell>
        </row>
        <row r="611">
          <cell r="B611">
            <v>504410255645</v>
          </cell>
        </row>
        <row r="612">
          <cell r="B612">
            <v>504420255645</v>
          </cell>
        </row>
        <row r="613">
          <cell r="B613">
            <v>100000255710</v>
          </cell>
        </row>
        <row r="614">
          <cell r="B614">
            <v>701980255710</v>
          </cell>
        </row>
        <row r="615">
          <cell r="B615">
            <v>702140255710</v>
          </cell>
        </row>
        <row r="616">
          <cell r="B616">
            <v>702145255710</v>
          </cell>
        </row>
        <row r="617">
          <cell r="B617">
            <v>702150255710</v>
          </cell>
        </row>
        <row r="618">
          <cell r="B618">
            <v>702155255710</v>
          </cell>
        </row>
        <row r="619">
          <cell r="B619">
            <v>702240255710</v>
          </cell>
        </row>
        <row r="620">
          <cell r="B620">
            <v>702250255710</v>
          </cell>
        </row>
        <row r="621">
          <cell r="B621">
            <v>702410255710</v>
          </cell>
        </row>
        <row r="622">
          <cell r="B622">
            <v>702680255710</v>
          </cell>
        </row>
        <row r="623">
          <cell r="B623">
            <v>702900255710</v>
          </cell>
        </row>
        <row r="624">
          <cell r="B624">
            <v>703060255710</v>
          </cell>
        </row>
        <row r="625">
          <cell r="B625">
            <v>704090255710</v>
          </cell>
        </row>
        <row r="626">
          <cell r="B626">
            <v>704205255710</v>
          </cell>
        </row>
        <row r="627">
          <cell r="B627">
            <v>704210255710</v>
          </cell>
        </row>
        <row r="628">
          <cell r="B628">
            <v>704730255710</v>
          </cell>
        </row>
        <row r="629">
          <cell r="B629">
            <v>704780255710</v>
          </cell>
        </row>
        <row r="630">
          <cell r="B630">
            <v>705200255710</v>
          </cell>
        </row>
        <row r="631">
          <cell r="B631">
            <v>705205255710</v>
          </cell>
        </row>
        <row r="632">
          <cell r="B632">
            <v>705280255710</v>
          </cell>
        </row>
        <row r="633">
          <cell r="B633">
            <v>705370255710</v>
          </cell>
        </row>
        <row r="634">
          <cell r="B634">
            <v>741040255710</v>
          </cell>
        </row>
        <row r="635">
          <cell r="B635">
            <v>742580255710</v>
          </cell>
        </row>
        <row r="636">
          <cell r="B636">
            <v>742670255710</v>
          </cell>
        </row>
        <row r="637">
          <cell r="B637">
            <v>743220255710</v>
          </cell>
        </row>
        <row r="638">
          <cell r="B638">
            <v>743860255710</v>
          </cell>
        </row>
        <row r="639">
          <cell r="B639">
            <v>745320255710</v>
          </cell>
        </row>
        <row r="640">
          <cell r="B640">
            <v>746410255710</v>
          </cell>
        </row>
        <row r="641">
          <cell r="B641">
            <v>753381255710</v>
          </cell>
        </row>
        <row r="642">
          <cell r="B642">
            <v>753383255710</v>
          </cell>
        </row>
        <row r="643">
          <cell r="B643">
            <v>753384255710</v>
          </cell>
        </row>
        <row r="644">
          <cell r="B644">
            <v>753391255710</v>
          </cell>
        </row>
        <row r="645">
          <cell r="B645">
            <v>753393255710</v>
          </cell>
        </row>
        <row r="646">
          <cell r="B646">
            <v>753394255710</v>
          </cell>
        </row>
        <row r="647">
          <cell r="B647">
            <v>762915255710</v>
          </cell>
        </row>
        <row r="648">
          <cell r="B648">
            <v>762920255710</v>
          </cell>
        </row>
        <row r="649">
          <cell r="B649">
            <v>764320255710</v>
          </cell>
        </row>
        <row r="650">
          <cell r="B650">
            <v>765350255710</v>
          </cell>
        </row>
        <row r="651">
          <cell r="B651">
            <v>765830255710</v>
          </cell>
        </row>
        <row r="652">
          <cell r="B652">
            <v>100000255711</v>
          </cell>
        </row>
        <row r="653">
          <cell r="B653">
            <v>702435255711</v>
          </cell>
        </row>
        <row r="654">
          <cell r="B654">
            <v>703430255711</v>
          </cell>
        </row>
        <row r="655">
          <cell r="B655">
            <v>703435255711</v>
          </cell>
        </row>
        <row r="656">
          <cell r="B656">
            <v>703440255711</v>
          </cell>
        </row>
        <row r="657">
          <cell r="B657">
            <v>705160255711</v>
          </cell>
        </row>
        <row r="658">
          <cell r="B658">
            <v>100000255712</v>
          </cell>
        </row>
        <row r="659">
          <cell r="B659">
            <v>702680255712</v>
          </cell>
        </row>
        <row r="660">
          <cell r="B660">
            <v>742580255712</v>
          </cell>
        </row>
        <row r="661">
          <cell r="B661">
            <v>742585255712</v>
          </cell>
        </row>
        <row r="662">
          <cell r="B662">
            <v>745571255712</v>
          </cell>
        </row>
        <row r="663">
          <cell r="B663">
            <v>745603255712</v>
          </cell>
        </row>
        <row r="664">
          <cell r="B664">
            <v>745572255712</v>
          </cell>
        </row>
        <row r="665">
          <cell r="B665">
            <v>745573255712</v>
          </cell>
        </row>
        <row r="666">
          <cell r="B666">
            <v>745574255712</v>
          </cell>
        </row>
        <row r="667">
          <cell r="B667">
            <v>745604255712</v>
          </cell>
        </row>
        <row r="668">
          <cell r="B668">
            <v>745575255712</v>
          </cell>
        </row>
        <row r="669">
          <cell r="B669">
            <v>745605255712</v>
          </cell>
        </row>
        <row r="670">
          <cell r="B670">
            <v>745576255712</v>
          </cell>
        </row>
        <row r="671">
          <cell r="B671">
            <v>745606255712</v>
          </cell>
        </row>
        <row r="672">
          <cell r="B672">
            <v>745577255712</v>
          </cell>
        </row>
        <row r="673">
          <cell r="B673">
            <v>745607255712</v>
          </cell>
        </row>
        <row r="674">
          <cell r="B674">
            <v>745578255712</v>
          </cell>
        </row>
        <row r="675">
          <cell r="B675">
            <v>745608255712</v>
          </cell>
        </row>
        <row r="676">
          <cell r="B676">
            <v>745579255712</v>
          </cell>
        </row>
        <row r="677">
          <cell r="B677">
            <v>745609255712</v>
          </cell>
        </row>
        <row r="678">
          <cell r="B678">
            <v>745580255712</v>
          </cell>
        </row>
        <row r="679">
          <cell r="B679">
            <v>745610255712</v>
          </cell>
        </row>
        <row r="680">
          <cell r="B680">
            <v>745581255712</v>
          </cell>
        </row>
        <row r="681">
          <cell r="B681">
            <v>745611255712</v>
          </cell>
        </row>
        <row r="682">
          <cell r="B682">
            <v>745582255712</v>
          </cell>
        </row>
        <row r="683">
          <cell r="B683">
            <v>745583255712</v>
          </cell>
        </row>
        <row r="684">
          <cell r="B684">
            <v>745584255712</v>
          </cell>
        </row>
        <row r="685">
          <cell r="B685">
            <v>745585255712</v>
          </cell>
        </row>
        <row r="686">
          <cell r="B686">
            <v>745612255712</v>
          </cell>
        </row>
        <row r="687">
          <cell r="B687">
            <v>745586255712</v>
          </cell>
        </row>
        <row r="688">
          <cell r="B688">
            <v>745613255712</v>
          </cell>
        </row>
        <row r="689">
          <cell r="B689">
            <v>745587255712</v>
          </cell>
        </row>
        <row r="690">
          <cell r="B690">
            <v>745614255712</v>
          </cell>
        </row>
        <row r="691">
          <cell r="B691">
            <v>745588255712</v>
          </cell>
        </row>
        <row r="692">
          <cell r="B692">
            <v>745589255712</v>
          </cell>
        </row>
        <row r="693">
          <cell r="B693">
            <v>745590255712</v>
          </cell>
        </row>
        <row r="694">
          <cell r="B694">
            <v>745591255712</v>
          </cell>
        </row>
        <row r="695">
          <cell r="B695">
            <v>745592255712</v>
          </cell>
        </row>
        <row r="696">
          <cell r="B696">
            <v>745593255712</v>
          </cell>
        </row>
        <row r="697">
          <cell r="B697">
            <v>745594255712</v>
          </cell>
        </row>
        <row r="698">
          <cell r="B698">
            <v>745240255710</v>
          </cell>
        </row>
        <row r="699">
          <cell r="B699">
            <v>745565255710</v>
          </cell>
        </row>
        <row r="700">
          <cell r="B700">
            <v>745570255710</v>
          </cell>
        </row>
        <row r="701">
          <cell r="B701">
            <v>745636255712</v>
          </cell>
        </row>
        <row r="702">
          <cell r="B702">
            <v>745637255712</v>
          </cell>
        </row>
        <row r="703">
          <cell r="B703">
            <v>745638255712</v>
          </cell>
        </row>
        <row r="704">
          <cell r="B704">
            <v>745639255712</v>
          </cell>
        </row>
        <row r="705">
          <cell r="B705">
            <v>745595255712</v>
          </cell>
        </row>
        <row r="706">
          <cell r="B706">
            <v>745596255712</v>
          </cell>
        </row>
        <row r="707">
          <cell r="B707">
            <v>745597255712</v>
          </cell>
        </row>
        <row r="708">
          <cell r="B708">
            <v>745615255712</v>
          </cell>
        </row>
        <row r="709">
          <cell r="B709">
            <v>745616255712</v>
          </cell>
        </row>
        <row r="710">
          <cell r="B710">
            <v>745598255712</v>
          </cell>
        </row>
        <row r="711">
          <cell r="B711">
            <v>745617255712</v>
          </cell>
        </row>
        <row r="712">
          <cell r="B712">
            <v>745599255712</v>
          </cell>
        </row>
        <row r="713">
          <cell r="B713">
            <v>745618255712</v>
          </cell>
        </row>
        <row r="714">
          <cell r="B714">
            <v>745600255712</v>
          </cell>
        </row>
        <row r="715">
          <cell r="B715">
            <v>745619255712</v>
          </cell>
        </row>
        <row r="716">
          <cell r="B716">
            <v>745601255712</v>
          </cell>
        </row>
        <row r="717">
          <cell r="B717">
            <v>745621255712</v>
          </cell>
        </row>
        <row r="718">
          <cell r="B718">
            <v>745602255712</v>
          </cell>
        </row>
        <row r="719">
          <cell r="B719">
            <v>745622255712</v>
          </cell>
        </row>
        <row r="720">
          <cell r="B720">
            <v>745623255712</v>
          </cell>
        </row>
        <row r="721">
          <cell r="B721">
            <v>745624255712</v>
          </cell>
        </row>
        <row r="722">
          <cell r="B722">
            <v>745625255712</v>
          </cell>
        </row>
        <row r="723">
          <cell r="B723">
            <v>745626255712</v>
          </cell>
        </row>
        <row r="724">
          <cell r="B724">
            <v>745627255712</v>
          </cell>
        </row>
        <row r="725">
          <cell r="B725">
            <v>745628255712</v>
          </cell>
        </row>
        <row r="726">
          <cell r="B726">
            <v>745629255712</v>
          </cell>
        </row>
        <row r="727">
          <cell r="B727">
            <v>745631255712</v>
          </cell>
        </row>
        <row r="728">
          <cell r="B728">
            <v>745632255712</v>
          </cell>
        </row>
        <row r="729">
          <cell r="B729">
            <v>745633255712</v>
          </cell>
        </row>
        <row r="730">
          <cell r="B730">
            <v>745634255712</v>
          </cell>
        </row>
        <row r="731">
          <cell r="B731">
            <v>753110255712</v>
          </cell>
        </row>
        <row r="732">
          <cell r="B732">
            <v>753392255712</v>
          </cell>
        </row>
        <row r="733">
          <cell r="B733">
            <v>763420255712</v>
          </cell>
        </row>
        <row r="734">
          <cell r="B734">
            <v>766050255712</v>
          </cell>
        </row>
        <row r="735">
          <cell r="B735">
            <v>766240255712</v>
          </cell>
        </row>
        <row r="736">
          <cell r="B736">
            <v>100000255790</v>
          </cell>
        </row>
        <row r="737">
          <cell r="B737">
            <v>401000255790</v>
          </cell>
        </row>
        <row r="738">
          <cell r="B738">
            <v>401340255790</v>
          </cell>
        </row>
        <row r="739">
          <cell r="B739">
            <v>401520255790</v>
          </cell>
        </row>
        <row r="740">
          <cell r="B740">
            <v>401670255790</v>
          </cell>
        </row>
        <row r="741">
          <cell r="B741">
            <v>401830255790</v>
          </cell>
        </row>
        <row r="742">
          <cell r="B742">
            <v>401840255790</v>
          </cell>
        </row>
        <row r="743">
          <cell r="B743">
            <v>401890255790</v>
          </cell>
        </row>
        <row r="744">
          <cell r="B744">
            <v>402350255790</v>
          </cell>
        </row>
        <row r="745">
          <cell r="B745">
            <v>402365255790</v>
          </cell>
        </row>
        <row r="746">
          <cell r="B746">
            <v>402366255790</v>
          </cell>
        </row>
        <row r="747">
          <cell r="B747">
            <v>402455255790</v>
          </cell>
        </row>
        <row r="748">
          <cell r="B748">
            <v>403030255790</v>
          </cell>
        </row>
        <row r="749">
          <cell r="B749">
            <v>403250255790</v>
          </cell>
        </row>
        <row r="750">
          <cell r="B750">
            <v>403260255790</v>
          </cell>
        </row>
        <row r="751">
          <cell r="B751">
            <v>403610255790</v>
          </cell>
        </row>
        <row r="752">
          <cell r="B752">
            <v>403740255790</v>
          </cell>
        </row>
        <row r="753">
          <cell r="B753">
            <v>403840255790</v>
          </cell>
        </row>
        <row r="754">
          <cell r="B754">
            <v>403920255790</v>
          </cell>
        </row>
        <row r="755">
          <cell r="B755">
            <v>403930255790</v>
          </cell>
        </row>
        <row r="756">
          <cell r="B756">
            <v>403931255790</v>
          </cell>
        </row>
        <row r="757">
          <cell r="B757">
            <v>403960255790</v>
          </cell>
        </row>
        <row r="758">
          <cell r="B758">
            <v>403962255790</v>
          </cell>
        </row>
        <row r="759">
          <cell r="B759">
            <v>403964255790</v>
          </cell>
        </row>
        <row r="760">
          <cell r="B760">
            <v>403966255790</v>
          </cell>
        </row>
        <row r="761">
          <cell r="B761">
            <v>403970255790</v>
          </cell>
        </row>
        <row r="762">
          <cell r="B762">
            <v>404150255790</v>
          </cell>
        </row>
        <row r="763">
          <cell r="B763">
            <v>404460255790</v>
          </cell>
        </row>
        <row r="764">
          <cell r="B764">
            <v>404500255790</v>
          </cell>
        </row>
        <row r="765">
          <cell r="B765">
            <v>404510255790</v>
          </cell>
        </row>
        <row r="766">
          <cell r="B766">
            <v>404520255790</v>
          </cell>
        </row>
        <row r="767">
          <cell r="B767">
            <v>404570255790</v>
          </cell>
        </row>
        <row r="768">
          <cell r="B768">
            <v>404920255790</v>
          </cell>
        </row>
        <row r="769">
          <cell r="B769">
            <v>404950255790</v>
          </cell>
        </row>
        <row r="770">
          <cell r="B770">
            <v>405150255790</v>
          </cell>
        </row>
        <row r="771">
          <cell r="B771">
            <v>405200255790</v>
          </cell>
        </row>
        <row r="772">
          <cell r="B772">
            <v>405210255790</v>
          </cell>
        </row>
        <row r="773">
          <cell r="B773">
            <v>405260255790</v>
          </cell>
        </row>
        <row r="774">
          <cell r="B774">
            <v>405565255790</v>
          </cell>
        </row>
        <row r="775">
          <cell r="B775">
            <v>405630255790</v>
          </cell>
        </row>
        <row r="776">
          <cell r="B776">
            <v>405690255790</v>
          </cell>
        </row>
        <row r="777">
          <cell r="B777">
            <v>405720255790</v>
          </cell>
        </row>
        <row r="778">
          <cell r="B778">
            <v>406180255790</v>
          </cell>
        </row>
        <row r="779">
          <cell r="B779">
            <v>406440255790</v>
          </cell>
        </row>
        <row r="780">
          <cell r="B780">
            <v>406470255790</v>
          </cell>
        </row>
        <row r="781">
          <cell r="B781">
            <v>406610255790</v>
          </cell>
        </row>
        <row r="782">
          <cell r="B782">
            <v>810000810100</v>
          </cell>
        </row>
        <row r="783">
          <cell r="B783">
            <v>810010810100</v>
          </cell>
        </row>
        <row r="784">
          <cell r="B784">
            <v>810020810100</v>
          </cell>
        </row>
        <row r="785">
          <cell r="B785">
            <v>810030810100</v>
          </cell>
        </row>
        <row r="786">
          <cell r="B786">
            <v>810040810100</v>
          </cell>
        </row>
        <row r="787">
          <cell r="B787">
            <v>810050810100</v>
          </cell>
        </row>
        <row r="788">
          <cell r="B788">
            <v>810060810100</v>
          </cell>
        </row>
        <row r="789">
          <cell r="B789">
            <v>810070810100</v>
          </cell>
        </row>
        <row r="790">
          <cell r="B790">
            <v>810080810100</v>
          </cell>
        </row>
        <row r="791">
          <cell r="B791">
            <v>810090810100</v>
          </cell>
        </row>
        <row r="792">
          <cell r="B792">
            <v>810100810100</v>
          </cell>
        </row>
        <row r="793">
          <cell r="B793">
            <v>810110810100</v>
          </cell>
        </row>
        <row r="794">
          <cell r="B794">
            <v>810120810100</v>
          </cell>
        </row>
        <row r="795">
          <cell r="B795">
            <v>810130810100</v>
          </cell>
        </row>
        <row r="796">
          <cell r="B796">
            <v>810010810102</v>
          </cell>
        </row>
        <row r="797">
          <cell r="B797">
            <v>810020810102</v>
          </cell>
        </row>
        <row r="798">
          <cell r="B798">
            <v>810030810102</v>
          </cell>
        </row>
        <row r="799">
          <cell r="B799">
            <v>810040810102</v>
          </cell>
        </row>
        <row r="800">
          <cell r="B800">
            <v>810050810102</v>
          </cell>
        </row>
        <row r="801">
          <cell r="B801">
            <v>810060810102</v>
          </cell>
        </row>
        <row r="802">
          <cell r="B802">
            <v>810070810102</v>
          </cell>
        </row>
        <row r="803">
          <cell r="B803">
            <v>810080810102</v>
          </cell>
        </row>
        <row r="804">
          <cell r="B804">
            <v>810090810102</v>
          </cell>
        </row>
        <row r="805">
          <cell r="B805">
            <v>810100810102</v>
          </cell>
        </row>
        <row r="806">
          <cell r="B806">
            <v>810110810102</v>
          </cell>
        </row>
        <row r="807">
          <cell r="B807">
            <v>810120810102</v>
          </cell>
        </row>
        <row r="808">
          <cell r="B808">
            <v>810130810102</v>
          </cell>
        </row>
        <row r="809">
          <cell r="B809">
            <v>810010810104</v>
          </cell>
        </row>
        <row r="810">
          <cell r="B810">
            <v>810020810104</v>
          </cell>
        </row>
        <row r="811">
          <cell r="B811">
            <v>810030810104</v>
          </cell>
        </row>
        <row r="812">
          <cell r="B812">
            <v>810040810104</v>
          </cell>
        </row>
        <row r="813">
          <cell r="B813">
            <v>810050810104</v>
          </cell>
        </row>
        <row r="814">
          <cell r="B814">
            <v>810060810104</v>
          </cell>
        </row>
        <row r="815">
          <cell r="B815">
            <v>810070810104</v>
          </cell>
        </row>
        <row r="816">
          <cell r="B816">
            <v>810080810104</v>
          </cell>
        </row>
        <row r="817">
          <cell r="B817">
            <v>810090810104</v>
          </cell>
        </row>
        <row r="818">
          <cell r="B818">
            <v>810100810104</v>
          </cell>
        </row>
        <row r="819">
          <cell r="B819">
            <v>810110810104</v>
          </cell>
        </row>
        <row r="820">
          <cell r="B820">
            <v>810120810104</v>
          </cell>
        </row>
        <row r="821">
          <cell r="B821">
            <v>810130810104</v>
          </cell>
        </row>
        <row r="822">
          <cell r="B822">
            <v>810010810106</v>
          </cell>
        </row>
        <row r="823">
          <cell r="B823">
            <v>810020810106</v>
          </cell>
        </row>
        <row r="824">
          <cell r="B824">
            <v>810030810106</v>
          </cell>
        </row>
        <row r="825">
          <cell r="B825">
            <v>810040810106</v>
          </cell>
        </row>
        <row r="826">
          <cell r="B826">
            <v>810050810106</v>
          </cell>
        </row>
        <row r="827">
          <cell r="B827">
            <v>810060810106</v>
          </cell>
        </row>
        <row r="828">
          <cell r="B828">
            <v>810070810106</v>
          </cell>
        </row>
        <row r="829">
          <cell r="B829">
            <v>810080810106</v>
          </cell>
        </row>
        <row r="830">
          <cell r="B830">
            <v>810090810106</v>
          </cell>
        </row>
        <row r="831">
          <cell r="B831">
            <v>810100810106</v>
          </cell>
        </row>
        <row r="832">
          <cell r="B832">
            <v>810110810106</v>
          </cell>
        </row>
        <row r="833">
          <cell r="B833">
            <v>810120810106</v>
          </cell>
        </row>
        <row r="834">
          <cell r="B834">
            <v>810130810106</v>
          </cell>
        </row>
        <row r="835">
          <cell r="B835">
            <v>810010810108</v>
          </cell>
        </row>
        <row r="836">
          <cell r="B836">
            <v>810020810108</v>
          </cell>
        </row>
        <row r="837">
          <cell r="B837">
            <v>810030810108</v>
          </cell>
        </row>
        <row r="838">
          <cell r="B838">
            <v>810040810108</v>
          </cell>
        </row>
        <row r="839">
          <cell r="B839">
            <v>810050810108</v>
          </cell>
        </row>
        <row r="840">
          <cell r="B840">
            <v>810060810108</v>
          </cell>
        </row>
        <row r="841">
          <cell r="B841">
            <v>810070810108</v>
          </cell>
        </row>
        <row r="842">
          <cell r="B842">
            <v>810080810108</v>
          </cell>
        </row>
        <row r="843">
          <cell r="B843">
            <v>810090810108</v>
          </cell>
        </row>
        <row r="844">
          <cell r="B844">
            <v>810100810108</v>
          </cell>
        </row>
        <row r="845">
          <cell r="B845">
            <v>810110810108</v>
          </cell>
        </row>
        <row r="846">
          <cell r="B846">
            <v>810120810108</v>
          </cell>
        </row>
        <row r="847">
          <cell r="B847">
            <v>810130810108</v>
          </cell>
        </row>
        <row r="848">
          <cell r="B848">
            <v>810010810110</v>
          </cell>
        </row>
        <row r="849">
          <cell r="B849">
            <v>810020810110</v>
          </cell>
        </row>
        <row r="850">
          <cell r="B850">
            <v>810030810110</v>
          </cell>
        </row>
        <row r="851">
          <cell r="B851">
            <v>810040810110</v>
          </cell>
        </row>
        <row r="852">
          <cell r="B852">
            <v>810050810110</v>
          </cell>
        </row>
        <row r="853">
          <cell r="B853">
            <v>810060810110</v>
          </cell>
        </row>
        <row r="854">
          <cell r="B854">
            <v>810070810110</v>
          </cell>
        </row>
        <row r="855">
          <cell r="B855">
            <v>810080810110</v>
          </cell>
        </row>
        <row r="856">
          <cell r="B856">
            <v>810090810110</v>
          </cell>
        </row>
        <row r="857">
          <cell r="B857">
            <v>810100810110</v>
          </cell>
        </row>
        <row r="858">
          <cell r="B858">
            <v>810110810110</v>
          </cell>
        </row>
        <row r="859">
          <cell r="B859">
            <v>810120810110</v>
          </cell>
        </row>
        <row r="860">
          <cell r="B860">
            <v>810130810110</v>
          </cell>
        </row>
        <row r="861">
          <cell r="B861">
            <v>810010810112</v>
          </cell>
        </row>
        <row r="862">
          <cell r="B862">
            <v>810020810112</v>
          </cell>
        </row>
        <row r="863">
          <cell r="B863">
            <v>810030810112</v>
          </cell>
        </row>
        <row r="864">
          <cell r="B864">
            <v>810040810112</v>
          </cell>
        </row>
        <row r="865">
          <cell r="B865">
            <v>810050810112</v>
          </cell>
        </row>
        <row r="866">
          <cell r="B866">
            <v>810060810112</v>
          </cell>
        </row>
        <row r="867">
          <cell r="B867">
            <v>810070810112</v>
          </cell>
        </row>
        <row r="868">
          <cell r="B868">
            <v>810080810112</v>
          </cell>
        </row>
        <row r="869">
          <cell r="B869">
            <v>810090810112</v>
          </cell>
        </row>
        <row r="870">
          <cell r="B870">
            <v>810100810112</v>
          </cell>
        </row>
        <row r="871">
          <cell r="B871">
            <v>810110810112</v>
          </cell>
        </row>
        <row r="872">
          <cell r="B872">
            <v>810120810112</v>
          </cell>
        </row>
        <row r="873">
          <cell r="B873">
            <v>810130810112</v>
          </cell>
        </row>
        <row r="874">
          <cell r="B874">
            <v>810010810114</v>
          </cell>
        </row>
        <row r="875">
          <cell r="B875">
            <v>810020810114</v>
          </cell>
        </row>
        <row r="876">
          <cell r="B876">
            <v>810030810114</v>
          </cell>
        </row>
        <row r="877">
          <cell r="B877">
            <v>810040810114</v>
          </cell>
        </row>
        <row r="878">
          <cell r="B878">
            <v>810050810114</v>
          </cell>
        </row>
        <row r="879">
          <cell r="B879">
            <v>810060810114</v>
          </cell>
        </row>
        <row r="880">
          <cell r="B880">
            <v>810070810114</v>
          </cell>
        </row>
        <row r="881">
          <cell r="B881">
            <v>810080810114</v>
          </cell>
        </row>
        <row r="882">
          <cell r="B882">
            <v>810090810114</v>
          </cell>
        </row>
        <row r="883">
          <cell r="B883">
            <v>810100810114</v>
          </cell>
        </row>
        <row r="884">
          <cell r="B884">
            <v>810110810114</v>
          </cell>
        </row>
        <row r="885">
          <cell r="B885">
            <v>810120810114</v>
          </cell>
        </row>
        <row r="886">
          <cell r="B886">
            <v>810130810114</v>
          </cell>
        </row>
        <row r="887">
          <cell r="B887">
            <v>810010810116</v>
          </cell>
        </row>
        <row r="888">
          <cell r="B888">
            <v>810020810116</v>
          </cell>
        </row>
        <row r="889">
          <cell r="B889">
            <v>810030810116</v>
          </cell>
        </row>
        <row r="890">
          <cell r="B890">
            <v>810040810116</v>
          </cell>
        </row>
        <row r="891">
          <cell r="B891">
            <v>810050810116</v>
          </cell>
        </row>
        <row r="892">
          <cell r="B892">
            <v>810060810116</v>
          </cell>
        </row>
        <row r="893">
          <cell r="B893">
            <v>810070810116</v>
          </cell>
        </row>
        <row r="894">
          <cell r="B894">
            <v>810080810116</v>
          </cell>
        </row>
        <row r="895">
          <cell r="B895">
            <v>810090810116</v>
          </cell>
        </row>
        <row r="896">
          <cell r="B896">
            <v>810100810116</v>
          </cell>
        </row>
        <row r="897">
          <cell r="B897">
            <v>810110810116</v>
          </cell>
        </row>
        <row r="898">
          <cell r="B898">
            <v>810120810116</v>
          </cell>
        </row>
        <row r="899">
          <cell r="B899">
            <v>810130810116</v>
          </cell>
        </row>
        <row r="900">
          <cell r="B900">
            <v>810010810118</v>
          </cell>
        </row>
        <row r="901">
          <cell r="B901">
            <v>810020810118</v>
          </cell>
        </row>
        <row r="902">
          <cell r="B902">
            <v>810030810118</v>
          </cell>
        </row>
        <row r="903">
          <cell r="B903">
            <v>810040810118</v>
          </cell>
        </row>
        <row r="904">
          <cell r="B904">
            <v>810050810118</v>
          </cell>
        </row>
        <row r="905">
          <cell r="B905">
            <v>810060810118</v>
          </cell>
        </row>
        <row r="906">
          <cell r="B906">
            <v>810070810118</v>
          </cell>
        </row>
        <row r="907">
          <cell r="B907">
            <v>810080810118</v>
          </cell>
        </row>
        <row r="908">
          <cell r="B908">
            <v>810090810118</v>
          </cell>
        </row>
        <row r="909">
          <cell r="B909">
            <v>810100810118</v>
          </cell>
        </row>
        <row r="910">
          <cell r="B910">
            <v>810110810118</v>
          </cell>
        </row>
        <row r="911">
          <cell r="B911">
            <v>810120810118</v>
          </cell>
        </row>
        <row r="912">
          <cell r="B912">
            <v>810130810118</v>
          </cell>
        </row>
        <row r="913">
          <cell r="B913">
            <v>811000810300</v>
          </cell>
        </row>
        <row r="914">
          <cell r="B914">
            <v>812000810300</v>
          </cell>
        </row>
        <row r="915">
          <cell r="B915">
            <v>812010810300</v>
          </cell>
        </row>
        <row r="916">
          <cell r="B916">
            <v>813000810400</v>
          </cell>
        </row>
        <row r="917">
          <cell r="B917">
            <v>813010810400</v>
          </cell>
        </row>
        <row r="918">
          <cell r="B918">
            <v>813012810400</v>
          </cell>
        </row>
        <row r="919">
          <cell r="B919">
            <v>813014810400</v>
          </cell>
        </row>
        <row r="920">
          <cell r="B920">
            <v>813016810400</v>
          </cell>
        </row>
        <row r="921">
          <cell r="B921">
            <v>813020810400</v>
          </cell>
        </row>
        <row r="922">
          <cell r="B922">
            <v>813022810400</v>
          </cell>
        </row>
        <row r="923">
          <cell r="B923">
            <v>813024810400</v>
          </cell>
        </row>
        <row r="924">
          <cell r="B924">
            <v>813026810400</v>
          </cell>
        </row>
        <row r="925">
          <cell r="B925">
            <v>813030810400</v>
          </cell>
        </row>
        <row r="926">
          <cell r="B926">
            <v>813032810400</v>
          </cell>
        </row>
        <row r="927">
          <cell r="B927">
            <v>813034810400</v>
          </cell>
        </row>
        <row r="928">
          <cell r="B928">
            <v>813036810400</v>
          </cell>
        </row>
        <row r="929">
          <cell r="B929">
            <v>813040810400</v>
          </cell>
        </row>
        <row r="930">
          <cell r="B930">
            <v>813042810400</v>
          </cell>
        </row>
        <row r="931">
          <cell r="B931">
            <v>813044810400</v>
          </cell>
        </row>
        <row r="932">
          <cell r="B932">
            <v>813046810400</v>
          </cell>
        </row>
        <row r="933">
          <cell r="B933">
            <v>813050810400</v>
          </cell>
        </row>
        <row r="934">
          <cell r="B934">
            <v>813052810400</v>
          </cell>
        </row>
        <row r="935">
          <cell r="B935">
            <v>813054810400</v>
          </cell>
        </row>
        <row r="936">
          <cell r="B936">
            <v>813056810400</v>
          </cell>
        </row>
        <row r="937">
          <cell r="B937">
            <v>813060810400</v>
          </cell>
        </row>
        <row r="938">
          <cell r="B938">
            <v>813062810400</v>
          </cell>
        </row>
        <row r="939">
          <cell r="B939">
            <v>813064810400</v>
          </cell>
        </row>
        <row r="940">
          <cell r="B940">
            <v>813066810400</v>
          </cell>
        </row>
        <row r="941">
          <cell r="B941">
            <v>813070810400</v>
          </cell>
        </row>
        <row r="942">
          <cell r="B942">
            <v>813072810400</v>
          </cell>
        </row>
        <row r="943">
          <cell r="B943">
            <v>813074810400</v>
          </cell>
        </row>
        <row r="944">
          <cell r="B944">
            <v>813076810400</v>
          </cell>
        </row>
        <row r="945">
          <cell r="B945">
            <v>813080810400</v>
          </cell>
        </row>
        <row r="946">
          <cell r="B946">
            <v>813082810400</v>
          </cell>
        </row>
        <row r="947">
          <cell r="B947">
            <v>813084810400</v>
          </cell>
        </row>
        <row r="948">
          <cell r="B948">
            <v>813086810400</v>
          </cell>
        </row>
        <row r="949">
          <cell r="B949">
            <v>813090810400</v>
          </cell>
        </row>
        <row r="950">
          <cell r="B950">
            <v>813092810400</v>
          </cell>
        </row>
        <row r="951">
          <cell r="B951">
            <v>813094810400</v>
          </cell>
        </row>
        <row r="952">
          <cell r="B952">
            <v>813096810400</v>
          </cell>
        </row>
        <row r="953">
          <cell r="B953">
            <v>813100810400</v>
          </cell>
        </row>
        <row r="954">
          <cell r="B954">
            <v>813102810400</v>
          </cell>
        </row>
        <row r="955">
          <cell r="B955">
            <v>813104810400</v>
          </cell>
        </row>
        <row r="956">
          <cell r="B956">
            <v>813106810400</v>
          </cell>
        </row>
        <row r="957">
          <cell r="B957">
            <v>813110810400</v>
          </cell>
        </row>
        <row r="958">
          <cell r="B958">
            <v>813112810400</v>
          </cell>
        </row>
        <row r="959">
          <cell r="B959">
            <v>813114810400</v>
          </cell>
        </row>
        <row r="960">
          <cell r="B960">
            <v>813116810400</v>
          </cell>
        </row>
        <row r="961">
          <cell r="B961">
            <v>814010810500</v>
          </cell>
        </row>
        <row r="962">
          <cell r="B962">
            <v>814020810500</v>
          </cell>
        </row>
        <row r="963">
          <cell r="B963">
            <v>814030810500</v>
          </cell>
        </row>
        <row r="964">
          <cell r="B964">
            <v>814040810500</v>
          </cell>
        </row>
        <row r="965">
          <cell r="B965">
            <v>814050810500</v>
          </cell>
        </row>
        <row r="966">
          <cell r="B966">
            <v>815000810600</v>
          </cell>
        </row>
        <row r="967">
          <cell r="B967">
            <v>815500810600</v>
          </cell>
        </row>
        <row r="968">
          <cell r="B968">
            <v>816000810700</v>
          </cell>
        </row>
        <row r="969">
          <cell r="B969">
            <v>816500810700</v>
          </cell>
        </row>
        <row r="970">
          <cell r="B970">
            <v>816500810750</v>
          </cell>
        </row>
        <row r="971">
          <cell r="B971">
            <v>816505810750</v>
          </cell>
        </row>
        <row r="972">
          <cell r="B972">
            <v>816510810750</v>
          </cell>
        </row>
        <row r="973">
          <cell r="B973">
            <v>816515810750</v>
          </cell>
        </row>
        <row r="974">
          <cell r="B974">
            <v>816520810750</v>
          </cell>
        </row>
        <row r="975">
          <cell r="B975">
            <v>816525810750</v>
          </cell>
        </row>
        <row r="976">
          <cell r="B976">
            <v>816530810750</v>
          </cell>
        </row>
        <row r="977">
          <cell r="B977">
            <v>816535810750</v>
          </cell>
        </row>
        <row r="978">
          <cell r="B978">
            <v>816540810750</v>
          </cell>
        </row>
        <row r="979">
          <cell r="B979">
            <v>816545810750</v>
          </cell>
        </row>
        <row r="980">
          <cell r="B980">
            <v>817000810800</v>
          </cell>
        </row>
        <row r="981">
          <cell r="B981">
            <v>817005810800</v>
          </cell>
        </row>
        <row r="982">
          <cell r="B982">
            <v>817010810800</v>
          </cell>
        </row>
        <row r="983">
          <cell r="B983">
            <v>817015810800</v>
          </cell>
        </row>
        <row r="984">
          <cell r="B984">
            <v>817020810800</v>
          </cell>
        </row>
        <row r="985">
          <cell r="B985">
            <v>817025810800</v>
          </cell>
        </row>
        <row r="986">
          <cell r="B986">
            <v>850000850100</v>
          </cell>
        </row>
        <row r="987">
          <cell r="B987">
            <v>850010850100</v>
          </cell>
        </row>
        <row r="988">
          <cell r="B988">
            <v>850020850100</v>
          </cell>
        </row>
        <row r="989">
          <cell r="B989">
            <v>850030850100</v>
          </cell>
        </row>
        <row r="990">
          <cell r="B990">
            <v>850040850100</v>
          </cell>
        </row>
        <row r="991">
          <cell r="B991">
            <v>850050850100</v>
          </cell>
        </row>
        <row r="992">
          <cell r="B992">
            <v>850060850100</v>
          </cell>
        </row>
        <row r="993">
          <cell r="B993">
            <v>850070850100</v>
          </cell>
        </row>
        <row r="994">
          <cell r="B994">
            <v>850080850100</v>
          </cell>
        </row>
        <row r="995">
          <cell r="B995">
            <v>850090850100</v>
          </cell>
        </row>
        <row r="996">
          <cell r="B996">
            <v>850100850100</v>
          </cell>
        </row>
        <row r="997">
          <cell r="B997">
            <v>850110850100</v>
          </cell>
        </row>
        <row r="998">
          <cell r="B998">
            <v>851000850200</v>
          </cell>
        </row>
        <row r="999">
          <cell r="B999">
            <v>851010850200</v>
          </cell>
        </row>
        <row r="1000">
          <cell r="B1000">
            <v>851012850200</v>
          </cell>
        </row>
        <row r="1001">
          <cell r="B1001">
            <v>851014850200</v>
          </cell>
        </row>
        <row r="1002">
          <cell r="B1002">
            <v>851016850200</v>
          </cell>
        </row>
        <row r="1003">
          <cell r="B1003">
            <v>851018850200</v>
          </cell>
        </row>
        <row r="1004">
          <cell r="B1004">
            <v>851020850200</v>
          </cell>
        </row>
        <row r="1005">
          <cell r="B1005">
            <v>851025850200</v>
          </cell>
        </row>
        <row r="1006">
          <cell r="B1006">
            <v>851050850200</v>
          </cell>
        </row>
        <row r="1007">
          <cell r="B1007">
            <v>852000850300</v>
          </cell>
        </row>
        <row r="1008">
          <cell r="B1008">
            <v>852010850300</v>
          </cell>
        </row>
        <row r="1009">
          <cell r="B1009">
            <v>852015850300</v>
          </cell>
        </row>
        <row r="1010">
          <cell r="B1010">
            <v>852020850300</v>
          </cell>
        </row>
        <row r="1011">
          <cell r="B1011">
            <v>852030850300</v>
          </cell>
        </row>
        <row r="1012">
          <cell r="B1012">
            <v>852040850300</v>
          </cell>
        </row>
        <row r="1013">
          <cell r="B1013">
            <v>852050850300</v>
          </cell>
        </row>
        <row r="1014">
          <cell r="B1014">
            <v>852060850300</v>
          </cell>
        </row>
        <row r="1015">
          <cell r="B1015">
            <v>852070850300</v>
          </cell>
        </row>
        <row r="1016">
          <cell r="B1016">
            <v>852080850300</v>
          </cell>
        </row>
        <row r="1017">
          <cell r="B1017">
            <v>852090850300</v>
          </cell>
        </row>
        <row r="1018">
          <cell r="B1018">
            <v>852100850300</v>
          </cell>
        </row>
        <row r="1019">
          <cell r="B1019">
            <v>852110850300</v>
          </cell>
        </row>
        <row r="1020">
          <cell r="B1020">
            <v>852120850300</v>
          </cell>
        </row>
        <row r="1021">
          <cell r="B1021">
            <v>852130850300</v>
          </cell>
        </row>
        <row r="1022">
          <cell r="B1022">
            <v>852140850300</v>
          </cell>
        </row>
        <row r="1023">
          <cell r="B1023">
            <v>852150850300</v>
          </cell>
        </row>
        <row r="1024">
          <cell r="B1024">
            <v>852160850300</v>
          </cell>
        </row>
        <row r="1025">
          <cell r="B1025">
            <v>852170850300</v>
          </cell>
        </row>
        <row r="1026">
          <cell r="B1026">
            <v>852180850300</v>
          </cell>
        </row>
        <row r="1027">
          <cell r="B1027">
            <v>852190850300</v>
          </cell>
        </row>
        <row r="1028">
          <cell r="B1028">
            <v>852200850300</v>
          </cell>
        </row>
        <row r="1029">
          <cell r="B1029">
            <v>852210850300</v>
          </cell>
        </row>
        <row r="1030">
          <cell r="B1030">
            <v>853000850400</v>
          </cell>
        </row>
        <row r="1031">
          <cell r="B1031">
            <v>853010850400</v>
          </cell>
        </row>
        <row r="1032">
          <cell r="B1032">
            <v>853020850400</v>
          </cell>
        </row>
        <row r="1033">
          <cell r="B1033">
            <v>853030850400</v>
          </cell>
        </row>
        <row r="1034">
          <cell r="B1034">
            <v>853040850400</v>
          </cell>
        </row>
        <row r="1035">
          <cell r="B1035">
            <v>853050850400</v>
          </cell>
        </row>
        <row r="1036">
          <cell r="B1036">
            <v>853060850400</v>
          </cell>
        </row>
        <row r="1037">
          <cell r="B1037">
            <v>853070850400</v>
          </cell>
        </row>
        <row r="1038">
          <cell r="B1038">
            <v>853075850400</v>
          </cell>
        </row>
        <row r="1039">
          <cell r="B1039">
            <v>853080850400</v>
          </cell>
        </row>
        <row r="1040">
          <cell r="B1040">
            <v>853090850400</v>
          </cell>
        </row>
        <row r="1041">
          <cell r="B1041">
            <v>853100850400</v>
          </cell>
        </row>
        <row r="1042">
          <cell r="B1042">
            <v>853110850400</v>
          </cell>
        </row>
        <row r="1043">
          <cell r="B1043">
            <v>853120850400</v>
          </cell>
        </row>
        <row r="1044">
          <cell r="B1044">
            <v>853130850400</v>
          </cell>
        </row>
        <row r="1045">
          <cell r="B1045">
            <v>853140850400</v>
          </cell>
        </row>
        <row r="1046">
          <cell r="B1046">
            <v>853150850400</v>
          </cell>
        </row>
        <row r="1047">
          <cell r="B1047">
            <v>853160850400</v>
          </cell>
        </row>
        <row r="1048">
          <cell r="B1048">
            <v>853170850400</v>
          </cell>
        </row>
        <row r="1049">
          <cell r="B1049">
            <v>853180850400</v>
          </cell>
        </row>
        <row r="1050">
          <cell r="B1050">
            <v>853190850400</v>
          </cell>
        </row>
        <row r="1051">
          <cell r="B1051">
            <v>853300850410</v>
          </cell>
        </row>
        <row r="1052">
          <cell r="B1052">
            <v>853310850410</v>
          </cell>
        </row>
        <row r="1053">
          <cell r="B1053">
            <v>853320850410</v>
          </cell>
        </row>
        <row r="1054">
          <cell r="B1054">
            <v>853330850410</v>
          </cell>
        </row>
        <row r="1055">
          <cell r="B1055">
            <v>853340850410</v>
          </cell>
        </row>
        <row r="1056">
          <cell r="B1056">
            <v>853350850410</v>
          </cell>
        </row>
        <row r="1057">
          <cell r="B1057">
            <v>855000850500</v>
          </cell>
        </row>
        <row r="1058">
          <cell r="B1058">
            <v>855010850500</v>
          </cell>
        </row>
        <row r="1059">
          <cell r="B1059">
            <v>855020850500</v>
          </cell>
        </row>
        <row r="1060">
          <cell r="B1060">
            <v>855030850500</v>
          </cell>
        </row>
        <row r="1061">
          <cell r="B1061">
            <v>855040850500</v>
          </cell>
        </row>
        <row r="1062">
          <cell r="B1062">
            <v>855050850500</v>
          </cell>
        </row>
        <row r="1063">
          <cell r="B1063">
            <v>855060850500</v>
          </cell>
        </row>
        <row r="1064">
          <cell r="B1064">
            <v>855070850500</v>
          </cell>
        </row>
        <row r="1065">
          <cell r="B1065">
            <v>855080850500</v>
          </cell>
        </row>
        <row r="1066">
          <cell r="B1066">
            <v>855090850500</v>
          </cell>
        </row>
        <row r="1067">
          <cell r="B1067">
            <v>855100850500</v>
          </cell>
        </row>
        <row r="1068">
          <cell r="B1068">
            <v>855110850500</v>
          </cell>
        </row>
        <row r="1069">
          <cell r="B1069">
            <v>855120850500</v>
          </cell>
        </row>
        <row r="1070">
          <cell r="B1070">
            <v>900000900100</v>
          </cell>
        </row>
        <row r="1071">
          <cell r="B1071">
            <v>900010900100</v>
          </cell>
        </row>
        <row r="1072">
          <cell r="B1072">
            <v>900020900100</v>
          </cell>
        </row>
        <row r="1073">
          <cell r="B1073">
            <v>900025900100</v>
          </cell>
        </row>
        <row r="1074">
          <cell r="B1074">
            <v>900030900100</v>
          </cell>
        </row>
        <row r="1075">
          <cell r="B1075">
            <v>900040900100</v>
          </cell>
        </row>
        <row r="1076">
          <cell r="B1076">
            <v>900041900100</v>
          </cell>
        </row>
        <row r="1077">
          <cell r="B1077">
            <v>900042900100</v>
          </cell>
        </row>
        <row r="1078">
          <cell r="B1078">
            <v>900043900100</v>
          </cell>
        </row>
        <row r="1079">
          <cell r="B1079">
            <v>900044900100</v>
          </cell>
        </row>
        <row r="1080">
          <cell r="B1080">
            <v>900045900100</v>
          </cell>
        </row>
        <row r="1081">
          <cell r="B1081">
            <v>900046900100</v>
          </cell>
        </row>
        <row r="1082">
          <cell r="B1082">
            <v>900047900100</v>
          </cell>
        </row>
        <row r="1083">
          <cell r="B1083">
            <v>900048900100</v>
          </cell>
        </row>
        <row r="1084">
          <cell r="B1084">
            <v>900049900100</v>
          </cell>
        </row>
        <row r="1085">
          <cell r="B1085">
            <v>900050900100</v>
          </cell>
        </row>
        <row r="1086">
          <cell r="B1086">
            <v>900051900100</v>
          </cell>
        </row>
        <row r="1087">
          <cell r="B1087">
            <v>900052900100</v>
          </cell>
        </row>
        <row r="1088">
          <cell r="B1088">
            <v>900053900100</v>
          </cell>
        </row>
        <row r="1089">
          <cell r="B1089">
            <v>900054900100</v>
          </cell>
        </row>
        <row r="1090">
          <cell r="B1090">
            <v>900055900100</v>
          </cell>
        </row>
        <row r="1091">
          <cell r="B1091">
            <v>900056900100</v>
          </cell>
        </row>
        <row r="1092">
          <cell r="B1092">
            <v>900057900100</v>
          </cell>
        </row>
        <row r="1093">
          <cell r="B1093">
            <v>900058900100</v>
          </cell>
        </row>
        <row r="1094">
          <cell r="B1094">
            <v>900059900100</v>
          </cell>
        </row>
        <row r="1095">
          <cell r="B1095">
            <v>900060900100</v>
          </cell>
        </row>
        <row r="1096">
          <cell r="B1096">
            <v>900061900100</v>
          </cell>
        </row>
        <row r="1097">
          <cell r="B1097">
            <v>900062900100</v>
          </cell>
        </row>
        <row r="1098">
          <cell r="B1098">
            <v>900063900100</v>
          </cell>
        </row>
        <row r="1099">
          <cell r="B1099">
            <v>900064900100</v>
          </cell>
        </row>
        <row r="1100">
          <cell r="B1100">
            <v>900065900100</v>
          </cell>
        </row>
        <row r="1101">
          <cell r="B1101">
            <v>900066900100</v>
          </cell>
        </row>
        <row r="1102">
          <cell r="B1102">
            <v>901030900110</v>
          </cell>
        </row>
        <row r="1103">
          <cell r="B1103">
            <v>902010900120</v>
          </cell>
        </row>
        <row r="1104">
          <cell r="B1104">
            <v>902020900120</v>
          </cell>
        </row>
        <row r="1105">
          <cell r="B1105">
            <v>904010900140</v>
          </cell>
        </row>
        <row r="1106">
          <cell r="B1106">
            <v>904020900140</v>
          </cell>
        </row>
        <row r="1107">
          <cell r="B1107">
            <v>904030900140</v>
          </cell>
        </row>
        <row r="1108">
          <cell r="B1108">
            <v>904040900140</v>
          </cell>
        </row>
        <row r="1109">
          <cell r="B1109">
            <v>904050900140</v>
          </cell>
        </row>
        <row r="1110">
          <cell r="B1110">
            <v>904060900140</v>
          </cell>
        </row>
        <row r="1111">
          <cell r="B1111">
            <v>904070900140</v>
          </cell>
        </row>
        <row r="1112">
          <cell r="B1112">
            <v>904080900140</v>
          </cell>
        </row>
        <row r="1113">
          <cell r="B1113">
            <v>904090900140</v>
          </cell>
        </row>
        <row r="1114">
          <cell r="B1114">
            <v>904100900140</v>
          </cell>
        </row>
        <row r="1115">
          <cell r="B1115">
            <v>904110900140</v>
          </cell>
        </row>
        <row r="1116">
          <cell r="B1116">
            <v>904120900140</v>
          </cell>
        </row>
        <row r="1117">
          <cell r="B1117">
            <v>904130900140</v>
          </cell>
        </row>
        <row r="1118">
          <cell r="B1118">
            <v>904140900140</v>
          </cell>
        </row>
        <row r="1119">
          <cell r="B1119">
            <v>904150900140</v>
          </cell>
        </row>
        <row r="1120">
          <cell r="B1120">
            <v>904160900140</v>
          </cell>
        </row>
        <row r="1121">
          <cell r="B1121">
            <v>904170900140</v>
          </cell>
        </row>
        <row r="1122">
          <cell r="B1122">
            <v>904180900140</v>
          </cell>
        </row>
        <row r="1123">
          <cell r="B1123">
            <v>904190900140</v>
          </cell>
        </row>
        <row r="1124">
          <cell r="B1124">
            <v>904200900140</v>
          </cell>
        </row>
        <row r="1125">
          <cell r="B1125">
            <v>910000910100</v>
          </cell>
        </row>
        <row r="1126">
          <cell r="B1126">
            <v>910010910100</v>
          </cell>
        </row>
        <row r="1127">
          <cell r="B1127">
            <v>910020910100</v>
          </cell>
        </row>
        <row r="1128">
          <cell r="B1128">
            <v>910030910100</v>
          </cell>
        </row>
        <row r="1129">
          <cell r="B1129">
            <v>910035910100</v>
          </cell>
        </row>
        <row r="1130">
          <cell r="B1130">
            <v>910040910100</v>
          </cell>
        </row>
        <row r="1131">
          <cell r="B1131">
            <v>910050910100</v>
          </cell>
        </row>
        <row r="1132">
          <cell r="B1132">
            <v>910060910100</v>
          </cell>
        </row>
        <row r="1133">
          <cell r="B1133">
            <v>910070910100</v>
          </cell>
        </row>
        <row r="1134">
          <cell r="B1134">
            <v>910075910100</v>
          </cell>
        </row>
        <row r="1135">
          <cell r="B1135">
            <v>910080910100</v>
          </cell>
        </row>
        <row r="1136">
          <cell r="B1136">
            <v>910090910100</v>
          </cell>
        </row>
        <row r="1137">
          <cell r="B1137">
            <v>910100910100</v>
          </cell>
        </row>
        <row r="1138">
          <cell r="B1138">
            <v>910110910100</v>
          </cell>
        </row>
        <row r="1139">
          <cell r="B1139">
            <v>910120910100</v>
          </cell>
        </row>
        <row r="1140">
          <cell r="B1140">
            <v>910130910100</v>
          </cell>
        </row>
        <row r="1141">
          <cell r="B1141">
            <v>910140910100</v>
          </cell>
        </row>
        <row r="1142">
          <cell r="B1142">
            <v>940000940000</v>
          </cell>
        </row>
        <row r="1143">
          <cell r="B1143">
            <v>940010940000</v>
          </cell>
        </row>
        <row r="1144">
          <cell r="B1144">
            <v>940020940000</v>
          </cell>
        </row>
        <row r="1145">
          <cell r="B1145">
            <v>940030940000</v>
          </cell>
        </row>
        <row r="1146">
          <cell r="B1146">
            <v>940000940010</v>
          </cell>
        </row>
        <row r="1147">
          <cell r="B1147">
            <v>940010940010</v>
          </cell>
        </row>
        <row r="1148">
          <cell r="B1148">
            <v>940020940010</v>
          </cell>
        </row>
        <row r="1149">
          <cell r="B1149">
            <v>940030940010</v>
          </cell>
        </row>
        <row r="1150">
          <cell r="B1150">
            <v>940040940010</v>
          </cell>
        </row>
        <row r="1151">
          <cell r="B1151">
            <v>940050940010</v>
          </cell>
        </row>
        <row r="1152">
          <cell r="B1152">
            <v>940060940010</v>
          </cell>
        </row>
        <row r="1153">
          <cell r="B1153">
            <v>940070940010</v>
          </cell>
        </row>
        <row r="1154">
          <cell r="B1154">
            <v>940080940010</v>
          </cell>
        </row>
        <row r="1155">
          <cell r="B1155">
            <v>940090940010</v>
          </cell>
        </row>
        <row r="1156">
          <cell r="B1156">
            <v>940100940010</v>
          </cell>
        </row>
        <row r="1157">
          <cell r="B1157">
            <v>940110940010</v>
          </cell>
        </row>
        <row r="1158">
          <cell r="B1158">
            <v>940120940010</v>
          </cell>
        </row>
        <row r="1159">
          <cell r="B1159">
            <v>940130940010</v>
          </cell>
        </row>
        <row r="1160">
          <cell r="B1160">
            <v>941000940100</v>
          </cell>
        </row>
        <row r="1161">
          <cell r="B1161">
            <v>941010940100</v>
          </cell>
        </row>
        <row r="1162">
          <cell r="B1162">
            <v>941020940100</v>
          </cell>
        </row>
        <row r="1163">
          <cell r="B1163">
            <v>941030940100</v>
          </cell>
        </row>
        <row r="1164">
          <cell r="B1164">
            <v>941040940100</v>
          </cell>
        </row>
        <row r="1165">
          <cell r="B1165">
            <v>941050940100</v>
          </cell>
        </row>
        <row r="1166">
          <cell r="B1166">
            <v>942000940220</v>
          </cell>
        </row>
        <row r="1167">
          <cell r="B1167">
            <v>942010940220</v>
          </cell>
        </row>
        <row r="1168">
          <cell r="B1168">
            <v>942020940220</v>
          </cell>
        </row>
        <row r="1169">
          <cell r="B1169">
            <v>942030940220</v>
          </cell>
        </row>
        <row r="1170">
          <cell r="B1170">
            <v>942040940220</v>
          </cell>
        </row>
        <row r="1171">
          <cell r="B1171">
            <v>942050940220</v>
          </cell>
        </row>
        <row r="1172">
          <cell r="B1172">
            <v>942060940220</v>
          </cell>
        </row>
        <row r="1173">
          <cell r="B1173">
            <v>942070940220</v>
          </cell>
        </row>
        <row r="1174">
          <cell r="B1174">
            <v>942080940220</v>
          </cell>
        </row>
        <row r="1175">
          <cell r="B1175">
            <v>942090940220</v>
          </cell>
        </row>
        <row r="1176">
          <cell r="B1176">
            <v>942100940220</v>
          </cell>
        </row>
        <row r="1177">
          <cell r="B1177">
            <v>942110940220</v>
          </cell>
        </row>
        <row r="1178">
          <cell r="B1178">
            <v>942120940220</v>
          </cell>
        </row>
        <row r="1179">
          <cell r="B1179">
            <v>942130940220</v>
          </cell>
        </row>
        <row r="1180">
          <cell r="B1180">
            <v>942140940220</v>
          </cell>
        </row>
        <row r="1181">
          <cell r="B1181">
            <v>942150940220</v>
          </cell>
        </row>
        <row r="1182">
          <cell r="B1182">
            <v>942160940220</v>
          </cell>
        </row>
        <row r="1183">
          <cell r="B1183">
            <v>942170940220</v>
          </cell>
        </row>
        <row r="1184">
          <cell r="B1184">
            <v>942175940220</v>
          </cell>
        </row>
        <row r="1185">
          <cell r="B1185">
            <v>942180940220</v>
          </cell>
        </row>
        <row r="1186">
          <cell r="B1186">
            <v>942190940220</v>
          </cell>
        </row>
        <row r="1187">
          <cell r="B1187">
            <v>942200940220</v>
          </cell>
        </row>
        <row r="1188">
          <cell r="B1188">
            <v>942210940220</v>
          </cell>
        </row>
        <row r="1189">
          <cell r="B1189">
            <v>942220940220</v>
          </cell>
        </row>
        <row r="1190">
          <cell r="B1190">
            <v>942230940220</v>
          </cell>
        </row>
        <row r="1191">
          <cell r="B1191">
            <v>942240940220</v>
          </cell>
        </row>
        <row r="1192">
          <cell r="B1192">
            <v>942250940220</v>
          </cell>
        </row>
        <row r="1193">
          <cell r="B1193">
            <v>942260940220</v>
          </cell>
        </row>
        <row r="1194">
          <cell r="B1194">
            <v>942270940220</v>
          </cell>
        </row>
        <row r="1195">
          <cell r="B1195">
            <v>942280940220</v>
          </cell>
        </row>
        <row r="1196">
          <cell r="B1196">
            <v>942290940220</v>
          </cell>
        </row>
        <row r="1197">
          <cell r="B1197">
            <v>942300940220</v>
          </cell>
        </row>
        <row r="1198">
          <cell r="B1198">
            <v>942310940220</v>
          </cell>
        </row>
        <row r="1199">
          <cell r="B1199">
            <v>942320940220</v>
          </cell>
        </row>
        <row r="1200">
          <cell r="B1200">
            <v>942330940220</v>
          </cell>
        </row>
        <row r="1201">
          <cell r="B1201">
            <v>942340940220</v>
          </cell>
        </row>
        <row r="1202">
          <cell r="B1202">
            <v>942350940220</v>
          </cell>
        </row>
        <row r="1203">
          <cell r="B1203">
            <v>942360940220</v>
          </cell>
        </row>
        <row r="1204">
          <cell r="B1204">
            <v>942370940220</v>
          </cell>
        </row>
        <row r="1205">
          <cell r="B1205">
            <v>942380940220</v>
          </cell>
        </row>
        <row r="1206">
          <cell r="B1206">
            <v>942390940220</v>
          </cell>
        </row>
        <row r="1207">
          <cell r="B1207">
            <v>942400940220</v>
          </cell>
        </row>
        <row r="1208">
          <cell r="B1208">
            <v>942410940220</v>
          </cell>
        </row>
        <row r="1209">
          <cell r="B1209">
            <v>942420940220</v>
          </cell>
        </row>
        <row r="1210">
          <cell r="B1210">
            <v>942430940220</v>
          </cell>
        </row>
        <row r="1211">
          <cell r="B1211">
            <v>942435940220</v>
          </cell>
        </row>
        <row r="1212">
          <cell r="B1212">
            <v>942440940220</v>
          </cell>
        </row>
        <row r="1213">
          <cell r="B1213">
            <v>942450940220</v>
          </cell>
        </row>
        <row r="1214">
          <cell r="B1214">
            <v>942460940220</v>
          </cell>
        </row>
        <row r="1215">
          <cell r="B1215">
            <v>942470940220</v>
          </cell>
        </row>
        <row r="1216">
          <cell r="B1216">
            <v>942480940220</v>
          </cell>
        </row>
        <row r="1217">
          <cell r="B1217">
            <v>942490940220</v>
          </cell>
        </row>
        <row r="1218">
          <cell r="B1218">
            <v>942500940220</v>
          </cell>
        </row>
        <row r="1219">
          <cell r="B1219">
            <v>942510940220</v>
          </cell>
        </row>
        <row r="1220">
          <cell r="B1220">
            <v>942520940220</v>
          </cell>
        </row>
        <row r="1221">
          <cell r="B1221">
            <v>942530940220</v>
          </cell>
        </row>
        <row r="1222">
          <cell r="B1222">
            <v>942540940220</v>
          </cell>
        </row>
        <row r="1223">
          <cell r="B1223">
            <v>942550940220</v>
          </cell>
        </row>
        <row r="1224">
          <cell r="B1224">
            <v>942560940220</v>
          </cell>
        </row>
        <row r="1225">
          <cell r="B1225">
            <v>942570940220</v>
          </cell>
        </row>
        <row r="1226">
          <cell r="B1226">
            <v>944000940400</v>
          </cell>
        </row>
        <row r="1227">
          <cell r="B1227">
            <v>944005940400</v>
          </cell>
        </row>
        <row r="1228">
          <cell r="B1228">
            <v>944010940400</v>
          </cell>
        </row>
        <row r="1229">
          <cell r="B1229">
            <v>944015940400</v>
          </cell>
        </row>
        <row r="1230">
          <cell r="B1230">
            <v>944020940400</v>
          </cell>
        </row>
        <row r="1231">
          <cell r="B1231">
            <v>944025940400</v>
          </cell>
        </row>
        <row r="1232">
          <cell r="B1232">
            <v>944030940400</v>
          </cell>
        </row>
        <row r="1233">
          <cell r="B1233">
            <v>944035940400</v>
          </cell>
        </row>
        <row r="1234">
          <cell r="B1234">
            <v>944040940400</v>
          </cell>
        </row>
        <row r="1235">
          <cell r="B1235">
            <v>944045940400</v>
          </cell>
        </row>
        <row r="1236">
          <cell r="B1236">
            <v>945000940500</v>
          </cell>
        </row>
        <row r="1237">
          <cell r="B1237">
            <v>945005940500</v>
          </cell>
        </row>
        <row r="1238">
          <cell r="B1238">
            <v>945010940500</v>
          </cell>
        </row>
        <row r="1239">
          <cell r="B1239">
            <v>945015940500</v>
          </cell>
        </row>
        <row r="1240">
          <cell r="B1240">
            <v>945020940500</v>
          </cell>
        </row>
        <row r="1241">
          <cell r="B1241">
            <v>945025940500</v>
          </cell>
        </row>
        <row r="1242">
          <cell r="B1242">
            <v>945030940500</v>
          </cell>
        </row>
        <row r="1243">
          <cell r="B1243">
            <v>945035940500</v>
          </cell>
        </row>
        <row r="1244">
          <cell r="B1244">
            <v>945040940500</v>
          </cell>
        </row>
        <row r="1245">
          <cell r="B1245">
            <v>945045940500</v>
          </cell>
        </row>
        <row r="1246">
          <cell r="B1246">
            <v>945050940500</v>
          </cell>
        </row>
        <row r="1247">
          <cell r="B1247">
            <v>945055940500</v>
          </cell>
        </row>
        <row r="1248">
          <cell r="B1248">
            <v>945060940500</v>
          </cell>
        </row>
        <row r="1249">
          <cell r="B1249">
            <v>945065940500</v>
          </cell>
        </row>
        <row r="1250">
          <cell r="B1250">
            <v>945070940500</v>
          </cell>
        </row>
        <row r="1251">
          <cell r="B1251">
            <v>945075940500</v>
          </cell>
        </row>
        <row r="1252">
          <cell r="B1252">
            <v>945080940500</v>
          </cell>
        </row>
        <row r="1253">
          <cell r="B1253">
            <v>945085940500</v>
          </cell>
        </row>
        <row r="1254">
          <cell r="B1254">
            <v>946000940600</v>
          </cell>
        </row>
        <row r="1255">
          <cell r="B1255">
            <v>946010940600</v>
          </cell>
        </row>
        <row r="1256">
          <cell r="B1256">
            <v>946020940600</v>
          </cell>
        </row>
        <row r="1257">
          <cell r="B1257">
            <v>946030940600</v>
          </cell>
        </row>
        <row r="1258">
          <cell r="B1258">
            <v>960000960100</v>
          </cell>
        </row>
        <row r="1259">
          <cell r="B1259">
            <v>960010960100</v>
          </cell>
        </row>
        <row r="1260">
          <cell r="B1260">
            <v>981000981100</v>
          </cell>
        </row>
        <row r="1261">
          <cell r="B1261">
            <v>981010981100</v>
          </cell>
        </row>
        <row r="1262">
          <cell r="B1262">
            <v>981020981100</v>
          </cell>
        </row>
        <row r="1263">
          <cell r="B1263">
            <v>981030981100</v>
          </cell>
        </row>
        <row r="1264">
          <cell r="B1264">
            <v>981040981100</v>
          </cell>
        </row>
        <row r="1265">
          <cell r="B1265">
            <v>981050981100</v>
          </cell>
        </row>
        <row r="1266">
          <cell r="B1266">
            <v>981060981100</v>
          </cell>
        </row>
        <row r="1267">
          <cell r="B1267">
            <v>981070981100</v>
          </cell>
        </row>
        <row r="1268">
          <cell r="B1268">
            <v>981080981100</v>
          </cell>
        </row>
        <row r="1269">
          <cell r="B1269">
            <v>981090981100</v>
          </cell>
        </row>
        <row r="1270">
          <cell r="B1270">
            <v>981100981100</v>
          </cell>
        </row>
        <row r="1271">
          <cell r="B1271">
            <v>981110981100</v>
          </cell>
        </row>
        <row r="1272">
          <cell r="B1272">
            <v>981120981100</v>
          </cell>
        </row>
        <row r="1273">
          <cell r="B1273">
            <v>981130981100</v>
          </cell>
        </row>
        <row r="1274">
          <cell r="B1274">
            <v>981140981100</v>
          </cell>
        </row>
        <row r="1275">
          <cell r="B1275">
            <v>981150981100</v>
          </cell>
        </row>
        <row r="1276">
          <cell r="B1276">
            <v>981160981100</v>
          </cell>
        </row>
        <row r="1277">
          <cell r="B1277">
            <v>981170981100</v>
          </cell>
        </row>
        <row r="1278">
          <cell r="B1278">
            <v>981180981100</v>
          </cell>
        </row>
        <row r="1279">
          <cell r="B1279">
            <v>981190981100</v>
          </cell>
        </row>
        <row r="1280">
          <cell r="B1280">
            <v>981200981100</v>
          </cell>
        </row>
        <row r="1281">
          <cell r="B1281">
            <v>981210981100</v>
          </cell>
        </row>
        <row r="1282">
          <cell r="B1282">
            <v>981220981100</v>
          </cell>
        </row>
        <row r="1283">
          <cell r="B1283">
            <v>981230981100</v>
          </cell>
        </row>
        <row r="1284">
          <cell r="B1284">
            <v>981240981100</v>
          </cell>
        </row>
        <row r="1285">
          <cell r="B1285">
            <v>981250981100</v>
          </cell>
        </row>
        <row r="1286">
          <cell r="B1286">
            <v>981260981100</v>
          </cell>
        </row>
        <row r="1287">
          <cell r="B1287">
            <v>981270981100</v>
          </cell>
        </row>
        <row r="1288">
          <cell r="B1288">
            <v>981280981100</v>
          </cell>
        </row>
        <row r="1289">
          <cell r="B1289">
            <v>981290981100</v>
          </cell>
        </row>
        <row r="1290">
          <cell r="B1290">
            <v>981300981100</v>
          </cell>
        </row>
        <row r="1291">
          <cell r="B1291">
            <v>981310981100</v>
          </cell>
        </row>
        <row r="1292">
          <cell r="B1292">
            <v>981320981100</v>
          </cell>
        </row>
        <row r="1293">
          <cell r="B1293">
            <v>981330981100</v>
          </cell>
        </row>
        <row r="1294">
          <cell r="B1294">
            <v>981340981100</v>
          </cell>
        </row>
        <row r="1295">
          <cell r="B1295">
            <v>981350981100</v>
          </cell>
        </row>
        <row r="1296">
          <cell r="B1296">
            <v>981360981100</v>
          </cell>
        </row>
        <row r="1297">
          <cell r="B1297">
            <v>981370981100</v>
          </cell>
        </row>
        <row r="1298">
          <cell r="B1298">
            <v>981373981100</v>
          </cell>
        </row>
        <row r="1299">
          <cell r="B1299">
            <v>981375981100</v>
          </cell>
        </row>
        <row r="1300">
          <cell r="B1300">
            <v>981377981100</v>
          </cell>
        </row>
        <row r="1301">
          <cell r="B1301">
            <v>981379981100</v>
          </cell>
        </row>
        <row r="1302">
          <cell r="B1302">
            <v>981380981100</v>
          </cell>
        </row>
        <row r="1303">
          <cell r="B1303">
            <v>981381981100</v>
          </cell>
        </row>
        <row r="1304">
          <cell r="B1304">
            <v>981390981100</v>
          </cell>
        </row>
        <row r="1305">
          <cell r="B1305">
            <v>981400981100</v>
          </cell>
        </row>
        <row r="1306">
          <cell r="B1306">
            <v>981410981100</v>
          </cell>
        </row>
        <row r="1307">
          <cell r="B1307">
            <v>981420981100</v>
          </cell>
        </row>
        <row r="1308">
          <cell r="B1308">
            <v>981430981100</v>
          </cell>
        </row>
        <row r="1309">
          <cell r="B1309">
            <v>981440981100</v>
          </cell>
        </row>
        <row r="1310">
          <cell r="B1310">
            <v>981450981100</v>
          </cell>
        </row>
        <row r="1311">
          <cell r="B1311">
            <v>981460981100</v>
          </cell>
        </row>
        <row r="1312">
          <cell r="B1312">
            <v>981470981100</v>
          </cell>
        </row>
        <row r="1313">
          <cell r="B1313">
            <v>981480981100</v>
          </cell>
        </row>
        <row r="1314">
          <cell r="B1314">
            <v>981490981100</v>
          </cell>
        </row>
        <row r="1315">
          <cell r="B1315">
            <v>981500981100</v>
          </cell>
        </row>
        <row r="1316">
          <cell r="B1316">
            <v>982000981110</v>
          </cell>
        </row>
        <row r="1317">
          <cell r="B1317">
            <v>982010981110</v>
          </cell>
        </row>
        <row r="1318">
          <cell r="B1318">
            <v>982020981110</v>
          </cell>
        </row>
        <row r="1319">
          <cell r="B1319">
            <v>982030981110</v>
          </cell>
        </row>
        <row r="1320">
          <cell r="B1320">
            <v>982040981110</v>
          </cell>
        </row>
        <row r="1321">
          <cell r="B1321">
            <v>982050981110</v>
          </cell>
        </row>
        <row r="1322">
          <cell r="B1322">
            <v>982060981110</v>
          </cell>
        </row>
        <row r="1323">
          <cell r="B1323">
            <v>982070981110</v>
          </cell>
        </row>
        <row r="1324">
          <cell r="B1324">
            <v>982080981110</v>
          </cell>
        </row>
        <row r="1325">
          <cell r="B1325">
            <v>982090981110</v>
          </cell>
        </row>
        <row r="1326">
          <cell r="B1326">
            <v>982100981110</v>
          </cell>
        </row>
        <row r="1327">
          <cell r="B1327">
            <v>982110981110</v>
          </cell>
        </row>
        <row r="1328">
          <cell r="B1328">
            <v>982120981110</v>
          </cell>
        </row>
        <row r="1329">
          <cell r="B1329">
            <v>982130981110</v>
          </cell>
        </row>
        <row r="1330">
          <cell r="B1330">
            <v>982140981110</v>
          </cell>
        </row>
        <row r="1331">
          <cell r="B1331">
            <v>982150981110</v>
          </cell>
        </row>
        <row r="1332">
          <cell r="B1332">
            <v>982160981110</v>
          </cell>
        </row>
        <row r="1333">
          <cell r="B1333">
            <v>982170981110</v>
          </cell>
        </row>
        <row r="1334">
          <cell r="B1334">
            <v>982180981110</v>
          </cell>
        </row>
        <row r="1335">
          <cell r="B1335">
            <v>982190981110</v>
          </cell>
        </row>
        <row r="1336">
          <cell r="B1336">
            <v>982200981110</v>
          </cell>
        </row>
        <row r="1337">
          <cell r="B1337">
            <v>982210981110</v>
          </cell>
        </row>
        <row r="1338">
          <cell r="B1338">
            <v>982220981110</v>
          </cell>
        </row>
        <row r="1339">
          <cell r="B1339">
            <v>982230981110</v>
          </cell>
        </row>
        <row r="1340">
          <cell r="B1340">
            <v>982240981110</v>
          </cell>
        </row>
        <row r="1341">
          <cell r="B1341">
            <v>982250981110</v>
          </cell>
        </row>
        <row r="1342">
          <cell r="B1342">
            <v>982252981110</v>
          </cell>
        </row>
        <row r="1343">
          <cell r="B1343">
            <v>982254981110</v>
          </cell>
        </row>
        <row r="1344">
          <cell r="B1344">
            <v>982256981110</v>
          </cell>
        </row>
        <row r="1345">
          <cell r="B1345">
            <v>982258981110</v>
          </cell>
        </row>
        <row r="1346">
          <cell r="B1346">
            <v>982260981110</v>
          </cell>
        </row>
        <row r="1347">
          <cell r="B1347">
            <v>982262981110</v>
          </cell>
        </row>
        <row r="1348">
          <cell r="B1348">
            <v>982263981110</v>
          </cell>
        </row>
        <row r="1349">
          <cell r="B1349">
            <v>982264981110</v>
          </cell>
        </row>
        <row r="1350">
          <cell r="B1350">
            <v>982265981110</v>
          </cell>
        </row>
        <row r="1351">
          <cell r="B1351">
            <v>982266981110</v>
          </cell>
        </row>
        <row r="1352">
          <cell r="B1352">
            <v>982267981110</v>
          </cell>
        </row>
        <row r="1353">
          <cell r="B1353">
            <v>982268981110</v>
          </cell>
        </row>
        <row r="1354">
          <cell r="B1354">
            <v>982269981110</v>
          </cell>
        </row>
        <row r="1355">
          <cell r="B1355">
            <v>982270981110</v>
          </cell>
        </row>
        <row r="1356">
          <cell r="B1356">
            <v>982271981110</v>
          </cell>
        </row>
        <row r="1357">
          <cell r="B1357">
            <v>982272981110</v>
          </cell>
        </row>
        <row r="1358">
          <cell r="B1358">
            <v>982273981110</v>
          </cell>
        </row>
        <row r="1359">
          <cell r="B1359">
            <v>982274981110</v>
          </cell>
        </row>
        <row r="1360">
          <cell r="B1360">
            <v>982275981110</v>
          </cell>
        </row>
        <row r="1361">
          <cell r="B1361">
            <v>982276981110</v>
          </cell>
        </row>
        <row r="1362">
          <cell r="B1362">
            <v>982277981110</v>
          </cell>
        </row>
        <row r="1363">
          <cell r="B1363">
            <v>982278981110</v>
          </cell>
        </row>
        <row r="1364">
          <cell r="B1364">
            <v>982279981110</v>
          </cell>
        </row>
        <row r="1365">
          <cell r="B1365">
            <v>982280981110</v>
          </cell>
        </row>
        <row r="1366">
          <cell r="B1366">
            <v>982285981110</v>
          </cell>
        </row>
        <row r="1367">
          <cell r="B1367">
            <v>982281981110</v>
          </cell>
        </row>
        <row r="1368">
          <cell r="B1368">
            <v>982282981110</v>
          </cell>
        </row>
        <row r="1369">
          <cell r="B1369">
            <v>982283981110</v>
          </cell>
        </row>
        <row r="1370">
          <cell r="B1370">
            <v>991000999999</v>
          </cell>
        </row>
        <row r="1371">
          <cell r="B1371">
            <v>991010999999</v>
          </cell>
        </row>
        <row r="1372">
          <cell r="B1372">
            <v>994000999999</v>
          </cell>
        </row>
        <row r="1373">
          <cell r="B1373">
            <v>999500999999</v>
          </cell>
        </row>
        <row r="1374">
          <cell r="B1374">
            <v>999510999999</v>
          </cell>
        </row>
        <row r="1375">
          <cell r="B1375">
            <v>999520999999</v>
          </cell>
        </row>
        <row r="1376">
          <cell r="B1376">
            <v>999530999999</v>
          </cell>
        </row>
        <row r="1377">
          <cell r="B1377">
            <v>999540999999</v>
          </cell>
        </row>
      </sheetData>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y'06"/>
      <sheetName val="Feb'07"/>
      <sheetName val="Oct'06"/>
      <sheetName val="Tickmarks"/>
    </sheetNames>
    <sheetDataSet>
      <sheetData sheetId="0"/>
      <sheetData sheetId="1" refreshError="1">
        <row r="4">
          <cell r="G4">
            <v>24.546199999999999</v>
          </cell>
        </row>
      </sheetData>
      <sheetData sheetId="2"/>
      <sheetData sheetId="3"/>
      <sheetData sheetId="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домость модерн. объектов ОС"/>
      <sheetName val="XLR_NoRangeSheet"/>
      <sheetName val="Adj2002"/>
      <sheetName val="ADJ"/>
      <sheetName val="Tickmarks"/>
      <sheetName val="Rollforward"/>
      <sheetName val="X_Rates"/>
      <sheetName val="Month"/>
      <sheetName val="Test"/>
      <sheetName val="Account Detail"/>
      <sheetName val="BOU Provisions"/>
      <sheetName val="Lookup"/>
      <sheetName val="Willow_Group_Analysis"/>
    </sheetNames>
    <sheetDataSet>
      <sheetData sheetId="0" refreshError="1"/>
      <sheetData sheetId="1" refreshError="1">
        <row r="6">
          <cell r="B6" t="str">
            <v>Акционерный коммерческий банк регионального развития (ЗАО)</v>
          </cell>
          <cell r="C6" t="str">
            <v>Модернизированные за период c 01.04.2005 по 30.09.2005</v>
          </cell>
          <cell r="D6" t="str">
            <v>Износ на дату 30.09.2005</v>
          </cell>
          <cell r="E6" t="str">
            <v>Переоценка на дату 30.09.2005</v>
          </cell>
          <cell r="F6" t="str">
            <v>Остаточная стоимость на дату 30.09.2005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уп."/>
      <sheetName val="модерниз."/>
      <sheetName val="списан."/>
      <sheetName val="XLR_NoRangeSheet"/>
    </sheetNames>
    <sheetDataSet>
      <sheetData sheetId="0"/>
      <sheetData sheetId="1"/>
      <sheetData sheetId="2"/>
      <sheetData sheetId="3" refreshError="1">
        <row r="6">
          <cell r="C6" t="str">
            <v>01/10/2007</v>
          </cell>
          <cell r="D6" t="str">
            <v>Категория ОМУ: Основные средства</v>
          </cell>
          <cell r="E6" t="str">
            <v>План счетов: Банковский балансовый план счетов</v>
          </cell>
          <cell r="F6" t="str">
            <v>МОЛ</v>
          </cell>
          <cell r="G6" t="str">
            <v>Размещение</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редиты"/>
      <sheetName val="Изменения"/>
      <sheetName val="Обеспечение"/>
      <sheetName val="10 круп"/>
      <sheetName val="20 круп"/>
      <sheetName val="Гарантии"/>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row r="6">
          <cell r="B6" t="str">
            <v>15.06.2004</v>
          </cell>
          <cell r="D6" t="str">
            <v>29.0300</v>
          </cell>
          <cell r="E6" t="str">
            <v>34.9000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НУ"/>
      <sheetName val="Отчет БУ"/>
      <sheetName val="Котировки"/>
      <sheetName val="XLR_NoRangeSheet"/>
    </sheetNames>
    <sheetDataSet>
      <sheetData sheetId="0"/>
      <sheetData sheetId="1" refreshError="1"/>
      <sheetData sheetId="2"/>
      <sheetData sheetId="3" refreshError="1">
        <row r="6">
          <cell r="F6">
            <v>39692</v>
          </cell>
          <cell r="G6">
            <v>39721</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ables FX"/>
      <sheetName val="Test"/>
      <sheetName val="Loans FX"/>
      <sheetName val="Tickmarks"/>
      <sheetName val="Threshold"/>
      <sheetName val="AR@01.01.07"/>
      <sheetName val="AR@01.04.06"/>
      <sheetName val="AR@01.07.06"/>
      <sheetName val="AR@01.10.06"/>
      <sheetName val="AP@01.01.07"/>
      <sheetName val="AP@01.04.07"/>
      <sheetName val="AP@01.07.07"/>
      <sheetName val="AP@01.10.07"/>
      <sheetName val="Cash"/>
      <sheetName val="Loans"/>
      <sheetName val="Echange rates"/>
      <sheetName val="#REF"/>
      <sheetName val="Rollforward"/>
      <sheetName val="XLR_NoRangeShee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cess Calc"/>
      <sheetName val="Data"/>
      <sheetName val="Threshold"/>
      <sheetName val="CMA Loss"/>
      <sheetName val="SS Gain"/>
      <sheetName val="Testing Loss"/>
      <sheetName val="Testing Gain"/>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FX table 2001"/>
      <sheetName val="FX table"/>
      <sheetName val="Tangible assets"/>
      <sheetName val="Depreciation"/>
      <sheetName val="XREF"/>
      <sheetName val="Tickmarks"/>
      <sheetName val="Тest сч 4320"/>
      <sheetName val="#ССЫЛКА"/>
      <sheetName val="Test-Valuation"/>
      <sheetName val="summary"/>
      <sheetName val="RSA_FS"/>
      <sheetName val="Изменения"/>
      <sheetName val="6440-1 Tax balances"/>
      <sheetName val="Types"/>
      <sheetName val="6451-1a Stat. Inst. Acc. Rec."/>
      <sheetName val="Auditors"/>
      <sheetName val="Sections"/>
      <sheetName val="Entities"/>
      <sheetName val="Movement (Stat)"/>
      <sheetName val="G2TempSheet"/>
      <sheetName val="Довідник"/>
      <sheetName val="Справочник"/>
      <sheetName val="Depreciation analytical test"/>
      <sheetName val="FA Test"/>
      <sheetName val="WP Fixed Assets"/>
      <sheetName val="FA brdwn&amp;test"/>
      <sheetName val="Основные средства"/>
      <sheetName val="Лист1"/>
      <sheetName val="Старт"/>
      <sheetName val="Threshold"/>
      <sheetName val="AdmData"/>
      <sheetName val="Дата"/>
      <sheetName val="Факторы"/>
      <sheetName val="Indexes"/>
      <sheetName val="P&amp;L-BS-CF (UAH)"/>
      <sheetName val="Inputs"/>
      <sheetName val="Workings (model)"/>
      <sheetName val="Budget (rev march)"/>
      <sheetName val="EBRD debt"/>
      <sheetName val="примечания"/>
      <sheetName val="XLR_NoRangeSheet"/>
      <sheetName val="ед.изм"/>
      <sheetName val="Input TI"/>
      <sheetName val="Справка_кредиты"/>
      <sheetName val="setup"/>
      <sheetName val="общий"/>
      <sheetName val="Подробный"/>
      <sheetName val="BS"/>
      <sheetName val="Trade receiv"/>
      <sheetName val="Working tables"/>
      <sheetName val="Supporting table"/>
      <sheetName val="hMapping"/>
      <sheetName val="% inc interbank"/>
      <sheetName val="assump"/>
    </sheetNames>
    <sheetDataSet>
      <sheetData sheetId="0">
        <row r="32">
          <cell r="C32">
            <v>3542962</v>
          </cell>
        </row>
      </sheetData>
      <sheetData sheetId="1" refreshError="1"/>
      <sheetData sheetId="2" refreshError="1"/>
      <sheetData sheetId="3" refreshError="1"/>
      <sheetData sheetId="4" refreshError="1"/>
      <sheetData sheetId="5" refreshError="1">
        <row r="32">
          <cell r="C32">
            <v>3542962</v>
          </cell>
        </row>
        <row r="50">
          <cell r="J50">
            <v>3542962</v>
          </cell>
        </row>
      </sheetData>
      <sheetData sheetId="6">
        <row r="32">
          <cell r="C32">
            <v>3542962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277">
          <cell r="J1277">
            <v>8996405.7901516967</v>
          </cell>
        </row>
      </sheetData>
      <sheetData sheetId="35">
        <row r="1277">
          <cell r="J1277">
            <v>8996405.7901516967</v>
          </cell>
        </row>
      </sheetData>
      <sheetData sheetId="36">
        <row r="1277">
          <cell r="J1277">
            <v>8996405.7901516967</v>
          </cell>
        </row>
      </sheetData>
      <sheetData sheetId="37">
        <row r="1277">
          <cell r="J1277">
            <v>8996405.7901516967</v>
          </cell>
        </row>
      </sheetData>
      <sheetData sheetId="38">
        <row r="1277">
          <cell r="J1277">
            <v>8996405.7901516967</v>
          </cell>
        </row>
      </sheetData>
      <sheetData sheetId="39">
        <row r="1277">
          <cell r="J1277">
            <v>8996405.7901516967</v>
          </cell>
        </row>
      </sheetData>
      <sheetData sheetId="40">
        <row r="1277">
          <cell r="J1277">
            <v>8996405.7901516967</v>
          </cell>
        </row>
      </sheetData>
      <sheetData sheetId="41">
        <row r="1277">
          <cell r="J1277">
            <v>8996405.7901516967</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
      <sheetName val="CMA Calculations- R Factor"/>
      <sheetName val="CMA Calculations- Figure 5440.1"/>
      <sheetName val="CMA Selections"/>
      <sheetName val="XREF"/>
      <sheetName val="Tickmarks"/>
      <sheetName val="CMA_SampleDesign"/>
      <sheetName val="DialogInsert"/>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zHot`"/>
      <sheetName val="Содержание"/>
      <sheetName val="Инвестиции"/>
      <sheetName val="Проводки"/>
      <sheetName val="DTX.Свод"/>
      <sheetName val="Консолидация"/>
      <sheetName val="УК"/>
      <sheetName val="Собств.Акции"/>
      <sheetName val="Золото"/>
      <sheetName val="Notes"/>
      <sheetName val="IAS39"/>
      <sheetName val="ОАО.ДФВ.98"/>
      <sheetName val="ОАО.ДФВ.99"/>
      <sheetName val="ОАО.ДФВ.00"/>
      <sheetName val="ОАО.ДФВ.01"/>
      <sheetName val="ОАО.ДФВ.02"/>
      <sheetName val="ОАО.ДФВ.03"/>
      <sheetName val="ОАО.КФВ.98"/>
      <sheetName val="ОАО.КФВ.99"/>
      <sheetName val="ОАО.КФВ.00"/>
      <sheetName val="ОАО.КФВ.01"/>
      <sheetName val="ОАО.КФВ.02"/>
      <sheetName val="ОАО.КФВ.03"/>
      <sheetName val="ООО.ДФВ.98"/>
      <sheetName val="ООО.ДФВ.99"/>
      <sheetName val="ООО.ДФВ.00"/>
      <sheetName val="ООО.ДФВ.01"/>
      <sheetName val="ООО.ДФВ.02"/>
      <sheetName val="ООО.ДФВ.03"/>
      <sheetName val="ООО.КФВ.98"/>
      <sheetName val="ООО.КФВ.99"/>
      <sheetName val="ООО.КФВ.00"/>
      <sheetName val="ООО.КФВ.01"/>
      <sheetName val="ООО.КФВ.02"/>
      <sheetName val="ООО.КФВ.03"/>
      <sheetName val="Tex.BS.98"/>
      <sheetName val="Tex.BS.99"/>
      <sheetName val="Tex.BS.00"/>
      <sheetName val="Tex.BS.01"/>
      <sheetName val="Tex.PNs.98"/>
      <sheetName val="Tex.PNs.99"/>
      <sheetName val="Tex.PNs.00"/>
      <sheetName val="Tex.PNs.01"/>
      <sheetName val="Tex.PNs.Summary"/>
      <sheetName val="Tex.Loans.98"/>
      <sheetName val="Tex.Loans.99"/>
      <sheetName val="Tex.Loans.00"/>
      <sheetName val="Tex.Loans.01"/>
      <sheetName val="Tex.Loans.Summary"/>
      <sheetName val="Tex.Retail.99"/>
      <sheetName val="Tex.Retail.00"/>
      <sheetName val="Tex.Retail.01"/>
      <sheetName val="Tex.Retail.Summary"/>
      <sheetName val="Tex.BPNs.98"/>
      <sheetName val="Tex.BPNs.99"/>
      <sheetName val="Tex.BPNs.Summary"/>
      <sheetName val="Tex.Sover.98"/>
      <sheetName val="Tex.Sover.99"/>
      <sheetName val="Tex.Sover.00"/>
      <sheetName val="Tex.Sover.Summary"/>
      <sheetName val="Tex.BLoans.99"/>
      <sheetName val="Tex.BLoans.00"/>
      <sheetName val="Tex.BLoans.01"/>
      <sheetName val="Tex.BLoans.Summary"/>
      <sheetName val="Tex.Overdue.98"/>
      <sheetName val="Софт.КФВ.03"/>
      <sheetName val="Софт.ДФВ.03"/>
      <sheetName val="ОООСУ.КФВ.03"/>
      <sheetName val="ОООСУ.ДФВ.03"/>
      <sheetName val="ОООУС.КФВ.02"/>
      <sheetName val="ОООУС.КФВ.03"/>
      <sheetName val="ОООУС.ДФВ.02"/>
      <sheetName val="ОООУС.ДФВ.03"/>
      <sheetName val="ЗАОУС.КФВ.03"/>
      <sheetName val="Энерго.ДФВ.98"/>
      <sheetName val="Энерго.ДФВ.99"/>
      <sheetName val="Энерго.ДФВ.00"/>
      <sheetName val="Энерго.ДФВ.01"/>
      <sheetName val="Энерго.ДФВ.02"/>
      <sheetName val="Энерго.КФВ.98"/>
      <sheetName val="Энерго.КФВ.99"/>
      <sheetName val="Энерго.КФВ.00"/>
      <sheetName val="Энерго.КФВ.01"/>
      <sheetName val="Энерго.КФВ.02"/>
      <sheetName val="Энерго.ДФВ.03"/>
      <sheetName val="Энерго.КФВ.03"/>
      <sheetName val="Энерго.РусБаланс03"/>
      <sheetName val="Ассоциированные"/>
      <sheetName val="САМ.Доли"/>
      <sheetName val="ГКО-ОФЗ.Котировки"/>
      <sheetName val="ГКО-ОФЗ.ОАО"/>
      <sheetName val="ГКО-ОФЗ.ООО"/>
      <sheetName val="ГКО-ОФЗ.Техно"/>
      <sheetName val="ГКО-ОФЗ.Энерго"/>
      <sheetName val="ОФЗ.info1"/>
      <sheetName val="ОФЗ.info2"/>
      <sheetName val="ОФЗ.info3"/>
      <sheetName val="ГКО-ОФЗ.Новые.пакеты"/>
      <sheetName val="Tex.Disposal"/>
      <sheetName val="Техно.Рез.Roll"/>
      <sheetName val="Техно.Рез.Рекласс"/>
      <sheetName val="Диск.Векселей"/>
      <sheetName val="ООО.Векселя"/>
      <sheetName val="СБ.99.ОАО"/>
      <sheetName val="P&amp;L'99"/>
      <sheetName val="BS'99"/>
      <sheetName val="P&amp;L_00"/>
      <sheetName val="BS'00"/>
      <sheetName val="P&amp;L'01"/>
      <sheetName val="BS'01"/>
      <sheetName val="Tex.Model'98"/>
      <sheetName val="Золото.Цены"/>
      <sheetName val="Техно.Ставки"/>
      <sheetName val="Котировки.Акции"/>
      <sheetName val="Котировки.Облигации"/>
      <sheetName val="Перечень.компаний"/>
      <sheetName val="Средние.Индексы"/>
      <sheetName val="Счета.Инвест"/>
      <sheetName val="Счета"/>
      <sheetName val="Whatz.Hot"/>
      <sheetName val="Выясняется"/>
      <sheetName val="Note"/>
      <sheetName val="Техно.Рез"/>
      <sheetName val="What'z Hot"/>
      <sheetName val="ОАО ДФВ '98"/>
      <sheetName val="ОАО ДФВ '99"/>
      <sheetName val="ОАО ДФВ '00"/>
      <sheetName val="ОАО ДФВ '01"/>
      <sheetName val="ОАО ДФВ '02"/>
      <sheetName val="ОАО КФВ '98"/>
      <sheetName val="ОАО КФВ '99"/>
      <sheetName val="ОАО КФВ '00"/>
      <sheetName val="ОАО КФВ '01"/>
      <sheetName val="ОАО КФВ '02"/>
      <sheetName val="ООО ДФВ '98"/>
      <sheetName val="ООО ДФВ '99"/>
      <sheetName val="ООО ДФВ '00"/>
      <sheetName val="ООО ДФВ '01"/>
      <sheetName val="ООО ДФВ '02"/>
      <sheetName val="ООО КФВ '98"/>
      <sheetName val="ООО КФВ '99"/>
      <sheetName val="ООО КФВ '00"/>
      <sheetName val="ООО КФВ '01"/>
      <sheetName val="ООО КФВ '02"/>
      <sheetName val="ТехBPNs '98"/>
      <sheetName val="ТехPNs '98"/>
      <sheetName val="ТехSover '98"/>
      <sheetName val="TexLoans '98"/>
      <sheetName val="TexOverdue '98"/>
      <sheetName val="Энерго ДФВ '98"/>
      <sheetName val="Энерго ДФВ '99"/>
      <sheetName val="Энерго ДФВ '00"/>
      <sheetName val="Энерго ДФВ '01"/>
      <sheetName val="Энерго ДФВ '02"/>
      <sheetName val="Энерго КФВ '98"/>
      <sheetName val="Энерго КФВ '99"/>
      <sheetName val="Энерго КФВ '00"/>
      <sheetName val="Энерго КФВ '01"/>
      <sheetName val="Энерго КФВ '02"/>
      <sheetName val="ГКО-ОФЗ Котировки"/>
      <sheetName val="ГКО-ОФЗ Новые пакеты"/>
      <sheetName val="ГКО-ОФЗ ОАО"/>
      <sheetName val="ГКО-ОФЗ ООО"/>
      <sheetName val="ГКО-ОФЗ Энерго"/>
      <sheetName val="ОФЗinfo1"/>
      <sheetName val="ОФЗinfo2"/>
      <sheetName val="ОФЗinfo3"/>
      <sheetName val="ДискВекселей"/>
      <sheetName val="КотировкиАкции"/>
      <sheetName val="Перечень компаний"/>
      <sheetName val="СБ '99 ОАО"/>
      <sheetName val="Средние Индексы"/>
      <sheetName val="СчетаИнвест"/>
      <sheetName val="УКТаблПроводки"/>
      <sheetName val="ИнвестПроводки"/>
      <sheetName val="ИнвестТАБЛ"/>
      <sheetName val="Добавить счета"/>
      <sheetName val="ДискВекс"/>
      <sheetName val="КонсолидацияNew"/>
      <sheetName val="Тех.Рез"/>
      <sheetName val="ООО.Расш7.1Векселя"/>
      <sheetName val="ЗАОСУ.КФВ.03"/>
      <sheetName val="ЗАОСУ.ДФВ.03"/>
      <sheetName val="Кратк. влож-ия 2003(софт)"/>
      <sheetName val="Долгосрочные влож(софт) "/>
      <sheetName val="XREF"/>
      <sheetName val="TexBPNs '98"/>
      <sheetName val="TexPNs '98"/>
      <sheetName val="TexSover '98"/>
      <sheetName val="TexRetail '99"/>
      <sheetName val="TexLoans '99"/>
      <sheetName val="TexBLoans '99"/>
      <sheetName val="TexPNs '99"/>
      <sheetName val="TexBPNs '99"/>
      <sheetName val="TexSover '99"/>
      <sheetName val="TexSover '00"/>
      <sheetName val="TexPNs '00"/>
      <sheetName val="TexBLoans '00"/>
      <sheetName val="TexLoans '00"/>
      <sheetName val="TexRetail '00"/>
      <sheetName val="TexBPNs Свод"/>
      <sheetName val="TexPNs '01"/>
      <sheetName val="TexBLoans '01"/>
      <sheetName val="TexLoans '01"/>
      <sheetName val="TexRetail '01"/>
      <sheetName val="Переоценка сроч"/>
      <sheetName val="Inputs"/>
      <sheetName val="Midi and DPS parts"/>
      <sheetName val="#REF"/>
      <sheetName val="REPO прямое"/>
      <sheetName val="Salaries"/>
      <sheetName val="Instructions"/>
      <sheetName val="NOTES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row r="6">
          <cell r="L6">
            <v>1998</v>
          </cell>
          <cell r="O6">
            <v>1999</v>
          </cell>
          <cell r="P6">
            <v>1999</v>
          </cell>
          <cell r="Q6">
            <v>1999</v>
          </cell>
        </row>
        <row r="15">
          <cell r="M15">
            <v>1999</v>
          </cell>
          <cell r="N15">
            <v>1999</v>
          </cell>
          <cell r="P15">
            <v>1999</v>
          </cell>
          <cell r="R15">
            <v>2000</v>
          </cell>
          <cell r="S15">
            <v>2000</v>
          </cell>
          <cell r="U15">
            <v>2000</v>
          </cell>
          <cell r="W15">
            <v>2001</v>
          </cell>
          <cell r="X15">
            <v>2001</v>
          </cell>
          <cell r="Z15">
            <v>2001</v>
          </cell>
          <cell r="AB15">
            <v>2002</v>
          </cell>
          <cell r="AC15">
            <v>2002</v>
          </cell>
          <cell r="AE15">
            <v>2002</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для переноса"/>
      <sheetName val="вечером по изменениям"/>
      <sheetName val="111"/>
      <sheetName val="Для кредитного"/>
      <sheetName val="Ассоциированные"/>
      <sheetName val="PARAM"/>
      <sheetName val="Inputs"/>
      <sheetName val="34-38.2"/>
      <sheetName val="40"/>
      <sheetName val="pns fu disc "/>
    </sheetNames>
    <sheetDataSet>
      <sheetData sheetId="0" refreshError="1"/>
      <sheetData sheetId="1" refreshError="1"/>
      <sheetData sheetId="2" refreshError="1"/>
      <sheetData sheetId="3" refreshError="1">
        <row r="10">
          <cell r="A10" t="str">
            <v>════════════════════</v>
          </cell>
          <cell r="B10" t="str">
            <v>════════════════════════════════</v>
          </cell>
          <cell r="C10" t="str">
            <v>════════════════</v>
          </cell>
          <cell r="D10" t="str">
            <v>════════════════</v>
          </cell>
          <cell r="E10" t="str">
            <v>════════════════</v>
          </cell>
          <cell r="F10" t="str">
            <v>════════════════</v>
          </cell>
        </row>
        <row r="11">
          <cell r="A11" t="str">
            <v>════════════════════</v>
          </cell>
          <cell r="B11" t="str">
            <v>════════════════════════════════</v>
          </cell>
          <cell r="C11" t="str">
            <v>════════════════</v>
          </cell>
          <cell r="D11" t="str">
            <v>════════════════</v>
          </cell>
          <cell r="E11" t="str">
            <v>════════════════</v>
          </cell>
          <cell r="F11" t="str">
            <v>════════════════</v>
          </cell>
        </row>
        <row r="12">
          <cell r="A12" t="str">
            <v>45201810000010189804</v>
          </cell>
          <cell r="B12" t="str">
            <v>ООО "ТД "Медтехника", согл.оверд</v>
          </cell>
          <cell r="C12">
            <v>274365.83</v>
          </cell>
          <cell r="D12">
            <v>0</v>
          </cell>
          <cell r="E12">
            <v>270546.86</v>
          </cell>
          <cell r="F12">
            <v>3818.97</v>
          </cell>
        </row>
        <row r="13">
          <cell r="A13" t="str">
            <v>45201810000010195704</v>
          </cell>
          <cell r="B13" t="str">
            <v>ООО ТД "Аверс"дог.21609 от 27.04</v>
          </cell>
          <cell r="C13">
            <v>666697.28</v>
          </cell>
          <cell r="D13">
            <v>179697.6</v>
          </cell>
          <cell r="E13">
            <v>306396.64</v>
          </cell>
          <cell r="F13">
            <v>539998.24</v>
          </cell>
        </row>
        <row r="14">
          <cell r="A14" t="str">
            <v>45201810000010467102</v>
          </cell>
          <cell r="B14" t="str">
            <v>ООО "Сибтрансагентство", согл.ов</v>
          </cell>
          <cell r="C14">
            <v>1064631.49</v>
          </cell>
          <cell r="D14">
            <v>117306.65</v>
          </cell>
          <cell r="E14">
            <v>0</v>
          </cell>
          <cell r="F14">
            <v>1181938.1399999999</v>
          </cell>
        </row>
        <row r="15">
          <cell r="A15" t="str">
            <v>45201810000010494201</v>
          </cell>
          <cell r="B15" t="str">
            <v>ООО"Евросервис"дог.об овердрафт</v>
          </cell>
          <cell r="C15">
            <v>343233.84</v>
          </cell>
          <cell r="D15">
            <v>0</v>
          </cell>
          <cell r="E15">
            <v>337673.65</v>
          </cell>
          <cell r="F15">
            <v>5560.19</v>
          </cell>
        </row>
        <row r="16">
          <cell r="A16" t="str">
            <v>45201810200010197502</v>
          </cell>
          <cell r="B16" t="str">
            <v>ООО Компания "Бенотех", согл.ове</v>
          </cell>
          <cell r="C16">
            <v>606516.55000000005</v>
          </cell>
          <cell r="D16">
            <v>34000</v>
          </cell>
          <cell r="E16">
            <v>11814.51</v>
          </cell>
          <cell r="F16">
            <v>628702.04</v>
          </cell>
        </row>
        <row r="17">
          <cell r="A17" t="str">
            <v>45201810300010053407</v>
          </cell>
          <cell r="B17" t="str">
            <v>ЗАО "САВС" согл.оверд.кредите 21</v>
          </cell>
          <cell r="C17">
            <v>5600684.6799999997</v>
          </cell>
          <cell r="D17">
            <v>0</v>
          </cell>
          <cell r="E17">
            <v>1626628.16</v>
          </cell>
          <cell r="F17">
            <v>3974056.52</v>
          </cell>
        </row>
        <row r="18">
          <cell r="A18" t="str">
            <v>45201810300010464902</v>
          </cell>
          <cell r="B18" t="str">
            <v>ООО"АВГУСТ ИН" кредит в виде ове</v>
          </cell>
          <cell r="C18">
            <v>0</v>
          </cell>
          <cell r="D18">
            <v>648615.57999999996</v>
          </cell>
          <cell r="E18">
            <v>0</v>
          </cell>
          <cell r="F18">
            <v>648615.57999999996</v>
          </cell>
        </row>
        <row r="19">
          <cell r="A19" t="str">
            <v>45201810300010482201</v>
          </cell>
          <cell r="B19" t="str">
            <v>ООО ТД "Химметалл", согл.оверд.к</v>
          </cell>
          <cell r="C19">
            <v>2417665.64</v>
          </cell>
          <cell r="D19">
            <v>1609750.11</v>
          </cell>
          <cell r="E19">
            <v>1289932.6499999999</v>
          </cell>
          <cell r="F19">
            <v>2737483.1</v>
          </cell>
        </row>
        <row r="20">
          <cell r="A20" t="str">
            <v>45201810400010466703</v>
          </cell>
          <cell r="B20" t="str">
            <v>ООО "Мир Молока Нео", согл.оверд</v>
          </cell>
          <cell r="C20">
            <v>4996503.6100000003</v>
          </cell>
          <cell r="D20">
            <v>117797.65</v>
          </cell>
          <cell r="E20">
            <v>114301.26</v>
          </cell>
          <cell r="F20">
            <v>5000000</v>
          </cell>
        </row>
        <row r="21">
          <cell r="A21" t="str">
            <v>45201810400010470003</v>
          </cell>
          <cell r="B21" t="str">
            <v>ЗАО "ПАРФЮМ НОВОСИБИРСК", согл.о</v>
          </cell>
          <cell r="C21">
            <v>3959394.81</v>
          </cell>
          <cell r="D21">
            <v>0</v>
          </cell>
          <cell r="E21">
            <v>0</v>
          </cell>
          <cell r="F21">
            <v>3959394.81</v>
          </cell>
        </row>
        <row r="22">
          <cell r="A22" t="str">
            <v>45201810400010474601</v>
          </cell>
          <cell r="B22" t="str">
            <v>ООО "Пассим ТФ", согл.оверд.кр.2</v>
          </cell>
          <cell r="C22">
            <v>3455103.76</v>
          </cell>
          <cell r="D22">
            <v>581798.43999999994</v>
          </cell>
          <cell r="E22">
            <v>709044.89</v>
          </cell>
          <cell r="F22">
            <v>3327857.31</v>
          </cell>
        </row>
        <row r="23">
          <cell r="A23" t="str">
            <v>45201810400010481801</v>
          </cell>
          <cell r="B23" t="str">
            <v>ООО "РТБ", согл.оверд.кр.21595 2</v>
          </cell>
          <cell r="C23">
            <v>11380028.789999999</v>
          </cell>
          <cell r="D23">
            <v>0</v>
          </cell>
          <cell r="E23">
            <v>3017127.17</v>
          </cell>
          <cell r="F23">
            <v>8362901.6200000001</v>
          </cell>
        </row>
        <row r="24">
          <cell r="A24" t="str">
            <v>45201810500010030709</v>
          </cell>
          <cell r="B24" t="str">
            <v>ДЗАО "УС НЗ НВА", согл.оверд.кр.</v>
          </cell>
          <cell r="C24">
            <v>1480802.39</v>
          </cell>
          <cell r="D24">
            <v>0</v>
          </cell>
          <cell r="E24">
            <v>0</v>
          </cell>
          <cell r="F24">
            <v>1480802.39</v>
          </cell>
        </row>
        <row r="25">
          <cell r="A25" t="str">
            <v>45201810500010470903</v>
          </cell>
          <cell r="B25" t="str">
            <v>ООО "Пантеон-Р", согл.оверд.кр.2</v>
          </cell>
          <cell r="C25">
            <v>5559622.2400000002</v>
          </cell>
          <cell r="D25">
            <v>1706839.81</v>
          </cell>
          <cell r="E25">
            <v>1706462.05</v>
          </cell>
          <cell r="F25">
            <v>5560000</v>
          </cell>
        </row>
        <row r="26">
          <cell r="A26" t="str">
            <v>45201810500010475102</v>
          </cell>
          <cell r="B26" t="str">
            <v>ООО "Юнитабак", согл.оверд.кр.21</v>
          </cell>
          <cell r="C26">
            <v>8124304.96</v>
          </cell>
          <cell r="D26">
            <v>6005459.7000000002</v>
          </cell>
          <cell r="E26">
            <v>2967554.76</v>
          </cell>
          <cell r="F26">
            <v>11162209.9</v>
          </cell>
        </row>
        <row r="27">
          <cell r="A27" t="str">
            <v>45201810600010068309</v>
          </cell>
          <cell r="B27" t="str">
            <v>ОАО"Катод"дог.21607 от 26.04.06</v>
          </cell>
          <cell r="C27">
            <v>6191639.3799999999</v>
          </cell>
          <cell r="D27">
            <v>0</v>
          </cell>
          <cell r="E27">
            <v>20670.93</v>
          </cell>
          <cell r="F27">
            <v>6170968.4500000002</v>
          </cell>
        </row>
        <row r="28">
          <cell r="A28" t="str">
            <v>45201810600010128304</v>
          </cell>
          <cell r="B28" t="str">
            <v>ООО "Сибирь-Профиль", согл.оверд</v>
          </cell>
          <cell r="C28">
            <v>0</v>
          </cell>
          <cell r="D28">
            <v>0</v>
          </cell>
          <cell r="E28">
            <v>0</v>
          </cell>
          <cell r="F28">
            <v>0</v>
          </cell>
        </row>
        <row r="29">
          <cell r="A29" t="str">
            <v>45201810600010478902</v>
          </cell>
          <cell r="B29" t="str">
            <v>ООО "Пищепродукт "Солнечный", со</v>
          </cell>
          <cell r="C29">
            <v>17541956.870000001</v>
          </cell>
          <cell r="D29">
            <v>1521791.75</v>
          </cell>
          <cell r="E29">
            <v>1548062.19</v>
          </cell>
          <cell r="F29">
            <v>17515686.43</v>
          </cell>
        </row>
        <row r="30">
          <cell r="A30" t="str">
            <v>45201810700010058109</v>
          </cell>
          <cell r="B30" t="str">
            <v>ОАО "Новосибирский инструмент",</v>
          </cell>
          <cell r="C30">
            <v>6812253.4199999999</v>
          </cell>
          <cell r="D30">
            <v>2601016.4300000002</v>
          </cell>
          <cell r="E30">
            <v>2143269.85</v>
          </cell>
          <cell r="F30">
            <v>7270000</v>
          </cell>
        </row>
        <row r="31">
          <cell r="A31" t="str">
            <v>45201810700010130603</v>
          </cell>
          <cell r="B31" t="str">
            <v>ОАО "Сибэлектротерм", согл.оверд</v>
          </cell>
          <cell r="C31">
            <v>18019768.649999999</v>
          </cell>
          <cell r="D31">
            <v>0</v>
          </cell>
          <cell r="E31">
            <v>17967877.309999999</v>
          </cell>
          <cell r="F31">
            <v>51891.34</v>
          </cell>
        </row>
        <row r="32">
          <cell r="A32" t="str">
            <v>45201810700010181704</v>
          </cell>
          <cell r="B32" t="str">
            <v>ООО "РТ Бакалея", согл.оверд.кр.</v>
          </cell>
          <cell r="C32">
            <v>565370.5</v>
          </cell>
          <cell r="D32">
            <v>3939270.5</v>
          </cell>
          <cell r="E32">
            <v>518160.07</v>
          </cell>
          <cell r="F32">
            <v>3986480.93</v>
          </cell>
        </row>
        <row r="33">
          <cell r="A33" t="str">
            <v>45201810700010464803</v>
          </cell>
          <cell r="B33" t="str">
            <v>ООО "ТК"АВГУСТ", согл.оверд.кр.2</v>
          </cell>
          <cell r="C33">
            <v>206374.31</v>
          </cell>
          <cell r="D33">
            <v>0</v>
          </cell>
          <cell r="E33">
            <v>8119.45</v>
          </cell>
          <cell r="F33">
            <v>198254.86</v>
          </cell>
        </row>
        <row r="34">
          <cell r="A34" t="str">
            <v>45201810800010032106</v>
          </cell>
          <cell r="B34" t="str">
            <v>ООО "СОМ-Д.Н.", согл.оверд.кр. 2</v>
          </cell>
          <cell r="C34">
            <v>1680496.54</v>
          </cell>
          <cell r="D34">
            <v>0</v>
          </cell>
          <cell r="E34">
            <v>16910.45</v>
          </cell>
          <cell r="F34">
            <v>1663586.09</v>
          </cell>
        </row>
        <row r="35">
          <cell r="A35" t="str">
            <v>45201810900010184103</v>
          </cell>
          <cell r="B35" t="str">
            <v>ОАО "Сибирский инструмент", согл</v>
          </cell>
          <cell r="C35">
            <v>1794382.47</v>
          </cell>
          <cell r="D35">
            <v>664105.93999999994</v>
          </cell>
          <cell r="E35">
            <v>519083.6</v>
          </cell>
          <cell r="F35">
            <v>1939404.81</v>
          </cell>
        </row>
        <row r="36">
          <cell r="A36" t="str">
            <v>45201810900010190003</v>
          </cell>
          <cell r="B36" t="str">
            <v>ООО "Аудиомед", согл.оверд.кр.21</v>
          </cell>
          <cell r="C36">
            <v>517584.57</v>
          </cell>
          <cell r="D36">
            <v>273018.40000000002</v>
          </cell>
          <cell r="E36">
            <v>455714.96</v>
          </cell>
          <cell r="F36">
            <v>334888.01</v>
          </cell>
        </row>
        <row r="37">
          <cell r="A37" t="str">
            <v>45201810900010473801</v>
          </cell>
          <cell r="B37" t="str">
            <v>ООО "Инвестстрой", согл.оверд.кр</v>
          </cell>
          <cell r="C37">
            <v>11641743.289999999</v>
          </cell>
          <cell r="D37">
            <v>1193205.28</v>
          </cell>
          <cell r="E37">
            <v>1267445.71</v>
          </cell>
          <cell r="F37">
            <v>11567502.859999999</v>
          </cell>
        </row>
        <row r="38">
          <cell r="A38" t="str">
            <v>45401810700010116605</v>
          </cell>
          <cell r="B38" t="str">
            <v>ИП Ильин Ф.В., согл.оверд.кр.216</v>
          </cell>
          <cell r="C38">
            <v>770410.56</v>
          </cell>
          <cell r="D38">
            <v>0</v>
          </cell>
          <cell r="E38">
            <v>56197.22</v>
          </cell>
          <cell r="F38">
            <v>714213.34</v>
          </cell>
        </row>
        <row r="39">
          <cell r="A39" t="str">
            <v>ИТОГО ЗА</v>
          </cell>
          <cell r="B39" t="str">
            <v>ООО "Аудиомед", согл.оверд.кр.21</v>
          </cell>
          <cell r="C39">
            <v>115671536.43000001</v>
          </cell>
          <cell r="D39">
            <v>21193673.84</v>
          </cell>
          <cell r="E39">
            <v>36878994.340000004</v>
          </cell>
          <cell r="F39">
            <v>99986215.930000007</v>
          </cell>
        </row>
        <row r="40">
          <cell r="A40" t="str">
            <v>ПЕРИОД:</v>
          </cell>
          <cell r="B40" t="str">
            <v>ООО "Инвестстрой", согл.оверд.кр</v>
          </cell>
          <cell r="C40">
            <v>0</v>
          </cell>
          <cell r="D40">
            <v>0</v>
          </cell>
          <cell r="E40">
            <v>0</v>
          </cell>
          <cell r="F40">
            <v>0</v>
          </cell>
        </row>
        <row r="41">
          <cell r="A41" t="str">
            <v>45401810700010116605</v>
          </cell>
          <cell r="B41" t="str">
            <v>ИП Ильин Ф.В., согл.оверд.кр.216</v>
          </cell>
          <cell r="C41">
            <v>451548.73</v>
          </cell>
          <cell r="D41">
            <v>0</v>
          </cell>
          <cell r="E41">
            <v>258886.35</v>
          </cell>
          <cell r="F41">
            <v>192662.38</v>
          </cell>
        </row>
        <row r="42">
          <cell r="A42" t="str">
            <v>ИТОГО ЗА</v>
          </cell>
          <cell r="C42">
            <v>97478202.870000005</v>
          </cell>
          <cell r="D42">
            <v>12062077.050000001</v>
          </cell>
          <cell r="E42">
            <v>15095885.439999999</v>
          </cell>
          <cell r="F42">
            <v>94444394.480000004</v>
          </cell>
        </row>
        <row r="43">
          <cell r="A43" t="str">
            <v>ПЕРИОД:</v>
          </cell>
          <cell r="C43">
            <v>0</v>
          </cell>
          <cell r="F43">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делка с Барклаем"/>
      <sheetName val="Forward_deals"/>
      <sheetName val="CCY revaluation"/>
      <sheetName val="Переоценка бал"/>
      <sheetName val="Переоценка сроч"/>
      <sheetName val="Опционы"/>
      <sheetName val="Исх сроч"/>
      <sheetName val="Лист2"/>
      <sheetName val="сроч ЦБ"/>
      <sheetName val="Валюта"/>
      <sheetName val="11 счета"/>
    </sheetNames>
    <sheetDataSet>
      <sheetData sheetId="0" refreshError="1"/>
      <sheetData sheetId="1" refreshError="1"/>
      <sheetData sheetId="2" refreshError="1"/>
      <sheetData sheetId="3" refreshError="1"/>
      <sheetData sheetId="4" refreshError="1">
        <row r="6">
          <cell r="N6">
            <v>692.62</v>
          </cell>
        </row>
        <row r="7">
          <cell r="N7">
            <v>327.88</v>
          </cell>
        </row>
        <row r="8">
          <cell r="N8">
            <v>12.48</v>
          </cell>
        </row>
        <row r="9">
          <cell r="N9">
            <v>1447.53</v>
          </cell>
        </row>
        <row r="12">
          <cell r="Q12">
            <v>36.907699999999998</v>
          </cell>
        </row>
        <row r="13">
          <cell r="Q13">
            <v>46.612000000000002</v>
          </cell>
        </row>
        <row r="14">
          <cell r="Q14">
            <v>22.909800000000001</v>
          </cell>
        </row>
        <row r="15">
          <cell r="Q15">
            <v>0.21959699999999999</v>
          </cell>
        </row>
        <row r="17">
          <cell r="Q17">
            <v>22.518999999999998</v>
          </cell>
        </row>
        <row r="18">
          <cell r="Q18">
            <v>23.206700000000001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оценка сроч (2)"/>
      <sheetName val="IFRS"/>
      <sheetName val="REPO"/>
      <sheetName val="Forward_deals"/>
      <sheetName val="CCY revaluation"/>
      <sheetName val="Переоценка бал"/>
      <sheetName val="Переоценка сроч"/>
      <sheetName val="Исх сроч"/>
      <sheetName val="Лист2"/>
      <sheetName val="сроч ЦБ"/>
      <sheetName val="Валюта"/>
      <sheetName val="Лист1"/>
    </sheetNames>
    <sheetDataSet>
      <sheetData sheetId="0" refreshError="1"/>
      <sheetData sheetId="1" refreshError="1"/>
      <sheetData sheetId="2" refreshError="1"/>
      <sheetData sheetId="3" refreshError="1"/>
      <sheetData sheetId="4"/>
      <sheetData sheetId="5" refreshError="1"/>
      <sheetData sheetId="6">
        <row r="5">
          <cell r="N5">
            <v>24.949300000000001</v>
          </cell>
        </row>
        <row r="6">
          <cell r="Q6">
            <v>743</v>
          </cell>
        </row>
        <row r="7">
          <cell r="Q7">
            <v>343.75</v>
          </cell>
        </row>
        <row r="8">
          <cell r="Q8">
            <v>13.65</v>
          </cell>
        </row>
        <row r="9">
          <cell r="Q9">
            <v>1377</v>
          </cell>
        </row>
      </sheetData>
      <sheetData sheetId="7" refreshError="1"/>
      <sheetData sheetId="8"/>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ПО обратное"/>
      <sheetName val="REPO прямое"/>
    </sheetNames>
    <sheetDataSet>
      <sheetData sheetId="0"/>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оценка бал"/>
      <sheetName val="Переоценка сроч"/>
      <sheetName val="Репо"/>
      <sheetName val="Исх сроч"/>
      <sheetName val="Валюта"/>
      <sheetName val="Переоценка сроч (3)"/>
      <sheetName val="Переоценка сроч (2)"/>
      <sheetName val="ПереоценкаМСФО-010706"/>
      <sheetName val="LBO Model"/>
      <sheetName val="Employee"/>
      <sheetName val="Список"/>
      <sheetName val="REPO прямо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z Hot"/>
      <sheetName val="Выясняется"/>
      <sheetName val="Содержание"/>
      <sheetName val="Инвестиции"/>
      <sheetName val="Проводки"/>
      <sheetName val="Консолидация"/>
      <sheetName val="УК"/>
      <sheetName val="ОАО ДФВ '98"/>
      <sheetName val="ОАО ДФВ '99"/>
      <sheetName val="ОАО ДФВ '00"/>
      <sheetName val="ОАО ДФВ '01"/>
      <sheetName val="ОАО ДФВ '02"/>
      <sheetName val="ОАО КФВ '98"/>
      <sheetName val="ОАО КФВ '99"/>
      <sheetName val="ОАО КФВ '00"/>
      <sheetName val="ОАО КФВ '01"/>
      <sheetName val="ОАО КФВ '02"/>
      <sheetName val="ООО ДФВ '98"/>
      <sheetName val="ООО ДФВ '99"/>
      <sheetName val="ООО ДФВ '00"/>
      <sheetName val="ООО ДФВ '01"/>
      <sheetName val="ООО ДФВ '02"/>
      <sheetName val="ООО КФВ '98"/>
      <sheetName val="ООО КФВ '99"/>
      <sheetName val="ООО КФВ '00"/>
      <sheetName val="ООО КФВ '01"/>
      <sheetName val="ООО КФВ '02"/>
      <sheetName val="TexBPNs '98"/>
      <sheetName val="TexPNs '98"/>
      <sheetName val="TexSover '98"/>
      <sheetName val="TexLoans '98"/>
      <sheetName val="TexOverdue '98"/>
      <sheetName val="TexRetail '99"/>
      <sheetName val="TexLoans '99"/>
      <sheetName val="TexBLoans '99"/>
      <sheetName val="TexPNs '99"/>
      <sheetName val="TexBPNs '99"/>
      <sheetName val="TexSover '99"/>
      <sheetName val="TexSover '00"/>
      <sheetName val="TexPNs '00"/>
      <sheetName val="TexBLoans '00"/>
      <sheetName val="TexLoans '00"/>
      <sheetName val="TexRetail '00"/>
      <sheetName val="TexBPNs Свод"/>
      <sheetName val="TexPNs '01"/>
      <sheetName val="TexBLoans '01"/>
      <sheetName val="TexLoans '01"/>
      <sheetName val="TexRetail '01"/>
      <sheetName val="Энерго ДФВ '98"/>
      <sheetName val="Энерго ДФВ '99"/>
      <sheetName val="Энерго ДФВ '00"/>
      <sheetName val="Энерго ДФВ '01"/>
      <sheetName val="Энерго ДФВ '02"/>
      <sheetName val="Энерго КФВ '98"/>
      <sheetName val="Энерго КФВ '99"/>
      <sheetName val="Энерго КФВ '00"/>
      <sheetName val="Энерго КФВ '01"/>
      <sheetName val="Энерго КФВ '02"/>
      <sheetName val="Note"/>
      <sheetName val="Ассоциированные"/>
      <sheetName val="ГКО-ОФЗ Котировки"/>
      <sheetName val="ГКО-ОФЗ Новые пакеты"/>
      <sheetName val="ГКО-ОФЗ ОАО"/>
      <sheetName val="ГКО-ОФЗ ООО"/>
      <sheetName val="ГКО-ОФЗ Энерго"/>
      <sheetName val="ОФЗinfo1"/>
      <sheetName val="ОФЗinfo2"/>
      <sheetName val="ОФЗinfo3"/>
      <sheetName val="ДискВекселей"/>
      <sheetName val="СБ '99 ОАО"/>
      <sheetName val="КотировкиАкции"/>
      <sheetName val="Перечень компаний"/>
      <sheetName val="Средние Индексы"/>
      <sheetName val="Счета"/>
      <sheetName val="СчетаИнвест"/>
      <sheetName val="Переоценка сроч"/>
      <sheetName val="Inputs"/>
      <sheetName val="`WhatzHot`"/>
      <sheetName val="DTX.Свод"/>
      <sheetName val="Собств.Акции"/>
      <sheetName val="Золото"/>
      <sheetName val="Notes"/>
      <sheetName val="IAS39"/>
      <sheetName val="ОАО.ДФВ.98"/>
      <sheetName val="ОАО.ДФВ.99"/>
      <sheetName val="ОАО.ДФВ.00"/>
      <sheetName val="ОАО.ДФВ.01"/>
      <sheetName val="ОАО.ДФВ.02"/>
      <sheetName val="ОАО.ДФВ.03"/>
      <sheetName val="ОАО.КФВ.98"/>
      <sheetName val="ОАО.КФВ.99"/>
      <sheetName val="ОАО.КФВ.00"/>
      <sheetName val="ОАО.КФВ.01"/>
      <sheetName val="ОАО.КФВ.02"/>
      <sheetName val="ОАО.КФВ.03"/>
      <sheetName val="ООО.ДФВ.98"/>
      <sheetName val="ООО.ДФВ.99"/>
      <sheetName val="ООО.ДФВ.00"/>
      <sheetName val="ООО.ДФВ.01"/>
      <sheetName val="ООО.ДФВ.02"/>
      <sheetName val="ООО.ДФВ.03"/>
      <sheetName val="ООО.КФВ.98"/>
      <sheetName val="ООО.КФВ.99"/>
      <sheetName val="ООО.КФВ.00"/>
      <sheetName val="ООО.КФВ.01"/>
      <sheetName val="ООО.КФВ.02"/>
      <sheetName val="ООО.КФВ.03"/>
      <sheetName val="Tex.BS.98"/>
      <sheetName val="Tex.BS.99"/>
      <sheetName val="Tex.BS.00"/>
      <sheetName val="Tex.BS.01"/>
      <sheetName val="Tex.PNs.98"/>
      <sheetName val="Tex.PNs.99"/>
      <sheetName val="Tex.PNs.00"/>
      <sheetName val="Tex.PNs.01"/>
      <sheetName val="Tex.PNs.Summary"/>
      <sheetName val="Tex.Loans.98"/>
      <sheetName val="Tex.Loans.99"/>
      <sheetName val="Tex.Loans.00"/>
      <sheetName val="Tex.Loans.01"/>
      <sheetName val="Tex.Loans.Summary"/>
      <sheetName val="Tex.Retail.99"/>
      <sheetName val="Tex.Retail.00"/>
      <sheetName val="Tex.Retail.01"/>
      <sheetName val="Tex.Retail.Summary"/>
      <sheetName val="Tex.BPNs.98"/>
      <sheetName val="Tex.BPNs.99"/>
      <sheetName val="Tex.BPNs.Summary"/>
      <sheetName val="Tex.Sover.98"/>
      <sheetName val="Tex.Sover.99"/>
      <sheetName val="Tex.Sover.00"/>
      <sheetName val="Tex.Sover.Summary"/>
      <sheetName val="Tex.BLoans.99"/>
      <sheetName val="Tex.BLoans.00"/>
      <sheetName val="Tex.BLoans.01"/>
      <sheetName val="Tex.BLoans.Summary"/>
      <sheetName val="Tex.Overdue.98"/>
      <sheetName val="Софт.КФВ.03"/>
      <sheetName val="Софт.ДФВ.03"/>
      <sheetName val="ОООСУ.КФВ.03"/>
      <sheetName val="ОООСУ.ДФВ.03"/>
      <sheetName val="ОООУС.КФВ.02"/>
      <sheetName val="ОООУС.КФВ.03"/>
      <sheetName val="ОООУС.ДФВ.02"/>
      <sheetName val="ОООУС.ДФВ.03"/>
      <sheetName val="ЗАОУС.КФВ.03"/>
      <sheetName val="Энерго.ДФВ.98"/>
      <sheetName val="Энерго.ДФВ.99"/>
      <sheetName val="Энерго.ДФВ.00"/>
      <sheetName val="Энерго.ДФВ.01"/>
      <sheetName val="Энерго.ДФВ.02"/>
      <sheetName val="Энерго.КФВ.98"/>
      <sheetName val="Энерго.КФВ.99"/>
      <sheetName val="Энерго.КФВ.00"/>
      <sheetName val="Энерго.КФВ.01"/>
      <sheetName val="Энерго.КФВ.02"/>
      <sheetName val="Энерго.ДФВ.03"/>
      <sheetName val="Энерго.КФВ.03"/>
      <sheetName val="Энерго.РусБаланс03"/>
      <sheetName val="САМ.Доли"/>
      <sheetName val="ГКО-ОФЗ.Котировки"/>
      <sheetName val="ГКО-ОФЗ.ОАО"/>
      <sheetName val="ГКО-ОФЗ.ООО"/>
      <sheetName val="ГКО-ОФЗ.Техно"/>
      <sheetName val="ГКО-ОФЗ.Энерго"/>
      <sheetName val="ОФЗ.info1"/>
      <sheetName val="ОФЗ.info2"/>
      <sheetName val="ОФЗ.info3"/>
      <sheetName val="ГКО-ОФЗ.Новые.пакеты"/>
      <sheetName val="Tex.Disposal"/>
      <sheetName val="Техно.Рез.Roll"/>
      <sheetName val="Техно.Рез.Рекласс"/>
      <sheetName val="Диск.Векселей"/>
      <sheetName val="ООО.Векселя"/>
      <sheetName val="СБ.99.ОАО"/>
      <sheetName val="P&amp;L'99"/>
      <sheetName val="BS'99"/>
      <sheetName val="P&amp;L_00"/>
      <sheetName val="BS'00"/>
      <sheetName val="P&amp;L'01"/>
      <sheetName val="BS'01"/>
      <sheetName val="Tex.Model'98"/>
      <sheetName val="Золото.Цены"/>
      <sheetName val="Техно.Ставки"/>
      <sheetName val="Котировки.Акции"/>
      <sheetName val="Котировки.Облигации"/>
      <sheetName val="Перечень.компаний"/>
      <sheetName val="Средние.Индексы"/>
      <sheetName val="Счета.Инвест"/>
      <sheetName val="Whatz.Hot"/>
      <sheetName val="Техно.Рез"/>
      <sheetName val="ТехBPNs '98"/>
      <sheetName val="ТехPNs '98"/>
      <sheetName val="ТехSover '98"/>
      <sheetName val="УКТаблПроводки"/>
      <sheetName val="ИнвестПроводки"/>
      <sheetName val="ИнвестТАБЛ"/>
      <sheetName val="Добавить счета"/>
      <sheetName val="ДискВекс"/>
      <sheetName val="КонсолидацияNew"/>
      <sheetName val="Тех.Рез"/>
      <sheetName val="ООО.Расш7.1Векселя"/>
      <sheetName val="ЗАОСУ.КФВ.03"/>
      <sheetName val="ЗАОСУ.ДФВ.03"/>
      <sheetName val="Кратк. влож-ия 2003(софт)"/>
      <sheetName val="Долгосрочные влож(софт) "/>
      <sheetName val="XREF"/>
      <sheetName val="REPO прямое"/>
      <sheetName val="ЦМД_Инвестиции"/>
      <sheetName val="S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6">
          <cell r="L6">
            <v>1998</v>
          </cell>
          <cell r="O6">
            <v>1999</v>
          </cell>
          <cell r="P6">
            <v>1999</v>
          </cell>
          <cell r="Q6">
            <v>1999</v>
          </cell>
        </row>
        <row r="15">
          <cell r="M15">
            <v>1999</v>
          </cell>
          <cell r="N15">
            <v>1999</v>
          </cell>
          <cell r="P15">
            <v>1999</v>
          </cell>
          <cell r="R15">
            <v>2000</v>
          </cell>
          <cell r="S15">
            <v>2000</v>
          </cell>
          <cell r="U15">
            <v>2000</v>
          </cell>
          <cell r="W15">
            <v>2001</v>
          </cell>
          <cell r="X15">
            <v>2001</v>
          </cell>
          <cell r="Z15">
            <v>2001</v>
          </cell>
          <cell r="AB15">
            <v>2002</v>
          </cell>
          <cell r="AC15">
            <v>2002</v>
          </cell>
          <cell r="AE15">
            <v>2002</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исок"/>
    </sheetNames>
    <sheetDataSet>
      <sheetData sheetId="0"/>
      <sheetData sheetId="1"/>
      <sheetData sheetId="2" refreshError="1">
        <row r="2">
          <cell r="T2" t="str">
            <v>Ежемесячно</v>
          </cell>
        </row>
        <row r="3">
          <cell r="T3" t="str">
            <v>Ежеквартально</v>
          </cell>
        </row>
        <row r="4">
          <cell r="T4" t="str">
            <v>В конце срока</v>
          </cell>
        </row>
        <row r="5">
          <cell r="T5" t="str">
            <v>Индивидуальный</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N"/>
      <sheetName val="AJE"/>
      <sheetName val="HTM Securities"/>
      <sheetName val="shares_investments"/>
      <sheetName val="Cut-off"/>
      <sheetName val="IFRS-notes"/>
      <sheetName val="Summary"/>
      <sheetName val="2010(G)"/>
      <sheetName val="Tickmarks"/>
    </sheetNames>
    <sheetDataSet>
      <sheetData sheetId="0" refreshError="1"/>
      <sheetData sheetId="1" refreshError="1"/>
      <sheetData sheetId="2">
        <row r="31">
          <cell r="M31">
            <v>2000000</v>
          </cell>
          <cell r="O31">
            <v>28485.15</v>
          </cell>
        </row>
        <row r="32">
          <cell r="M32">
            <v>1000000</v>
          </cell>
          <cell r="O32">
            <v>14357.48</v>
          </cell>
        </row>
        <row r="33">
          <cell r="M33">
            <v>2000000</v>
          </cell>
          <cell r="O33">
            <v>31473.26</v>
          </cell>
        </row>
        <row r="34">
          <cell r="M34">
            <v>2000000</v>
          </cell>
          <cell r="O34">
            <v>31600.81</v>
          </cell>
        </row>
        <row r="35">
          <cell r="M35">
            <v>1000000</v>
          </cell>
          <cell r="O35">
            <v>15896.04</v>
          </cell>
        </row>
        <row r="36">
          <cell r="M36">
            <v>1000000</v>
          </cell>
          <cell r="O36">
            <v>15975.72</v>
          </cell>
        </row>
        <row r="37">
          <cell r="M37">
            <v>353000</v>
          </cell>
          <cell r="O37">
            <v>6428.21</v>
          </cell>
        </row>
        <row r="38">
          <cell r="M38">
            <v>3000000</v>
          </cell>
          <cell r="O38">
            <v>7038.05</v>
          </cell>
        </row>
        <row r="39">
          <cell r="M39">
            <v>1000000</v>
          </cell>
          <cell r="O39">
            <v>21463.11</v>
          </cell>
        </row>
        <row r="40">
          <cell r="M40">
            <v>1000000</v>
          </cell>
          <cell r="O40">
            <v>21727.21</v>
          </cell>
        </row>
        <row r="41">
          <cell r="M41">
            <v>1000000</v>
          </cell>
          <cell r="O41">
            <v>22674.09</v>
          </cell>
        </row>
        <row r="42">
          <cell r="M42">
            <v>1000000</v>
          </cell>
          <cell r="O42">
            <v>31451.599999999999</v>
          </cell>
        </row>
        <row r="43">
          <cell r="M43">
            <v>1000000</v>
          </cell>
          <cell r="O43">
            <v>33130.660000000003</v>
          </cell>
        </row>
        <row r="44">
          <cell r="M44">
            <v>1000000</v>
          </cell>
          <cell r="O44">
            <v>34795.269999999997</v>
          </cell>
        </row>
        <row r="45">
          <cell r="M45">
            <v>1000000</v>
          </cell>
          <cell r="O45">
            <v>37734.949999999997</v>
          </cell>
        </row>
        <row r="46">
          <cell r="M46">
            <v>2000000</v>
          </cell>
          <cell r="O46">
            <v>105501.62</v>
          </cell>
        </row>
        <row r="47">
          <cell r="M47">
            <v>1000000</v>
          </cell>
          <cell r="O47">
            <v>54330.21</v>
          </cell>
        </row>
        <row r="48">
          <cell r="M48">
            <v>1000000</v>
          </cell>
          <cell r="O48">
            <v>1517.96</v>
          </cell>
        </row>
        <row r="49">
          <cell r="M49">
            <v>1000000</v>
          </cell>
          <cell r="O49">
            <v>1446.35</v>
          </cell>
        </row>
        <row r="50">
          <cell r="M50">
            <v>1500000</v>
          </cell>
          <cell r="O50">
            <v>2192.2199999999998</v>
          </cell>
        </row>
        <row r="51">
          <cell r="M51">
            <v>2000000</v>
          </cell>
          <cell r="O51">
            <v>2983.39</v>
          </cell>
        </row>
        <row r="52">
          <cell r="M52">
            <v>2000000</v>
          </cell>
          <cell r="O52">
            <v>123831.63</v>
          </cell>
        </row>
        <row r="53">
          <cell r="M53">
            <v>2000000</v>
          </cell>
          <cell r="O53">
            <v>124742.36</v>
          </cell>
        </row>
        <row r="54">
          <cell r="M54">
            <v>2000000</v>
          </cell>
          <cell r="O54">
            <v>126649.62</v>
          </cell>
        </row>
        <row r="55">
          <cell r="M55">
            <v>2000000</v>
          </cell>
          <cell r="O55">
            <v>128910.93</v>
          </cell>
        </row>
        <row r="56">
          <cell r="M56">
            <v>1000000</v>
          </cell>
          <cell r="O56">
            <v>8168.42</v>
          </cell>
        </row>
        <row r="57">
          <cell r="M57">
            <v>1000000</v>
          </cell>
          <cell r="O57">
            <v>8219.52</v>
          </cell>
        </row>
        <row r="58">
          <cell r="M58">
            <v>1000000</v>
          </cell>
          <cell r="O58">
            <v>8253.56</v>
          </cell>
        </row>
        <row r="59">
          <cell r="M59">
            <v>1000000</v>
          </cell>
          <cell r="O59">
            <v>8304.61</v>
          </cell>
        </row>
        <row r="60">
          <cell r="M60">
            <v>1000000</v>
          </cell>
          <cell r="O60">
            <v>8347.1299999999992</v>
          </cell>
        </row>
        <row r="61">
          <cell r="M61">
            <v>1000000</v>
          </cell>
          <cell r="O61">
            <v>42147.07</v>
          </cell>
        </row>
        <row r="62">
          <cell r="M62">
            <v>1000000</v>
          </cell>
          <cell r="O62">
            <v>42267.18</v>
          </cell>
        </row>
        <row r="63">
          <cell r="M63">
            <v>1000000</v>
          </cell>
          <cell r="O63">
            <v>42427.28</v>
          </cell>
        </row>
        <row r="64">
          <cell r="M64">
            <v>4500000</v>
          </cell>
          <cell r="O64">
            <v>-240320.11</v>
          </cell>
        </row>
      </sheetData>
      <sheetData sheetId="3"/>
      <sheetData sheetId="4" refreshError="1"/>
      <sheetData sheetId="5" refreshError="1"/>
      <sheetData sheetId="6" refreshError="1"/>
      <sheetData sheetId="7"/>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Rules"/>
      <sheetName val="Examples"/>
      <sheetName val="Лист3"/>
      <sheetName val="Sprint"/>
      <sheetName val="MetaData"/>
      <sheetName val="Anlagevermögen"/>
      <sheetName val="General"/>
      <sheetName val="misc"/>
      <sheetName val="Comps"/>
      <sheetName val="Список"/>
      <sheetName val="Employee"/>
    </sheetNames>
    <sheetDataSet>
      <sheetData sheetId="0" refreshError="1"/>
      <sheetData sheetId="1" refreshError="1">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8">
          <cell r="B78" t="str">
            <v>К</v>
          </cell>
          <cell r="C78">
            <v>3000001</v>
          </cell>
        </row>
        <row r="81">
          <cell r="B81" t="str">
            <v>К</v>
          </cell>
          <cell r="C81">
            <v>3000004</v>
          </cell>
        </row>
        <row r="84">
          <cell r="B84" t="str">
            <v>К</v>
          </cell>
          <cell r="C84">
            <v>3000002</v>
          </cell>
        </row>
        <row r="89">
          <cell r="B89" t="str">
            <v>К</v>
          </cell>
          <cell r="C89">
            <v>3000005</v>
          </cell>
        </row>
        <row r="99">
          <cell r="B99" t="str">
            <v>К</v>
          </cell>
          <cell r="C99">
            <v>3000001</v>
          </cell>
        </row>
        <row r="123">
          <cell r="B123">
            <v>0</v>
          </cell>
          <cell r="C123">
            <v>0</v>
          </cell>
        </row>
        <row r="124">
          <cell r="B124">
            <v>0</v>
          </cell>
          <cell r="C124">
            <v>0</v>
          </cell>
        </row>
        <row r="126">
          <cell r="B126" t="str">
            <v>Д</v>
          </cell>
          <cell r="C126">
            <v>3000004</v>
          </cell>
        </row>
        <row r="129">
          <cell r="B129">
            <v>0</v>
          </cell>
          <cell r="C129">
            <v>0</v>
          </cell>
        </row>
        <row r="132">
          <cell r="B132">
            <v>0</v>
          </cell>
          <cell r="C132">
            <v>0</v>
          </cell>
        </row>
        <row r="135">
          <cell r="B135">
            <v>0</v>
          </cell>
          <cell r="C135">
            <v>0</v>
          </cell>
        </row>
        <row r="144">
          <cell r="B144">
            <v>0</v>
          </cell>
          <cell r="C14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ы от реализации"/>
      <sheetName val="расходы от реализации "/>
      <sheetName val="Проводки'02"/>
      <sheetName val="10Cash"/>
      <sheetName val="Sprint"/>
      <sheetName val="Employee"/>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прямое (2)"/>
      <sheetName val="Сделки с Номос-bonds за период"/>
      <sheetName val="Репо с призн за 9 мес"/>
      <sheetName val="Инвестпортфель"/>
      <sheetName val="47407-47408 ЦБ"/>
      <sheetName val="Cделка с Барклаем"/>
      <sheetName val="REPO (2)"/>
      <sheetName val="Репо-Машк"/>
      <sheetName val="Репо обр-прям"/>
      <sheetName val="РЕПО обратное"/>
      <sheetName val="REPO прямое"/>
      <sheetName val="Forward_deals"/>
      <sheetName val="Для расш по вал"/>
      <sheetName val="IFRS"/>
      <sheetName val="CCY revaluation нерез"/>
      <sheetName val="Переоценка сроч"/>
      <sheetName val="Сделки с ЦБ"/>
      <sheetName val="Бал ост по РЕПО"/>
      <sheetName val="Исх сроч"/>
      <sheetName val="Лист2"/>
      <sheetName val="сроч ЦБ"/>
      <sheetName val="Валю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9">
          <cell r="Q19">
            <v>3.1034299999999999</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s>
    <sheetDataSet>
      <sheetData sheetId="0" refreshError="1"/>
      <sheetData sheetId="1" refreshError="1"/>
      <sheetData sheetId="2" refreshError="1"/>
      <sheetData sheetId="3" refreshError="1"/>
      <sheetData sheetId="4" refreshError="1"/>
      <sheetData sheetId="5" refreshError="1">
        <row r="1">
          <cell r="A1" t="str">
            <v>BFG-Credit   as at 1/07/98</v>
          </cell>
        </row>
        <row r="2">
          <cell r="A2" t="str">
            <v>КОРРЕКТИРОВКИ</v>
          </cell>
        </row>
        <row r="3">
          <cell r="A3" t="str">
            <v>Year Ended 31/12/98</v>
          </cell>
        </row>
        <row r="4">
          <cell r="A4" t="str">
            <v>BALANCE SHEET</v>
          </cell>
          <cell r="B4" t="str">
            <v>RR'000</v>
          </cell>
        </row>
        <row r="5">
          <cell r="B5" t="str">
            <v>Российская отчетность</v>
          </cell>
          <cell r="AY5" t="str">
            <v>Отчетность по МСБУ</v>
          </cell>
        </row>
        <row r="6">
          <cell r="C6" t="str">
            <v>1998 HC revaluation</v>
          </cell>
          <cell r="D6" t="str">
            <v>1998 securities revaluation</v>
          </cell>
          <cell r="E6" t="str">
            <v>1998 precious metals revaluation</v>
          </cell>
        </row>
        <row r="7">
          <cell r="A7" t="str">
            <v>Number of adjustment</v>
          </cell>
          <cell r="C7">
            <v>1</v>
          </cell>
          <cell r="D7">
            <v>2</v>
          </cell>
          <cell r="E7">
            <v>3</v>
          </cell>
          <cell r="F7">
            <v>4</v>
          </cell>
          <cell r="G7">
            <v>5</v>
          </cell>
          <cell r="H7">
            <v>6</v>
          </cell>
          <cell r="I7">
            <v>7</v>
          </cell>
          <cell r="J7">
            <v>8</v>
          </cell>
          <cell r="K7">
            <v>9</v>
          </cell>
          <cell r="L7">
            <v>10</v>
          </cell>
          <cell r="M7">
            <v>11</v>
          </cell>
          <cell r="N7">
            <v>12</v>
          </cell>
          <cell r="O7">
            <v>13</v>
          </cell>
          <cell r="P7">
            <v>14</v>
          </cell>
          <cell r="Q7">
            <v>15</v>
          </cell>
          <cell r="R7">
            <v>16</v>
          </cell>
          <cell r="S7">
            <v>17</v>
          </cell>
          <cell r="T7">
            <v>18</v>
          </cell>
          <cell r="U7">
            <v>19</v>
          </cell>
          <cell r="V7">
            <v>20</v>
          </cell>
          <cell r="W7">
            <v>21</v>
          </cell>
          <cell r="X7">
            <v>22</v>
          </cell>
          <cell r="Y7">
            <v>23</v>
          </cell>
          <cell r="Z7">
            <v>24</v>
          </cell>
          <cell r="AA7">
            <v>25</v>
          </cell>
          <cell r="AB7">
            <v>26</v>
          </cell>
          <cell r="AC7">
            <v>27</v>
          </cell>
          <cell r="AD7">
            <v>28</v>
          </cell>
          <cell r="AE7">
            <v>29</v>
          </cell>
          <cell r="AF7">
            <v>30</v>
          </cell>
          <cell r="AG7">
            <v>31</v>
          </cell>
          <cell r="AH7">
            <v>32</v>
          </cell>
          <cell r="AI7">
            <v>33</v>
          </cell>
          <cell r="AJ7">
            <v>34</v>
          </cell>
          <cell r="AK7">
            <v>35</v>
          </cell>
          <cell r="AL7">
            <v>36</v>
          </cell>
          <cell r="AM7">
            <v>37</v>
          </cell>
          <cell r="AN7">
            <v>38</v>
          </cell>
          <cell r="AO7">
            <v>39</v>
          </cell>
          <cell r="AP7">
            <v>40</v>
          </cell>
          <cell r="AQ7">
            <v>41</v>
          </cell>
          <cell r="AR7">
            <v>42</v>
          </cell>
          <cell r="AS7">
            <v>43</v>
          </cell>
          <cell r="AT7">
            <v>44</v>
          </cell>
          <cell r="AU7">
            <v>45</v>
          </cell>
          <cell r="AV7">
            <v>46</v>
          </cell>
          <cell r="AW7">
            <v>47</v>
          </cell>
          <cell r="AX7">
            <v>48</v>
          </cell>
        </row>
        <row r="8">
          <cell r="A8" t="str">
            <v>ASSETS</v>
          </cell>
        </row>
        <row r="9">
          <cell r="A9" t="str">
            <v>Номер корректировки</v>
          </cell>
          <cell r="B9">
            <v>0</v>
          </cell>
          <cell r="C9">
            <v>1</v>
          </cell>
          <cell r="D9">
            <v>2</v>
          </cell>
          <cell r="E9">
            <v>3</v>
          </cell>
          <cell r="F9">
            <v>4</v>
          </cell>
          <cell r="G9">
            <v>5</v>
          </cell>
          <cell r="H9">
            <v>6</v>
          </cell>
          <cell r="I9">
            <v>7</v>
          </cell>
          <cell r="J9">
            <v>8</v>
          </cell>
          <cell r="K9">
            <v>9</v>
          </cell>
          <cell r="L9">
            <v>10</v>
          </cell>
          <cell r="M9">
            <v>11</v>
          </cell>
          <cell r="N9">
            <v>12</v>
          </cell>
          <cell r="O9">
            <v>13</v>
          </cell>
          <cell r="P9">
            <v>14</v>
          </cell>
          <cell r="Q9">
            <v>15</v>
          </cell>
          <cell r="R9">
            <v>16</v>
          </cell>
          <cell r="S9">
            <v>17</v>
          </cell>
          <cell r="T9">
            <v>18</v>
          </cell>
          <cell r="U9">
            <v>19</v>
          </cell>
          <cell r="V9">
            <v>20</v>
          </cell>
          <cell r="W9">
            <v>21</v>
          </cell>
          <cell r="X9">
            <v>22</v>
          </cell>
          <cell r="Y9">
            <v>23</v>
          </cell>
          <cell r="Z9">
            <v>24</v>
          </cell>
          <cell r="AA9">
            <v>25</v>
          </cell>
          <cell r="AB9">
            <v>26</v>
          </cell>
          <cell r="AC9">
            <v>27</v>
          </cell>
          <cell r="AD9">
            <v>28</v>
          </cell>
          <cell r="AE9">
            <v>29</v>
          </cell>
          <cell r="AF9">
            <v>30</v>
          </cell>
          <cell r="AG9">
            <v>31</v>
          </cell>
          <cell r="AH9">
            <v>32</v>
          </cell>
          <cell r="AI9">
            <v>33</v>
          </cell>
          <cell r="AJ9">
            <v>34</v>
          </cell>
          <cell r="AK9">
            <v>35</v>
          </cell>
          <cell r="AL9">
            <v>36</v>
          </cell>
          <cell r="AM9">
            <v>37</v>
          </cell>
          <cell r="AN9">
            <v>38</v>
          </cell>
          <cell r="AO9">
            <v>39</v>
          </cell>
          <cell r="AP9">
            <v>40</v>
          </cell>
          <cell r="AQ9">
            <v>41</v>
          </cell>
          <cell r="AR9">
            <v>42</v>
          </cell>
          <cell r="AS9">
            <v>43</v>
          </cell>
          <cell r="AT9">
            <v>44</v>
          </cell>
          <cell r="AU9">
            <v>45</v>
          </cell>
          <cell r="AV9">
            <v>46</v>
          </cell>
          <cell r="AW9">
            <v>47</v>
          </cell>
          <cell r="AX9">
            <v>48</v>
          </cell>
          <cell r="AY9">
            <v>0</v>
          </cell>
        </row>
        <row r="10">
          <cell r="A10" t="str">
            <v>Precious metals and stones</v>
          </cell>
          <cell r="B10">
            <v>0</v>
          </cell>
          <cell r="AY10">
            <v>0</v>
          </cell>
        </row>
        <row r="11">
          <cell r="A11" t="str">
            <v>Касса и краткосрочные средства</v>
          </cell>
          <cell r="B11">
            <v>15156</v>
          </cell>
          <cell r="AY11">
            <v>15156</v>
          </cell>
          <cell r="AZ11">
            <v>-500</v>
          </cell>
        </row>
        <row r="12">
          <cell r="A12" t="str">
            <v>Драгоценные металлы</v>
          </cell>
          <cell r="B12">
            <v>0</v>
          </cell>
          <cell r="AY12">
            <v>0</v>
          </cell>
        </row>
        <row r="13">
          <cell r="A13" t="str">
            <v>Ценные бумаги для перепродажи</v>
          </cell>
          <cell r="B13">
            <v>21538</v>
          </cell>
          <cell r="AY13">
            <v>21538</v>
          </cell>
          <cell r="AZ13">
            <v>0</v>
          </cell>
        </row>
        <row r="14">
          <cell r="A14" t="str">
            <v>Ценные бумаги по договорам репо</v>
          </cell>
          <cell r="B14">
            <v>0</v>
          </cell>
          <cell r="AY14">
            <v>0</v>
          </cell>
        </row>
        <row r="15">
          <cell r="A15" t="str">
            <v>Ссуды и авансовые платежи клиентам</v>
          </cell>
          <cell r="B15">
            <v>42703</v>
          </cell>
          <cell r="AY15">
            <v>42703</v>
          </cell>
          <cell r="AZ15">
            <v>42479</v>
          </cell>
        </row>
        <row r="16">
          <cell r="A16" t="str">
            <v>За вычетом:Резерва на покрытие безнадежных и сомнительныхдолгов</v>
          </cell>
          <cell r="B16">
            <v>-224</v>
          </cell>
          <cell r="AY16">
            <v>-224</v>
          </cell>
        </row>
        <row r="17">
          <cell r="A17" t="str">
            <v>Ссуды и авансовые платежи банкам</v>
          </cell>
          <cell r="B17">
            <v>11400</v>
          </cell>
          <cell r="AY17">
            <v>11400</v>
          </cell>
          <cell r="AZ17">
            <v>11354</v>
          </cell>
        </row>
        <row r="18">
          <cell r="A18" t="str">
            <v>За вычетом:Резерва на покрытие безнадежных и сомнительныхдолгов</v>
          </cell>
          <cell r="B18">
            <v>-46</v>
          </cell>
          <cell r="AY18">
            <v>-46</v>
          </cell>
        </row>
        <row r="19">
          <cell r="A19" t="str">
            <v>Основные средства</v>
          </cell>
          <cell r="B19">
            <v>784</v>
          </cell>
          <cell r="AY19">
            <v>784</v>
          </cell>
          <cell r="AZ19">
            <v>0</v>
          </cell>
        </row>
        <row r="20">
          <cell r="A20" t="str">
            <v xml:space="preserve">Инвестиции в неконсолидированные дочерние, </v>
          </cell>
          <cell r="B20">
            <v>0</v>
          </cell>
          <cell r="AY20">
            <v>0</v>
          </cell>
        </row>
        <row r="21">
          <cell r="A21" t="str">
            <v>ассоциированные компании</v>
          </cell>
          <cell r="B21">
            <v>0</v>
          </cell>
          <cell r="AY21">
            <v>0</v>
          </cell>
        </row>
        <row r="22">
          <cell r="A22" t="str">
            <v xml:space="preserve"> и прочие долгосрочные инвестиции</v>
          </cell>
          <cell r="B22">
            <v>12</v>
          </cell>
          <cell r="AY22">
            <v>12</v>
          </cell>
          <cell r="AZ22">
            <v>-1170</v>
          </cell>
        </row>
        <row r="23">
          <cell r="A23" t="str">
            <v>Резерв под обесценение долгосрочных инвестиций</v>
          </cell>
          <cell r="B23">
            <v>-1182</v>
          </cell>
          <cell r="AY23">
            <v>-1182</v>
          </cell>
        </row>
        <row r="24">
          <cell r="A24" t="str">
            <v xml:space="preserve">Наращенные доходы и отложенные расходы (предоплаты) </v>
          </cell>
          <cell r="B24">
            <v>-500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row>
        <row r="25">
          <cell r="A25" t="str">
            <v>Прочие активы</v>
          </cell>
          <cell r="B25">
            <v>2295</v>
          </cell>
          <cell r="AY25">
            <v>2295</v>
          </cell>
          <cell r="AZ25">
            <v>2295</v>
          </cell>
        </row>
        <row r="26">
          <cell r="A26" t="str">
            <v>Резерв на покрытие убытков по прочим активам</v>
          </cell>
          <cell r="B26">
            <v>0</v>
          </cell>
        </row>
        <row r="27">
          <cell r="A27" t="str">
            <v>Итого по активам</v>
          </cell>
          <cell r="B27">
            <v>92436</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92436</v>
          </cell>
        </row>
        <row r="28">
          <cell r="A28" t="str">
            <v>Customer accounts</v>
          </cell>
          <cell r="B28">
            <v>123</v>
          </cell>
          <cell r="AY28">
            <v>123</v>
          </cell>
        </row>
        <row r="29">
          <cell r="A29" t="str">
            <v>Заемные средства</v>
          </cell>
          <cell r="B29">
            <v>0</v>
          </cell>
          <cell r="AY29">
            <v>0</v>
          </cell>
        </row>
        <row r="30">
          <cell r="A30" t="str">
            <v>Deposits from banks</v>
          </cell>
          <cell r="B30">
            <v>0</v>
          </cell>
          <cell r="AY30">
            <v>0</v>
          </cell>
        </row>
        <row r="31">
          <cell r="A31" t="str">
            <v>Средства клиентов</v>
          </cell>
          <cell r="B31">
            <v>-17709</v>
          </cell>
          <cell r="AY31">
            <v>-17709</v>
          </cell>
        </row>
        <row r="32">
          <cell r="A32" t="str">
            <v>Счета других банков</v>
          </cell>
          <cell r="B32">
            <v>-4000</v>
          </cell>
          <cell r="AY32">
            <v>-4000</v>
          </cell>
        </row>
        <row r="33">
          <cell r="A33" t="str">
            <v>Ценные бумаги, выпущенные Банком</v>
          </cell>
          <cell r="B33">
            <v>-4036</v>
          </cell>
          <cell r="AY33">
            <v>-4036</v>
          </cell>
        </row>
        <row r="34">
          <cell r="A34" t="str">
            <v>Наращенные расходы и отложенные доходы</v>
          </cell>
          <cell r="B34">
            <v>123</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A35" t="str">
            <v>Прочие заемные средства</v>
          </cell>
          <cell r="B35">
            <v>-29373</v>
          </cell>
          <cell r="AY35">
            <v>-29373</v>
          </cell>
        </row>
        <row r="36">
          <cell r="B36">
            <v>-55118</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-55118</v>
          </cell>
        </row>
        <row r="37">
          <cell r="A37" t="str">
            <v>Средства акционеров</v>
          </cell>
          <cell r="B37">
            <v>0</v>
          </cell>
          <cell r="AY37">
            <v>0</v>
          </cell>
        </row>
        <row r="38">
          <cell r="A38" t="str">
            <v>Share premium</v>
          </cell>
          <cell r="B38">
            <v>0</v>
          </cell>
          <cell r="AY38">
            <v>0</v>
          </cell>
        </row>
        <row r="39">
          <cell r="A39" t="str">
            <v>Акционерный капитал</v>
          </cell>
          <cell r="B39">
            <v>-35000</v>
          </cell>
          <cell r="AY39">
            <v>-35000</v>
          </cell>
        </row>
        <row r="40">
          <cell r="A40" t="str">
            <v>Эмиссионный доход</v>
          </cell>
          <cell r="B40">
            <v>0</v>
          </cell>
          <cell r="C40">
            <v>0</v>
          </cell>
          <cell r="D40">
            <v>0</v>
          </cell>
          <cell r="E40">
            <v>0</v>
          </cell>
          <cell r="AY40">
            <v>0</v>
          </cell>
          <cell r="AZ40">
            <v>0</v>
          </cell>
        </row>
        <row r="41">
          <cell r="A41" t="str">
            <v>Резерв по переоценке основных средств</v>
          </cell>
          <cell r="B41">
            <v>0</v>
          </cell>
          <cell r="AY41">
            <v>0</v>
          </cell>
        </row>
        <row r="42">
          <cell r="A42" t="str">
            <v>Нераспределенная прибыль и прочие фонды</v>
          </cell>
          <cell r="B42">
            <v>-1467</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-1467</v>
          </cell>
          <cell r="AZ42">
            <v>-2318</v>
          </cell>
        </row>
        <row r="43">
          <cell r="A43" t="str">
            <v>Переоценка иностранной валюты</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-377</v>
          </cell>
        </row>
        <row r="44">
          <cell r="A44" t="str">
            <v>Прибыль за отчетный период</v>
          </cell>
          <cell r="B44">
            <v>-851</v>
          </cell>
          <cell r="AY44">
            <v>-851</v>
          </cell>
        </row>
        <row r="45">
          <cell r="A45" t="str">
            <v>Итого по заемным средствам и средствам акционеров</v>
          </cell>
          <cell r="B45">
            <v>-92436</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-92436</v>
          </cell>
        </row>
        <row r="47">
          <cell r="A47" t="str">
            <v>ПРИБЫЛЬ И УБЫТКИ</v>
          </cell>
          <cell r="B47">
            <v>0</v>
          </cell>
          <cell r="AY47">
            <v>0</v>
          </cell>
        </row>
        <row r="48">
          <cell r="A48" t="str">
            <v>Interest income on securities</v>
          </cell>
          <cell r="B48">
            <v>0</v>
          </cell>
          <cell r="AY48">
            <v>0</v>
          </cell>
        </row>
        <row r="49">
          <cell r="A49" t="str">
            <v>Процентные доходы по ссудам</v>
          </cell>
          <cell r="B49">
            <v>-123271</v>
          </cell>
          <cell r="AY49">
            <v>-123271</v>
          </cell>
        </row>
        <row r="50">
          <cell r="A50" t="str">
            <v>Процентные доходы по ценным бумагам</v>
          </cell>
          <cell r="B50">
            <v>-18214</v>
          </cell>
          <cell r="AY50">
            <v>-18214</v>
          </cell>
        </row>
        <row r="51">
          <cell r="A51" t="str">
            <v>Процентные расходы по счетам клиентов и банков</v>
          </cell>
          <cell r="B51">
            <v>79036</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79036</v>
          </cell>
        </row>
        <row r="52">
          <cell r="A52" t="str">
            <v>Процентные расходы по ценным бумагам</v>
          </cell>
          <cell r="B52">
            <v>6032</v>
          </cell>
          <cell r="AY52">
            <v>6032</v>
          </cell>
        </row>
        <row r="53">
          <cell r="A53" t="str">
            <v>Чистые процентные доходы</v>
          </cell>
          <cell r="B53">
            <v>-56417</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A54" t="str">
            <v>Доходы от платных услуг и комиссионные</v>
          </cell>
          <cell r="B54">
            <v>-14920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-14920</v>
          </cell>
        </row>
        <row r="55">
          <cell r="A55" t="str">
            <v>Расходы на оплату услуг и комиссионные</v>
          </cell>
          <cell r="B55">
            <v>5330</v>
          </cell>
          <cell r="AY55">
            <v>5330</v>
          </cell>
        </row>
        <row r="56">
          <cell r="A56" t="str">
            <v>Чистый доход от валютных операций</v>
          </cell>
          <cell r="B56">
            <v>86</v>
          </cell>
          <cell r="D56">
            <v>0</v>
          </cell>
          <cell r="AY56">
            <v>86</v>
          </cell>
        </row>
        <row r="57">
          <cell r="A57" t="str">
            <v>Чистый доход от переоценки иностранной валюты</v>
          </cell>
          <cell r="B57">
            <v>10166</v>
          </cell>
          <cell r="E57">
            <v>0</v>
          </cell>
          <cell r="AY57">
            <v>10166</v>
          </cell>
        </row>
        <row r="58">
          <cell r="A58" t="str">
            <v>Чистый  доход от операций с ценными бумагами</v>
          </cell>
          <cell r="B58">
            <v>19718</v>
          </cell>
          <cell r="C58">
            <v>0</v>
          </cell>
          <cell r="AY58">
            <v>19718</v>
          </cell>
        </row>
        <row r="59">
          <cell r="A59" t="str">
            <v>Чистый доход от операций с драгметаллами</v>
          </cell>
          <cell r="B59">
            <v>0</v>
          </cell>
          <cell r="AY59">
            <v>0</v>
          </cell>
        </row>
        <row r="60">
          <cell r="A60" t="str">
            <v>Прибыль до налогообложения и отчислений в резервы</v>
          </cell>
          <cell r="B60">
            <v>-562</v>
          </cell>
          <cell r="AY60">
            <v>-562</v>
          </cell>
        </row>
        <row r="61">
          <cell r="A61" t="str">
            <v>Прочие операционные доходы</v>
          </cell>
          <cell r="B61">
            <v>-683</v>
          </cell>
          <cell r="AY61">
            <v>-683</v>
          </cell>
        </row>
        <row r="62">
          <cell r="A62" t="str">
            <v>Резерв на покрытие безнадежных и сомнительных долгов</v>
          </cell>
          <cell r="B62">
            <v>3557</v>
          </cell>
          <cell r="AY62">
            <v>3557</v>
          </cell>
        </row>
        <row r="63">
          <cell r="A63" t="str">
            <v>Резерв под обесценение инвестиций</v>
          </cell>
          <cell r="B63">
            <v>767</v>
          </cell>
          <cell r="AY63">
            <v>767</v>
          </cell>
        </row>
        <row r="64">
          <cell r="A64" t="str">
            <v>Резерв на покрытие убытков по прочим активам</v>
          </cell>
          <cell r="B64">
            <v>0</v>
          </cell>
          <cell r="AY64">
            <v>0</v>
          </cell>
        </row>
        <row r="65">
          <cell r="A65" t="str">
            <v>Расходы на содержание персонала</v>
          </cell>
          <cell r="B65">
            <v>5096</v>
          </cell>
          <cell r="AY65">
            <v>5096</v>
          </cell>
        </row>
        <row r="66">
          <cell r="A66" t="str">
            <v>Общие, хозяйственные и прочие операционные расходы</v>
          </cell>
          <cell r="B66">
            <v>23649</v>
          </cell>
          <cell r="AY66">
            <v>23649</v>
          </cell>
          <cell r="AZ66">
            <v>23649</v>
          </cell>
        </row>
        <row r="67">
          <cell r="A67" t="str">
            <v>Прибыль до налогообложения</v>
          </cell>
          <cell r="B67">
            <v>-4213</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-4213</v>
          </cell>
        </row>
        <row r="68">
          <cell r="A68" t="str">
            <v>Дивиденды</v>
          </cell>
          <cell r="AY68">
            <v>0</v>
          </cell>
        </row>
        <row r="69">
          <cell r="A69" t="str">
            <v>Налогообложение</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A70" t="str">
            <v>Чистая прибыль</v>
          </cell>
          <cell r="B70">
            <v>-4213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t="str">
            <v>Control:</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-377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2"/>
  <sheetViews>
    <sheetView view="pageBreakPreview" topLeftCell="A29" zoomScale="98" zoomScaleNormal="100" zoomScaleSheetLayoutView="98" workbookViewId="0">
      <selection activeCell="A59" sqref="A59"/>
    </sheetView>
  </sheetViews>
  <sheetFormatPr defaultColWidth="7.81640625" defaultRowHeight="13.5"/>
  <cols>
    <col min="1" max="1" width="5.1796875" style="489" customWidth="1"/>
    <col min="2" max="2" width="97" style="489" customWidth="1"/>
    <col min="3" max="3" width="10.1796875" style="489" bestFit="1" customWidth="1"/>
    <col min="4" max="4" width="12.1796875" style="489" customWidth="1"/>
    <col min="5" max="16384" width="7.81640625" style="489"/>
  </cols>
  <sheetData>
    <row r="1" spans="1:7" s="486" customFormat="1">
      <c r="C1" s="501"/>
      <c r="E1" s="490"/>
      <c r="F1" s="490"/>
      <c r="G1" s="490"/>
    </row>
    <row r="2" spans="1:7" s="486" customFormat="1">
      <c r="C2" s="501"/>
      <c r="E2" s="490"/>
      <c r="F2" s="490"/>
      <c r="G2" s="490"/>
    </row>
    <row r="3" spans="1:7" s="486" customFormat="1">
      <c r="C3" s="501"/>
      <c r="E3" s="490"/>
      <c r="F3" s="490"/>
      <c r="G3" s="490"/>
    </row>
    <row r="4" spans="1:7" s="486" customFormat="1">
      <c r="C4" s="501"/>
      <c r="E4" s="490"/>
      <c r="F4" s="490"/>
      <c r="G4" s="490"/>
    </row>
    <row r="5" spans="1:7" s="486" customFormat="1" ht="15.75" customHeight="1">
      <c r="B5" s="501"/>
      <c r="C5" s="501"/>
      <c r="E5" s="490"/>
      <c r="F5" s="490"/>
      <c r="G5" s="490"/>
    </row>
    <row r="6" spans="1:7" s="486" customFormat="1">
      <c r="C6" s="501"/>
      <c r="E6" s="490"/>
      <c r="F6" s="490"/>
      <c r="G6" s="490"/>
    </row>
    <row r="7" spans="1:7" s="486" customFormat="1">
      <c r="C7" s="501"/>
      <c r="E7" s="490"/>
      <c r="F7" s="490"/>
      <c r="G7" s="490"/>
    </row>
    <row r="8" spans="1:7" s="486" customFormat="1">
      <c r="C8" s="501"/>
      <c r="E8" s="490"/>
      <c r="F8" s="490"/>
      <c r="G8" s="490"/>
    </row>
    <row r="9" spans="1:7" s="486" customFormat="1">
      <c r="C9" s="501"/>
      <c r="E9" s="490"/>
      <c r="F9" s="490"/>
      <c r="G9" s="490"/>
    </row>
    <row r="10" spans="1:7" s="486" customFormat="1" ht="9.75" customHeight="1">
      <c r="C10" s="501"/>
      <c r="E10" s="490"/>
      <c r="F10" s="490"/>
      <c r="G10" s="490"/>
    </row>
    <row r="11" spans="1:7" s="486" customFormat="1">
      <c r="A11" s="488" t="s">
        <v>96</v>
      </c>
      <c r="B11" s="640"/>
      <c r="C11" s="488"/>
      <c r="D11" s="640"/>
      <c r="E11" s="490"/>
      <c r="F11" s="490"/>
      <c r="G11" s="490"/>
    </row>
    <row r="12" spans="1:7" s="486" customFormat="1" ht="10.5" customHeight="1">
      <c r="C12" s="501"/>
      <c r="E12" s="490"/>
      <c r="F12" s="490"/>
      <c r="G12" s="490"/>
    </row>
    <row r="13" spans="1:7" s="486" customFormat="1">
      <c r="A13" s="486" t="s">
        <v>24</v>
      </c>
      <c r="C13" s="501"/>
      <c r="E13" s="490"/>
      <c r="F13" s="490"/>
      <c r="G13" s="490"/>
    </row>
    <row r="14" spans="1:7" s="486" customFormat="1">
      <c r="A14" s="501" t="s">
        <v>1905</v>
      </c>
      <c r="C14" s="501"/>
      <c r="E14" s="490"/>
      <c r="F14" s="490"/>
      <c r="G14" s="490"/>
    </row>
    <row r="15" spans="1:7" s="486" customFormat="1">
      <c r="A15" s="501"/>
      <c r="C15" s="501"/>
      <c r="E15" s="490"/>
      <c r="F15" s="490"/>
      <c r="G15" s="490"/>
    </row>
    <row r="16" spans="1:7" s="486" customFormat="1">
      <c r="A16" s="501" t="s">
        <v>3051</v>
      </c>
      <c r="C16" s="501"/>
      <c r="E16" s="490"/>
      <c r="F16" s="490"/>
      <c r="G16" s="490"/>
    </row>
    <row r="17" spans="1:11" s="486" customFormat="1" ht="9" customHeight="1">
      <c r="A17" s="501"/>
      <c r="C17" s="501"/>
      <c r="E17" s="490"/>
      <c r="F17" s="490"/>
      <c r="G17" s="490"/>
    </row>
    <row r="18" spans="1:11" s="486" customFormat="1" ht="65.25" customHeight="1">
      <c r="A18" s="934" t="s">
        <v>3409</v>
      </c>
      <c r="B18" s="934"/>
      <c r="C18" s="501"/>
      <c r="E18" s="490"/>
      <c r="F18" s="490"/>
      <c r="G18" s="490"/>
    </row>
    <row r="19" spans="1:11" s="486" customFormat="1" ht="9" customHeight="1">
      <c r="A19" s="487"/>
      <c r="C19" s="501"/>
      <c r="E19" s="490"/>
      <c r="F19" s="490"/>
      <c r="G19" s="490"/>
    </row>
    <row r="20" spans="1:11" s="486" customFormat="1">
      <c r="A20" s="501" t="s">
        <v>54</v>
      </c>
      <c r="C20" s="501"/>
      <c r="E20" s="490"/>
      <c r="F20" s="490"/>
      <c r="G20" s="490"/>
    </row>
    <row r="21" spans="1:11" s="486" customFormat="1" ht="10.5" customHeight="1">
      <c r="C21" s="501"/>
      <c r="E21" s="490"/>
      <c r="F21" s="490"/>
      <c r="G21" s="490"/>
    </row>
    <row r="22" spans="1:11" s="486" customFormat="1" ht="76.5" customHeight="1">
      <c r="A22" s="934" t="s">
        <v>3378</v>
      </c>
      <c r="B22" s="934"/>
      <c r="C22" s="492"/>
      <c r="D22" s="520"/>
      <c r="E22" s="520"/>
      <c r="F22" s="520"/>
      <c r="G22" s="520"/>
      <c r="H22" s="520"/>
      <c r="I22" s="520"/>
      <c r="J22" s="520"/>
      <c r="K22" s="520"/>
    </row>
    <row r="23" spans="1:11" s="486" customFormat="1" ht="8.25" hidden="1" customHeight="1">
      <c r="A23" s="487"/>
      <c r="B23" s="520"/>
      <c r="C23" s="492"/>
      <c r="D23" s="520"/>
      <c r="E23" s="520"/>
      <c r="F23" s="520"/>
      <c r="G23" s="520"/>
      <c r="H23" s="520"/>
      <c r="I23" s="520"/>
      <c r="J23" s="520"/>
      <c r="K23" s="520"/>
    </row>
    <row r="24" spans="1:11" s="486" customFormat="1">
      <c r="A24" s="501" t="s">
        <v>55</v>
      </c>
      <c r="B24" s="520"/>
      <c r="C24" s="492"/>
      <c r="D24" s="520"/>
      <c r="E24" s="520"/>
      <c r="F24" s="520"/>
      <c r="G24" s="520"/>
      <c r="H24" s="520"/>
      <c r="I24" s="520"/>
      <c r="J24" s="520"/>
      <c r="K24" s="520"/>
    </row>
    <row r="25" spans="1:11" s="486" customFormat="1" ht="9.75" customHeight="1">
      <c r="A25" s="520"/>
      <c r="B25" s="520"/>
      <c r="C25" s="492"/>
      <c r="D25" s="520"/>
      <c r="E25" s="520"/>
      <c r="F25" s="520"/>
      <c r="G25" s="520"/>
      <c r="H25" s="520"/>
      <c r="I25" s="520"/>
      <c r="J25" s="520"/>
      <c r="K25" s="520"/>
    </row>
    <row r="26" spans="1:11" s="486" customFormat="1" ht="52.5" customHeight="1">
      <c r="A26" s="934" t="s">
        <v>475</v>
      </c>
      <c r="B26" s="934"/>
      <c r="C26" s="501"/>
      <c r="E26" s="490"/>
      <c r="F26" s="490"/>
      <c r="G26" s="490"/>
    </row>
    <row r="27" spans="1:11" s="486" customFormat="1" ht="6" customHeight="1">
      <c r="A27" s="487"/>
      <c r="C27" s="501"/>
      <c r="E27" s="490"/>
      <c r="F27" s="490"/>
      <c r="G27" s="490"/>
    </row>
    <row r="28" spans="1:11" s="486" customFormat="1" ht="119.25" customHeight="1">
      <c r="A28" s="934" t="s">
        <v>97</v>
      </c>
      <c r="B28" s="934"/>
      <c r="C28" s="501"/>
      <c r="E28" s="490"/>
      <c r="F28" s="490"/>
      <c r="G28" s="490"/>
    </row>
    <row r="29" spans="1:11" s="486" customFormat="1" ht="6.75" customHeight="1">
      <c r="A29" s="487"/>
      <c r="C29" s="501"/>
      <c r="E29" s="490"/>
      <c r="F29" s="490"/>
      <c r="G29" s="490"/>
    </row>
    <row r="30" spans="1:11" s="486" customFormat="1" ht="28.5" customHeight="1">
      <c r="A30" s="934" t="s">
        <v>56</v>
      </c>
      <c r="B30" s="934"/>
      <c r="C30" s="501"/>
      <c r="E30" s="490"/>
      <c r="F30" s="490"/>
      <c r="G30" s="490"/>
    </row>
    <row r="31" spans="1:11" s="486" customFormat="1" ht="2.25" customHeight="1">
      <c r="A31" s="487"/>
      <c r="C31" s="501"/>
      <c r="E31" s="490"/>
      <c r="F31" s="490"/>
      <c r="G31" s="490"/>
    </row>
    <row r="32" spans="1:11" s="486" customFormat="1">
      <c r="A32" s="501" t="s">
        <v>1938</v>
      </c>
      <c r="C32" s="501"/>
      <c r="E32" s="490"/>
      <c r="F32" s="490"/>
      <c r="G32" s="490"/>
    </row>
    <row r="33" spans="1:7" s="486" customFormat="1" ht="8.25" customHeight="1">
      <c r="A33" s="487"/>
      <c r="C33" s="501"/>
      <c r="E33" s="490"/>
      <c r="F33" s="490"/>
      <c r="G33" s="490"/>
    </row>
    <row r="34" spans="1:7" s="486" customFormat="1" ht="58.5" customHeight="1">
      <c r="A34" s="934" t="s">
        <v>3396</v>
      </c>
      <c r="B34" s="934"/>
      <c r="C34" s="501"/>
      <c r="E34" s="490"/>
      <c r="F34" s="490"/>
      <c r="G34" s="490"/>
    </row>
    <row r="35" spans="1:7" s="486" customFormat="1" ht="6.75" customHeight="1">
      <c r="A35" s="487"/>
      <c r="C35" s="501"/>
      <c r="E35" s="490"/>
      <c r="F35" s="490"/>
      <c r="G35" s="490"/>
    </row>
    <row r="36" spans="1:7" s="486" customFormat="1">
      <c r="A36" s="501" t="s">
        <v>3352</v>
      </c>
      <c r="C36" s="501"/>
      <c r="E36" s="490"/>
      <c r="F36" s="490"/>
      <c r="G36" s="490"/>
    </row>
    <row r="37" spans="1:7" s="486" customFormat="1" ht="8.25" customHeight="1">
      <c r="A37" s="487"/>
      <c r="C37" s="501"/>
      <c r="E37" s="490"/>
      <c r="F37" s="490"/>
      <c r="G37" s="490"/>
    </row>
    <row r="38" spans="1:7" s="486" customFormat="1" ht="39" customHeight="1">
      <c r="A38" s="934" t="s">
        <v>478</v>
      </c>
      <c r="B38" s="934"/>
      <c r="C38" s="501"/>
      <c r="E38" s="490"/>
      <c r="F38" s="490"/>
      <c r="G38" s="490"/>
    </row>
    <row r="39" spans="1:7" s="486" customFormat="1" ht="9.75" customHeight="1">
      <c r="A39" s="487"/>
      <c r="C39" s="501"/>
      <c r="E39" s="490"/>
      <c r="F39" s="490"/>
      <c r="G39" s="490"/>
    </row>
    <row r="40" spans="1:7" s="486" customFormat="1" ht="30" customHeight="1">
      <c r="A40" s="934" t="s">
        <v>1923</v>
      </c>
      <c r="B40" s="934"/>
      <c r="C40" s="501"/>
      <c r="E40" s="490"/>
      <c r="F40" s="490"/>
      <c r="G40" s="490"/>
    </row>
    <row r="41" spans="1:7" s="486" customFormat="1" ht="4.5" customHeight="1">
      <c r="C41" s="501"/>
      <c r="E41" s="490"/>
      <c r="F41" s="490"/>
      <c r="G41" s="490"/>
    </row>
    <row r="42" spans="1:7" s="486" customFormat="1" ht="30.75" customHeight="1">
      <c r="A42" s="644" t="s">
        <v>3408</v>
      </c>
      <c r="B42" s="487" t="s">
        <v>3052</v>
      </c>
      <c r="C42" s="608"/>
      <c r="E42" s="490"/>
      <c r="F42" s="490"/>
      <c r="G42" s="490"/>
    </row>
    <row r="43" spans="1:7" s="486" customFormat="1" ht="9.75" hidden="1" customHeight="1">
      <c r="B43" s="641"/>
      <c r="C43" s="608"/>
      <c r="E43" s="490"/>
      <c r="F43" s="490"/>
      <c r="G43" s="490"/>
    </row>
    <row r="44" spans="1:7" s="486" customFormat="1" ht="27">
      <c r="A44" s="644" t="s">
        <v>3408</v>
      </c>
      <c r="B44" s="642" t="s">
        <v>1924</v>
      </c>
      <c r="C44" s="608"/>
      <c r="E44" s="490"/>
      <c r="F44" s="490"/>
      <c r="G44" s="490"/>
    </row>
    <row r="45" spans="1:7" s="486" customFormat="1" ht="6" customHeight="1">
      <c r="B45" s="641"/>
      <c r="C45" s="608"/>
      <c r="E45" s="490"/>
      <c r="F45" s="490"/>
      <c r="G45" s="490"/>
    </row>
    <row r="46" spans="1:7" s="486" customFormat="1" ht="27">
      <c r="A46" s="644" t="s">
        <v>3408</v>
      </c>
      <c r="B46" s="642" t="s">
        <v>3053</v>
      </c>
      <c r="C46" s="608"/>
      <c r="E46" s="490"/>
      <c r="F46" s="490"/>
      <c r="G46" s="490"/>
    </row>
    <row r="47" spans="1:7" s="486" customFormat="1" ht="1.5" customHeight="1">
      <c r="B47" s="641"/>
      <c r="C47" s="608"/>
      <c r="E47" s="490"/>
      <c r="F47" s="490"/>
      <c r="G47" s="490"/>
    </row>
    <row r="48" spans="1:7" s="486" customFormat="1" ht="26.25" customHeight="1">
      <c r="A48" s="644" t="s">
        <v>3408</v>
      </c>
      <c r="B48" s="642" t="s">
        <v>3038</v>
      </c>
      <c r="C48" s="608"/>
      <c r="E48" s="490"/>
      <c r="F48" s="490"/>
      <c r="G48" s="490"/>
    </row>
    <row r="49" spans="1:7" s="486" customFormat="1" ht="9" customHeight="1">
      <c r="B49" s="641"/>
      <c r="C49" s="608"/>
      <c r="E49" s="490"/>
      <c r="F49" s="490"/>
      <c r="G49" s="490"/>
    </row>
    <row r="50" spans="1:7" s="486" customFormat="1" ht="16.5" customHeight="1">
      <c r="E50" s="490"/>
      <c r="F50" s="490"/>
      <c r="G50" s="490"/>
    </row>
    <row r="51" spans="1:7" s="486" customFormat="1" ht="12.75" customHeight="1">
      <c r="E51" s="490"/>
      <c r="F51" s="490"/>
      <c r="G51" s="490"/>
    </row>
    <row r="52" spans="1:7" s="486" customFormat="1">
      <c r="A52" s="501" t="s">
        <v>68</v>
      </c>
      <c r="C52" s="501"/>
      <c r="E52" s="490"/>
      <c r="F52" s="490"/>
      <c r="G52" s="490"/>
    </row>
    <row r="53" spans="1:7" s="486" customFormat="1">
      <c r="A53" s="501" t="s">
        <v>466</v>
      </c>
      <c r="C53" s="501"/>
      <c r="E53" s="490"/>
      <c r="F53" s="490"/>
      <c r="G53" s="490"/>
    </row>
    <row r="54" spans="1:7" s="486" customFormat="1" ht="11.25" customHeight="1">
      <c r="A54" s="501"/>
      <c r="C54" s="501"/>
      <c r="E54" s="490"/>
      <c r="F54" s="490"/>
      <c r="G54" s="490"/>
    </row>
    <row r="55" spans="1:7" s="486" customFormat="1" ht="13.5" customHeight="1">
      <c r="A55" s="501"/>
      <c r="C55" s="501"/>
      <c r="E55" s="490"/>
      <c r="F55" s="490"/>
      <c r="G55" s="490"/>
    </row>
    <row r="56" spans="1:7" s="486" customFormat="1" ht="12.75" customHeight="1">
      <c r="C56" s="501"/>
      <c r="E56" s="490"/>
      <c r="F56" s="490"/>
      <c r="G56" s="490"/>
    </row>
    <row r="57" spans="1:7" s="486" customFormat="1">
      <c r="A57" s="501" t="s">
        <v>3350</v>
      </c>
      <c r="C57" s="501"/>
      <c r="E57" s="490"/>
      <c r="F57" s="490"/>
      <c r="G57" s="490"/>
    </row>
    <row r="58" spans="1:7" s="486" customFormat="1">
      <c r="A58" s="501" t="s">
        <v>3351</v>
      </c>
      <c r="C58" s="501"/>
      <c r="E58" s="490"/>
      <c r="F58" s="490"/>
      <c r="G58" s="490"/>
    </row>
    <row r="59" spans="1:7" s="486" customFormat="1" ht="14.25" customHeight="1">
      <c r="A59" s="501" t="s">
        <v>3403</v>
      </c>
      <c r="C59" s="501"/>
      <c r="E59" s="490"/>
      <c r="F59" s="490"/>
      <c r="G59" s="490"/>
    </row>
    <row r="60" spans="1:7" s="486" customFormat="1" ht="14.25" customHeight="1">
      <c r="A60" s="493"/>
      <c r="C60" s="501"/>
      <c r="E60" s="490"/>
      <c r="F60" s="490"/>
      <c r="G60" s="490"/>
    </row>
    <row r="61" spans="1:7" s="486" customFormat="1">
      <c r="A61" s="498" t="s">
        <v>467</v>
      </c>
      <c r="C61" s="501"/>
      <c r="E61" s="490"/>
      <c r="F61" s="490"/>
      <c r="G61" s="490"/>
    </row>
    <row r="62" spans="1:7" s="486" customFormat="1">
      <c r="C62" s="501"/>
      <c r="E62" s="490"/>
      <c r="F62" s="490"/>
      <c r="G62" s="490"/>
    </row>
  </sheetData>
  <customSheetViews>
    <customSheetView guid="{DCF92C3B-6938-11D5-A24D-00E098813E3B}" scale="75" showPageBreaks="1" fitToPage="1" printArea="1" hiddenRows="1" view="pageBreakPreview" showRuler="0" topLeftCell="A5">
      <selection activeCell="A5" sqref="A5:M62"/>
      <pageMargins left="1" right="1" top="1.25" bottom="1" header="0.5" footer="0.5"/>
      <pageSetup paperSize="9" scale="68" orientation="portrait" r:id="rId1"/>
      <headerFooter alignWithMargins="0">
        <oddFooter>&amp;C4</oddFooter>
      </headerFooter>
    </customSheetView>
  </customSheetViews>
  <mergeCells count="8">
    <mergeCell ref="A40:B40"/>
    <mergeCell ref="A38:B38"/>
    <mergeCell ref="A22:B22"/>
    <mergeCell ref="A18:B18"/>
    <mergeCell ref="A34:B34"/>
    <mergeCell ref="A30:B30"/>
    <mergeCell ref="A28:B28"/>
    <mergeCell ref="A26:B26"/>
  </mergeCells>
  <phoneticPr fontId="0" type="noConversion"/>
  <pageMargins left="0.78740157480314965" right="0.78740157480314965" top="0.78740157480314965" bottom="0.78740157480314965" header="0.51181102362204722" footer="0.51181102362204722"/>
  <pageSetup paperSize="9" scale="85" firstPageNumber="34" orientation="portrait" useFirstPageNumber="1" r:id="rId2"/>
  <headerFooter alignWithMargins="0">
    <oddFooter>&amp;C&amp;"Frutiger 45 Light,Regular"&amp;11&amp;P</oddFooter>
  </headerFooter>
  <rowBreaks count="1" manualBreakCount="1">
    <brk id="35"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16"/>
  <sheetViews>
    <sheetView view="pageBreakPreview" topLeftCell="A79" zoomScaleSheetLayoutView="100" workbookViewId="0">
      <selection activeCell="J102" sqref="J102"/>
    </sheetView>
  </sheetViews>
  <sheetFormatPr defaultColWidth="9.1796875" defaultRowHeight="14"/>
  <cols>
    <col min="1" max="2" width="2.453125" style="233" customWidth="1"/>
    <col min="3" max="3" width="25.54296875" style="208" customWidth="1"/>
    <col min="4" max="4" width="13.26953125" style="245" customWidth="1"/>
    <col min="5" max="5" width="10.54296875" style="245" customWidth="1"/>
    <col min="6" max="6" width="12.1796875" style="245" customWidth="1"/>
    <col min="7" max="7" width="0.26953125" style="245" customWidth="1"/>
    <col min="8" max="8" width="12.453125" style="245" customWidth="1"/>
    <col min="9" max="9" width="0.26953125" style="245" customWidth="1"/>
    <col min="10" max="10" width="12" style="245" customWidth="1"/>
    <col min="11" max="11" width="0.453125" style="245" customWidth="1"/>
    <col min="12" max="12" width="11.81640625" style="245" customWidth="1"/>
    <col min="13" max="13" width="0.81640625" style="245" customWidth="1"/>
    <col min="14" max="14" width="12.7265625" style="245" customWidth="1"/>
    <col min="15" max="15" width="1.54296875" style="245" customWidth="1"/>
    <col min="16" max="16" width="13.81640625" style="246" customWidth="1"/>
    <col min="17" max="17" width="14.453125" style="208" customWidth="1"/>
    <col min="18" max="18" width="14.453125" style="208" bestFit="1" customWidth="1"/>
    <col min="19" max="19" width="15.453125" style="208" bestFit="1" customWidth="1"/>
    <col min="20" max="20" width="9.1796875" style="208"/>
    <col min="21" max="21" width="15.7265625" style="208" bestFit="1" customWidth="1"/>
    <col min="22" max="22" width="14" style="208" bestFit="1" customWidth="1"/>
    <col min="23" max="23" width="10.81640625" style="208" bestFit="1" customWidth="1"/>
    <col min="24" max="16384" width="9.1796875" style="208"/>
  </cols>
  <sheetData>
    <row r="1" spans="1:34" ht="15.75" customHeight="1">
      <c r="A1" s="127" t="e">
        <f>#REF!</f>
        <v>#REF!</v>
      </c>
      <c r="B1" s="127"/>
      <c r="C1" s="130"/>
      <c r="D1" s="133"/>
    </row>
    <row r="2" spans="1:34" ht="9.75" customHeight="1">
      <c r="A2" s="131"/>
      <c r="B2" s="131"/>
      <c r="C2" s="128"/>
      <c r="D2" s="132"/>
      <c r="E2" s="206"/>
    </row>
    <row r="3" spans="1:34" ht="15.75" customHeight="1">
      <c r="A3" s="131" t="s">
        <v>442</v>
      </c>
      <c r="B3" s="131"/>
      <c r="C3" s="130"/>
      <c r="D3" s="133"/>
    </row>
    <row r="4" spans="1:34" s="226" customFormat="1" ht="15.75" customHeight="1">
      <c r="A4" s="204" t="e">
        <f>#REF!</f>
        <v>#REF!</v>
      </c>
      <c r="B4" s="204"/>
      <c r="D4" s="253"/>
      <c r="E4" s="253"/>
      <c r="F4" s="253"/>
      <c r="G4" s="253"/>
      <c r="H4" s="253"/>
      <c r="I4" s="253"/>
      <c r="J4" s="253"/>
      <c r="K4" s="253"/>
      <c r="L4" s="253"/>
      <c r="M4" s="253"/>
      <c r="N4" s="253"/>
      <c r="O4" s="253"/>
      <c r="P4" s="254"/>
      <c r="R4" s="208"/>
      <c r="S4" s="208"/>
      <c r="T4" s="208"/>
      <c r="U4" s="208"/>
      <c r="V4" s="208"/>
      <c r="W4" s="208"/>
      <c r="X4" s="208"/>
      <c r="Y4" s="208"/>
      <c r="Z4" s="208"/>
      <c r="AA4" s="208"/>
      <c r="AB4" s="208"/>
      <c r="AC4" s="208"/>
      <c r="AD4" s="208"/>
      <c r="AE4" s="208"/>
      <c r="AF4" s="208"/>
      <c r="AG4" s="208"/>
      <c r="AH4" s="208"/>
    </row>
    <row r="5" spans="1:34" ht="10.5" customHeight="1">
      <c r="A5" s="205"/>
      <c r="B5" s="205"/>
      <c r="C5" s="205"/>
      <c r="D5" s="206"/>
      <c r="E5" s="206"/>
    </row>
    <row r="6" spans="1:34" ht="28.5" customHeight="1">
      <c r="A6" s="1014" t="s">
        <v>323</v>
      </c>
      <c r="B6" s="1014"/>
      <c r="C6" s="1015"/>
      <c r="D6" s="1015"/>
      <c r="E6" s="1015"/>
      <c r="F6" s="1015"/>
      <c r="G6" s="1015"/>
      <c r="H6" s="1015"/>
      <c r="I6" s="1015"/>
      <c r="J6" s="1015"/>
      <c r="K6" s="1015"/>
      <c r="L6" s="1015"/>
      <c r="M6" s="1015"/>
      <c r="N6" s="1015"/>
      <c r="O6" s="1015"/>
      <c r="P6" s="1015"/>
    </row>
    <row r="7" spans="1:34" ht="11.25" customHeight="1">
      <c r="A7" s="126"/>
      <c r="B7" s="126"/>
      <c r="C7" s="255"/>
      <c r="D7" s="256"/>
      <c r="E7" s="256"/>
      <c r="F7" s="256"/>
      <c r="G7" s="256"/>
      <c r="H7" s="256"/>
      <c r="I7" s="256"/>
    </row>
    <row r="8" spans="1:34">
      <c r="A8" s="257" t="s">
        <v>411</v>
      </c>
      <c r="B8" s="257"/>
      <c r="C8" s="255"/>
      <c r="D8" s="256"/>
      <c r="E8" s="256"/>
      <c r="F8" s="256"/>
      <c r="G8" s="256"/>
      <c r="H8" s="256"/>
      <c r="I8" s="256"/>
    </row>
    <row r="9" spans="1:34" ht="12.75" customHeight="1">
      <c r="A9" s="208"/>
      <c r="B9" s="208"/>
      <c r="C9" s="205"/>
      <c r="D9" s="206"/>
      <c r="E9" s="206"/>
      <c r="F9" s="246"/>
      <c r="G9" s="246"/>
      <c r="H9" s="246"/>
      <c r="I9" s="246"/>
      <c r="J9" s="208"/>
      <c r="K9" s="246"/>
      <c r="L9" s="246"/>
      <c r="M9" s="246"/>
      <c r="N9" s="246"/>
      <c r="O9" s="246"/>
    </row>
    <row r="10" spans="1:34" ht="15.75" customHeight="1">
      <c r="A10" s="208"/>
      <c r="B10" s="208"/>
      <c r="C10" s="205"/>
      <c r="D10" s="274" t="s">
        <v>428</v>
      </c>
      <c r="E10" s="206"/>
      <c r="F10" s="246"/>
      <c r="G10" s="246"/>
      <c r="H10" s="246"/>
      <c r="I10" s="246"/>
      <c r="J10" s="246"/>
      <c r="K10" s="246"/>
      <c r="L10" s="246"/>
      <c r="M10" s="246"/>
      <c r="N10" s="246"/>
      <c r="O10" s="246"/>
    </row>
    <row r="11" spans="1:34" ht="15.75" customHeight="1">
      <c r="A11" s="126"/>
      <c r="B11" s="126"/>
      <c r="C11" s="205"/>
      <c r="D11" s="246" t="s">
        <v>427</v>
      </c>
      <c r="E11" s="246" t="s">
        <v>432</v>
      </c>
      <c r="F11" s="208"/>
      <c r="G11" s="246"/>
      <c r="H11" s="208"/>
      <c r="I11" s="246"/>
      <c r="J11" s="246" t="s">
        <v>66</v>
      </c>
      <c r="K11" s="215"/>
      <c r="L11" s="246"/>
      <c r="M11" s="246"/>
      <c r="N11" s="246"/>
      <c r="O11" s="246"/>
    </row>
    <row r="12" spans="1:34" ht="15.75" customHeight="1">
      <c r="A12" s="126"/>
      <c r="B12" s="126"/>
      <c r="C12" s="205"/>
      <c r="D12" s="246" t="s">
        <v>430</v>
      </c>
      <c r="E12" s="246" t="s">
        <v>431</v>
      </c>
      <c r="F12" s="246" t="s">
        <v>98</v>
      </c>
      <c r="G12" s="246"/>
      <c r="H12" s="215" t="s">
        <v>99</v>
      </c>
      <c r="I12" s="246"/>
      <c r="J12" s="215" t="s">
        <v>101</v>
      </c>
      <c r="K12" s="215"/>
      <c r="L12" s="246"/>
      <c r="M12" s="246"/>
      <c r="N12" s="246"/>
      <c r="O12" s="246"/>
    </row>
    <row r="13" spans="1:34" ht="15.75" customHeight="1">
      <c r="A13" s="218"/>
      <c r="B13" s="218"/>
      <c r="D13" s="246" t="s">
        <v>429</v>
      </c>
      <c r="E13" s="215" t="s">
        <v>105</v>
      </c>
      <c r="F13" s="215" t="s">
        <v>65</v>
      </c>
      <c r="G13" s="214"/>
      <c r="H13" s="215" t="s">
        <v>100</v>
      </c>
      <c r="I13" s="214"/>
      <c r="J13" s="246" t="s">
        <v>102</v>
      </c>
      <c r="K13" s="246"/>
      <c r="L13" s="258" t="s">
        <v>103</v>
      </c>
      <c r="M13" s="258"/>
      <c r="N13" s="246" t="s">
        <v>104</v>
      </c>
      <c r="O13" s="246"/>
      <c r="P13" s="215" t="s">
        <v>12</v>
      </c>
    </row>
    <row r="14" spans="1:34" ht="12" customHeight="1">
      <c r="A14" s="218"/>
      <c r="B14" s="218"/>
      <c r="F14" s="215"/>
      <c r="G14" s="214"/>
      <c r="H14" s="215"/>
      <c r="I14" s="214"/>
      <c r="J14" s="246"/>
      <c r="K14" s="246"/>
      <c r="L14" s="258"/>
      <c r="M14" s="258"/>
      <c r="N14" s="246"/>
      <c r="O14" s="246"/>
      <c r="P14" s="215"/>
    </row>
    <row r="15" spans="1:34" ht="15.75" customHeight="1">
      <c r="A15" s="126" t="s">
        <v>107</v>
      </c>
      <c r="B15" s="126"/>
    </row>
    <row r="16" spans="1:34" ht="12" customHeight="1">
      <c r="A16" s="208"/>
      <c r="B16" s="208"/>
      <c r="H16" s="240"/>
    </row>
    <row r="17" spans="1:18" ht="15.75" customHeight="1">
      <c r="A17" s="208" t="s">
        <v>4</v>
      </c>
      <c r="B17" s="208"/>
      <c r="D17" s="248" t="s">
        <v>31</v>
      </c>
      <c r="E17" s="259" t="s">
        <v>31</v>
      </c>
      <c r="F17" s="259" t="s">
        <v>31</v>
      </c>
      <c r="G17" s="240"/>
      <c r="H17" s="240">
        <v>3841107</v>
      </c>
      <c r="I17" s="240"/>
      <c r="J17" s="259" t="s">
        <v>31</v>
      </c>
      <c r="K17" s="240"/>
      <c r="L17" s="259" t="s">
        <v>31</v>
      </c>
      <c r="M17" s="240"/>
      <c r="N17" s="259" t="s">
        <v>31</v>
      </c>
      <c r="O17" s="240"/>
      <c r="P17" s="230">
        <f>SUM(E17:O17)</f>
        <v>3841107</v>
      </c>
    </row>
    <row r="18" spans="1:18" ht="15.75" customHeight="1">
      <c r="A18" s="205" t="s">
        <v>90</v>
      </c>
      <c r="B18" s="205"/>
      <c r="D18" s="248" t="s">
        <v>31</v>
      </c>
      <c r="E18" s="259" t="s">
        <v>31</v>
      </c>
      <c r="F18" s="259" t="s">
        <v>31</v>
      </c>
      <c r="G18" s="240"/>
      <c r="H18" s="259" t="s">
        <v>31</v>
      </c>
      <c r="I18" s="240"/>
      <c r="J18" s="248" t="s">
        <v>31</v>
      </c>
      <c r="K18" s="240"/>
      <c r="L18" s="259" t="s">
        <v>31</v>
      </c>
      <c r="M18" s="240"/>
      <c r="N18" s="259" t="s">
        <v>31</v>
      </c>
      <c r="O18" s="240"/>
      <c r="P18" s="230">
        <f t="shared" ref="P18:P23" si="0">SUM(E18:O18)</f>
        <v>0</v>
      </c>
    </row>
    <row r="19" spans="1:18" ht="15.75" customHeight="1">
      <c r="A19" s="205" t="s">
        <v>8</v>
      </c>
      <c r="B19" s="205"/>
      <c r="D19" s="260">
        <v>0.15</v>
      </c>
      <c r="E19" s="259" t="s">
        <v>31</v>
      </c>
      <c r="F19" s="259" t="s">
        <v>31</v>
      </c>
      <c r="G19" s="240"/>
      <c r="H19" s="259" t="s">
        <v>31</v>
      </c>
      <c r="I19" s="240"/>
      <c r="J19" s="248" t="s">
        <v>31</v>
      </c>
      <c r="K19" s="240"/>
      <c r="L19" s="240">
        <v>12072963</v>
      </c>
      <c r="M19" s="240"/>
      <c r="N19" s="259" t="s">
        <v>31</v>
      </c>
      <c r="O19" s="240"/>
      <c r="P19" s="230">
        <f t="shared" si="0"/>
        <v>12072963</v>
      </c>
    </row>
    <row r="20" spans="1:18" ht="15.75" customHeight="1">
      <c r="A20" s="205" t="s">
        <v>53</v>
      </c>
      <c r="B20" s="205"/>
      <c r="D20" s="248" t="s">
        <v>31</v>
      </c>
      <c r="E20" s="259" t="s">
        <v>31</v>
      </c>
      <c r="F20" s="259" t="s">
        <v>31</v>
      </c>
      <c r="G20" s="240"/>
      <c r="H20" s="240" t="e">
        <f>(#REF!/2)+(#REF!)+(#REF!/2)</f>
        <v>#REF!</v>
      </c>
      <c r="I20" s="240"/>
      <c r="J20" s="240">
        <f>19715617-9720913</f>
        <v>9994704</v>
      </c>
      <c r="K20" s="240"/>
      <c r="L20" s="259" t="s">
        <v>31</v>
      </c>
      <c r="M20" s="240"/>
      <c r="N20" s="259" t="s">
        <v>31</v>
      </c>
      <c r="O20" s="240"/>
      <c r="P20" s="230" t="e">
        <f t="shared" si="0"/>
        <v>#REF!</v>
      </c>
    </row>
    <row r="21" spans="1:18" ht="15.75" customHeight="1">
      <c r="A21" s="205" t="s">
        <v>419</v>
      </c>
      <c r="B21" s="205"/>
      <c r="D21" s="261"/>
      <c r="E21" s="259" t="s">
        <v>31</v>
      </c>
      <c r="F21" s="259" t="s">
        <v>31</v>
      </c>
      <c r="G21" s="240"/>
      <c r="H21" s="240">
        <v>2067134.6562445667</v>
      </c>
      <c r="I21" s="240"/>
      <c r="J21" s="240">
        <v>7962301.8473551953</v>
      </c>
      <c r="K21" s="240"/>
      <c r="L21" s="240">
        <v>355553.43187018088</v>
      </c>
      <c r="M21" s="240"/>
      <c r="N21" s="259" t="s">
        <v>31</v>
      </c>
      <c r="O21" s="240"/>
      <c r="P21" s="230">
        <f t="shared" si="0"/>
        <v>10384989.935469944</v>
      </c>
    </row>
    <row r="22" spans="1:18" ht="15.75" customHeight="1">
      <c r="A22" s="208" t="s">
        <v>25</v>
      </c>
      <c r="B22" s="208"/>
      <c r="D22" s="261"/>
      <c r="E22" s="240">
        <v>625123</v>
      </c>
      <c r="F22" s="240">
        <v>2590000</v>
      </c>
      <c r="G22" s="240"/>
      <c r="H22" s="259" t="s">
        <v>31</v>
      </c>
      <c r="I22" s="240"/>
      <c r="J22" s="240">
        <v>440728</v>
      </c>
      <c r="K22" s="240"/>
      <c r="L22" s="259" t="s">
        <v>31</v>
      </c>
      <c r="M22" s="240"/>
      <c r="N22" s="259" t="s">
        <v>31</v>
      </c>
      <c r="O22" s="240"/>
      <c r="P22" s="230">
        <f t="shared" si="0"/>
        <v>3655851</v>
      </c>
    </row>
    <row r="23" spans="1:18" ht="15.75" customHeight="1">
      <c r="A23" s="208" t="s">
        <v>106</v>
      </c>
      <c r="B23" s="208"/>
      <c r="D23" s="248"/>
      <c r="E23" s="240"/>
      <c r="F23" s="240"/>
      <c r="G23" s="240"/>
      <c r="H23" s="240"/>
      <c r="I23" s="240"/>
      <c r="K23" s="240"/>
      <c r="L23" s="240"/>
      <c r="M23" s="240"/>
      <c r="N23" s="240"/>
      <c r="O23" s="240"/>
      <c r="P23" s="230">
        <f t="shared" si="0"/>
        <v>0</v>
      </c>
    </row>
    <row r="24" spans="1:18" ht="15.75" customHeight="1">
      <c r="A24" s="208"/>
      <c r="B24" s="208"/>
      <c r="E24" s="262"/>
      <c r="F24" s="262"/>
      <c r="G24" s="262"/>
      <c r="H24" s="262"/>
      <c r="I24" s="262"/>
      <c r="J24" s="262"/>
      <c r="K24" s="262"/>
      <c r="L24" s="262"/>
      <c r="M24" s="262"/>
      <c r="N24" s="262"/>
      <c r="O24" s="262"/>
      <c r="P24" s="263"/>
    </row>
    <row r="25" spans="1:18" ht="15.75" customHeight="1">
      <c r="A25" s="229"/>
      <c r="B25" s="229"/>
      <c r="E25" s="230">
        <f>SUM(E17:E22)</f>
        <v>625123</v>
      </c>
      <c r="F25" s="264" t="s">
        <v>31</v>
      </c>
      <c r="G25" s="230"/>
      <c r="H25" s="230" t="e">
        <f>SUM(H17:H24)</f>
        <v>#REF!</v>
      </c>
      <c r="I25" s="230"/>
      <c r="J25" s="230">
        <f>SUM(J17:J24)</f>
        <v>18397733.847355194</v>
      </c>
      <c r="K25" s="230"/>
      <c r="L25" s="230">
        <f>SUM(L17:L24)</f>
        <v>12428516.431870181</v>
      </c>
      <c r="M25" s="230"/>
      <c r="N25" s="264" t="s">
        <v>31</v>
      </c>
      <c r="O25" s="230"/>
      <c r="P25" s="230" t="e">
        <f>SUM(P17:P24)</f>
        <v>#REF!</v>
      </c>
      <c r="Q25" s="220"/>
      <c r="R25" s="220"/>
    </row>
    <row r="26" spans="1:18" s="229" customFormat="1" ht="15.75" customHeight="1">
      <c r="A26" s="229" t="s">
        <v>109</v>
      </c>
      <c r="D26" s="246"/>
      <c r="E26" s="230"/>
      <c r="F26" s="230"/>
      <c r="G26" s="230"/>
      <c r="H26" s="230"/>
      <c r="I26" s="230"/>
      <c r="J26" s="230"/>
      <c r="K26" s="230"/>
      <c r="L26" s="230"/>
      <c r="M26" s="230"/>
      <c r="N26" s="230"/>
      <c r="O26" s="230"/>
      <c r="P26" s="230"/>
    </row>
    <row r="27" spans="1:18" ht="15.75" customHeight="1">
      <c r="A27" s="205" t="s">
        <v>2</v>
      </c>
      <c r="B27" s="205"/>
      <c r="D27" s="248"/>
      <c r="E27" s="240" t="s">
        <v>31</v>
      </c>
      <c r="F27" s="240" t="s">
        <v>31</v>
      </c>
      <c r="G27" s="230"/>
      <c r="H27" s="240" t="s">
        <v>31</v>
      </c>
      <c r="I27" s="230"/>
      <c r="J27" s="240" t="s">
        <v>31</v>
      </c>
      <c r="K27" s="230"/>
      <c r="L27" s="240" t="s">
        <v>31</v>
      </c>
      <c r="M27" s="230"/>
      <c r="N27" s="240" t="e">
        <f>+#REF!</f>
        <v>#REF!</v>
      </c>
      <c r="O27" s="230"/>
      <c r="P27" s="230" t="e">
        <f>SUM(E27:O27)</f>
        <v>#REF!</v>
      </c>
      <c r="Q27" s="220"/>
      <c r="R27" s="220"/>
    </row>
    <row r="28" spans="1:18" ht="15.75" customHeight="1">
      <c r="A28" s="205" t="s">
        <v>86</v>
      </c>
      <c r="B28" s="205"/>
      <c r="D28" s="248"/>
      <c r="E28" s="240" t="s">
        <v>31</v>
      </c>
      <c r="F28" s="240" t="s">
        <v>31</v>
      </c>
      <c r="G28" s="230"/>
      <c r="H28" s="240" t="s">
        <v>31</v>
      </c>
      <c r="I28" s="230"/>
      <c r="J28" s="240" t="s">
        <v>31</v>
      </c>
      <c r="K28" s="230"/>
      <c r="L28" s="240" t="s">
        <v>31</v>
      </c>
      <c r="M28" s="230"/>
      <c r="N28" s="240" t="e">
        <f>+#REF!</f>
        <v>#REF!</v>
      </c>
      <c r="O28" s="230"/>
      <c r="P28" s="230" t="e">
        <f>SUM(E28:O28)</f>
        <v>#REF!</v>
      </c>
      <c r="Q28" s="220"/>
      <c r="R28" s="220"/>
    </row>
    <row r="29" spans="1:18" ht="15.75" customHeight="1">
      <c r="A29" s="205" t="s">
        <v>36</v>
      </c>
      <c r="B29" s="205"/>
      <c r="D29" s="248"/>
      <c r="E29" s="241" t="s">
        <v>31</v>
      </c>
      <c r="F29" s="241" t="s">
        <v>31</v>
      </c>
      <c r="G29" s="231"/>
      <c r="H29" s="241" t="s">
        <v>31</v>
      </c>
      <c r="I29" s="231"/>
      <c r="J29" s="241" t="s">
        <v>31</v>
      </c>
      <c r="K29" s="231"/>
      <c r="L29" s="241" t="s">
        <v>31</v>
      </c>
      <c r="M29" s="231"/>
      <c r="N29" s="241" t="e">
        <f>+#REF!</f>
        <v>#REF!</v>
      </c>
      <c r="O29" s="231"/>
      <c r="P29" s="231" t="e">
        <f>SUM(E29:O29)</f>
        <v>#REF!</v>
      </c>
      <c r="Q29" s="220"/>
      <c r="R29" s="220"/>
    </row>
    <row r="30" spans="1:18" ht="15.75" customHeight="1">
      <c r="A30" s="205"/>
      <c r="B30" s="205"/>
      <c r="E30" s="230"/>
      <c r="F30" s="264"/>
      <c r="G30" s="230"/>
      <c r="H30" s="230"/>
      <c r="I30" s="230"/>
      <c r="J30" s="230"/>
      <c r="K30" s="230"/>
      <c r="L30" s="230"/>
      <c r="M30" s="230"/>
      <c r="N30" s="240"/>
      <c r="O30" s="230"/>
      <c r="P30" s="230"/>
      <c r="Q30" s="220"/>
      <c r="R30" s="220"/>
    </row>
    <row r="31" spans="1:18" ht="15.75" customHeight="1">
      <c r="A31" s="229"/>
      <c r="B31" s="229"/>
      <c r="E31" s="265">
        <f>SUM(E25:E29)</f>
        <v>625123</v>
      </c>
      <c r="F31" s="265" t="s">
        <v>31</v>
      </c>
      <c r="G31" s="231"/>
      <c r="H31" s="231" t="e">
        <f>SUM(H25:H29)</f>
        <v>#REF!</v>
      </c>
      <c r="I31" s="231"/>
      <c r="J31" s="231">
        <f>SUM(J25:J29)</f>
        <v>18397733.847355194</v>
      </c>
      <c r="K31" s="231"/>
      <c r="L31" s="231">
        <f>SUM(L25:L29)</f>
        <v>12428516.431870181</v>
      </c>
      <c r="M31" s="231"/>
      <c r="N31" s="231" t="e">
        <f>SUM(N25:N29)</f>
        <v>#REF!</v>
      </c>
      <c r="O31" s="231"/>
      <c r="P31" s="231" t="e">
        <f>SUM(P25:P29)</f>
        <v>#REF!</v>
      </c>
      <c r="Q31" s="220"/>
      <c r="R31" s="220"/>
    </row>
    <row r="32" spans="1:18" ht="15.75" customHeight="1">
      <c r="A32" s="127" t="e">
        <f>A1</f>
        <v>#REF!</v>
      </c>
      <c r="B32" s="127"/>
      <c r="C32" s="130"/>
      <c r="D32" s="133"/>
      <c r="Q32" s="220"/>
      <c r="R32" s="220"/>
    </row>
    <row r="33" spans="1:19" ht="12.75" customHeight="1">
      <c r="A33" s="131"/>
      <c r="B33" s="131"/>
      <c r="C33" s="128"/>
      <c r="D33" s="132"/>
      <c r="E33" s="206"/>
      <c r="Q33" s="220"/>
      <c r="R33" s="220"/>
    </row>
    <row r="34" spans="1:19" ht="15.75" customHeight="1">
      <c r="A34" s="131" t="s">
        <v>443</v>
      </c>
      <c r="B34" s="131"/>
      <c r="C34" s="130"/>
      <c r="D34" s="133"/>
      <c r="Q34" s="220"/>
      <c r="R34" s="220"/>
    </row>
    <row r="35" spans="1:19" ht="15.75" customHeight="1">
      <c r="A35" s="204" t="e">
        <f>A4</f>
        <v>#REF!</v>
      </c>
      <c r="B35" s="204"/>
      <c r="C35" s="226"/>
      <c r="D35" s="253"/>
      <c r="E35" s="253"/>
      <c r="F35" s="253"/>
      <c r="G35" s="253"/>
      <c r="H35" s="253"/>
      <c r="I35" s="253"/>
      <c r="J35" s="253"/>
      <c r="K35" s="253"/>
      <c r="L35" s="253"/>
      <c r="M35" s="253"/>
      <c r="N35" s="253"/>
      <c r="O35" s="253"/>
      <c r="P35" s="254"/>
      <c r="Q35" s="220"/>
      <c r="R35" s="220"/>
    </row>
    <row r="36" spans="1:19" ht="13.5" customHeight="1">
      <c r="A36" s="229"/>
      <c r="B36" s="229"/>
      <c r="E36" s="264"/>
      <c r="F36" s="264"/>
      <c r="G36" s="230"/>
      <c r="H36" s="230"/>
      <c r="I36" s="230"/>
      <c r="J36" s="230"/>
      <c r="K36" s="230"/>
      <c r="L36" s="230"/>
      <c r="M36" s="230"/>
      <c r="N36" s="230"/>
      <c r="O36" s="230"/>
      <c r="P36" s="230"/>
      <c r="Q36" s="220"/>
      <c r="R36" s="220"/>
    </row>
    <row r="37" spans="1:19" ht="17.25" customHeight="1">
      <c r="A37" s="257" t="s">
        <v>433</v>
      </c>
      <c r="B37" s="257"/>
      <c r="C37" s="255"/>
      <c r="D37" s="256"/>
      <c r="E37" s="256"/>
      <c r="F37" s="256"/>
      <c r="G37" s="256"/>
      <c r="H37" s="256"/>
      <c r="I37" s="256"/>
      <c r="Q37" s="220"/>
    </row>
    <row r="38" spans="1:19" ht="14.25" customHeight="1">
      <c r="A38" s="208"/>
      <c r="B38" s="208"/>
      <c r="C38" s="205"/>
      <c r="D38" s="206"/>
      <c r="E38" s="206"/>
      <c r="F38" s="246"/>
      <c r="G38" s="246"/>
      <c r="H38" s="246"/>
      <c r="I38" s="246"/>
      <c r="J38" s="208"/>
      <c r="K38" s="246"/>
      <c r="L38" s="246"/>
      <c r="M38" s="246"/>
      <c r="N38" s="246"/>
      <c r="O38" s="246"/>
      <c r="Q38" s="220"/>
    </row>
    <row r="39" spans="1:19" ht="17.25" customHeight="1">
      <c r="A39" s="208"/>
      <c r="B39" s="208"/>
      <c r="C39" s="205"/>
      <c r="D39" s="274" t="s">
        <v>428</v>
      </c>
      <c r="E39" s="206"/>
      <c r="F39" s="246"/>
      <c r="G39" s="246"/>
      <c r="H39" s="246"/>
      <c r="I39" s="246"/>
      <c r="J39" s="246"/>
      <c r="K39" s="246"/>
      <c r="L39" s="246"/>
      <c r="M39" s="246"/>
      <c r="N39" s="246"/>
      <c r="O39" s="246"/>
      <c r="Q39" s="220"/>
    </row>
    <row r="40" spans="1:19" ht="17.25" customHeight="1">
      <c r="A40" s="126"/>
      <c r="B40" s="126"/>
      <c r="C40" s="205"/>
      <c r="D40" s="246" t="s">
        <v>427</v>
      </c>
      <c r="E40" s="246" t="s">
        <v>432</v>
      </c>
      <c r="F40" s="208"/>
      <c r="G40" s="246"/>
      <c r="H40" s="208"/>
      <c r="I40" s="246"/>
      <c r="J40" s="246" t="s">
        <v>66</v>
      </c>
      <c r="K40" s="215"/>
      <c r="L40" s="246"/>
      <c r="M40" s="246"/>
      <c r="N40" s="246"/>
      <c r="O40" s="246"/>
      <c r="Q40" s="220"/>
    </row>
    <row r="41" spans="1:19" ht="17.25" customHeight="1">
      <c r="A41" s="126"/>
      <c r="B41" s="126"/>
      <c r="C41" s="205"/>
      <c r="D41" s="246" t="s">
        <v>430</v>
      </c>
      <c r="E41" s="246" t="s">
        <v>431</v>
      </c>
      <c r="F41" s="246" t="s">
        <v>98</v>
      </c>
      <c r="G41" s="246"/>
      <c r="H41" s="215" t="s">
        <v>99</v>
      </c>
      <c r="I41" s="246"/>
      <c r="J41" s="215" t="s">
        <v>101</v>
      </c>
      <c r="K41" s="215"/>
      <c r="L41" s="246"/>
      <c r="M41" s="246"/>
      <c r="N41" s="246"/>
      <c r="O41" s="246"/>
      <c r="Q41" s="220"/>
    </row>
    <row r="42" spans="1:19" ht="17.25" customHeight="1">
      <c r="A42" s="218"/>
      <c r="B42" s="218"/>
      <c r="D42" s="246" t="s">
        <v>429</v>
      </c>
      <c r="E42" s="215" t="s">
        <v>105</v>
      </c>
      <c r="F42" s="215" t="s">
        <v>65</v>
      </c>
      <c r="G42" s="214"/>
      <c r="H42" s="215" t="s">
        <v>100</v>
      </c>
      <c r="I42" s="214"/>
      <c r="J42" s="246" t="s">
        <v>102</v>
      </c>
      <c r="K42" s="246"/>
      <c r="L42" s="258" t="s">
        <v>103</v>
      </c>
      <c r="M42" s="258"/>
      <c r="N42" s="246" t="s">
        <v>104</v>
      </c>
      <c r="O42" s="246"/>
      <c r="P42" s="215" t="s">
        <v>12</v>
      </c>
      <c r="Q42" s="220"/>
    </row>
    <row r="43" spans="1:19" ht="15.75" customHeight="1">
      <c r="A43" s="126" t="s">
        <v>108</v>
      </c>
      <c r="B43" s="126"/>
      <c r="E43" s="240"/>
      <c r="F43" s="240"/>
      <c r="G43" s="240"/>
      <c r="H43" s="240"/>
      <c r="I43" s="240"/>
      <c r="J43" s="266"/>
      <c r="K43" s="240"/>
      <c r="L43" s="266"/>
      <c r="M43" s="240"/>
      <c r="N43" s="240"/>
      <c r="O43" s="240"/>
      <c r="P43" s="267"/>
      <c r="Q43" s="220"/>
    </row>
    <row r="44" spans="1:19" ht="12" customHeight="1">
      <c r="A44" s="257"/>
      <c r="B44" s="257"/>
      <c r="E44" s="240"/>
      <c r="F44" s="240"/>
      <c r="G44" s="240"/>
      <c r="H44" s="240"/>
      <c r="I44" s="240"/>
      <c r="J44" s="266"/>
      <c r="K44" s="240"/>
      <c r="L44" s="266"/>
      <c r="M44" s="240"/>
      <c r="N44" s="240"/>
      <c r="O44" s="240"/>
      <c r="P44" s="267"/>
      <c r="Q44" s="220"/>
    </row>
    <row r="45" spans="1:19" ht="15.75" customHeight="1">
      <c r="A45" s="205" t="s">
        <v>57</v>
      </c>
      <c r="B45" s="205"/>
      <c r="D45" s="248"/>
      <c r="E45" s="240" t="e">
        <f>+#REF!</f>
        <v>#REF!</v>
      </c>
      <c r="F45" s="240" t="s">
        <v>31</v>
      </c>
      <c r="G45" s="240"/>
      <c r="H45" s="240" t="s">
        <v>31</v>
      </c>
      <c r="I45" s="240"/>
      <c r="J45" s="240" t="s">
        <v>31</v>
      </c>
      <c r="K45" s="240"/>
      <c r="L45" s="240" t="s">
        <v>31</v>
      </c>
      <c r="M45" s="240"/>
      <c r="N45" s="240" t="s">
        <v>31</v>
      </c>
      <c r="O45" s="240"/>
      <c r="P45" s="230" t="e">
        <f>SUM(E45:O45)</f>
        <v>#REF!</v>
      </c>
      <c r="Q45" s="237"/>
    </row>
    <row r="46" spans="1:19" ht="15.75" customHeight="1">
      <c r="A46" s="205" t="s">
        <v>421</v>
      </c>
      <c r="B46" s="205"/>
      <c r="D46" s="248"/>
      <c r="E46" s="240" t="s">
        <v>31</v>
      </c>
      <c r="F46" s="240" t="s">
        <v>31</v>
      </c>
      <c r="G46" s="240"/>
      <c r="H46" s="240" t="s">
        <v>31</v>
      </c>
      <c r="I46" s="240"/>
      <c r="J46" s="240" t="e">
        <f>#REF!</f>
        <v>#REF!</v>
      </c>
      <c r="K46" s="240"/>
      <c r="L46" s="240" t="s">
        <v>31</v>
      </c>
      <c r="M46" s="240"/>
      <c r="N46" s="240" t="s">
        <v>31</v>
      </c>
      <c r="O46" s="240"/>
      <c r="P46" s="230" t="e">
        <f>SUM(E46:O46)</f>
        <v>#REF!</v>
      </c>
      <c r="Q46" s="237"/>
    </row>
    <row r="47" spans="1:19" ht="15.75" customHeight="1">
      <c r="A47" s="205" t="s">
        <v>58</v>
      </c>
      <c r="B47" s="205"/>
      <c r="D47" s="268"/>
      <c r="E47" s="240">
        <v>673601</v>
      </c>
      <c r="F47" s="240">
        <f>2298991-673601</f>
        <v>1625390</v>
      </c>
      <c r="G47" s="240"/>
      <c r="H47" s="240">
        <f>9257731.088-2298991</f>
        <v>6958740.0879999995</v>
      </c>
      <c r="I47" s="240"/>
      <c r="J47" s="240">
        <v>35659432.791000001</v>
      </c>
      <c r="K47" s="240"/>
      <c r="L47" s="240">
        <v>1592357.8319999999</v>
      </c>
      <c r="M47" s="240"/>
      <c r="N47" s="240" t="s">
        <v>31</v>
      </c>
      <c r="O47" s="240"/>
      <c r="P47" s="230">
        <f>SUM(E47:O47)</f>
        <v>46509521.711000003</v>
      </c>
      <c r="Q47" s="237"/>
      <c r="R47" s="220"/>
      <c r="S47" s="269"/>
    </row>
    <row r="48" spans="1:19" ht="15.75" customHeight="1">
      <c r="A48" s="208" t="s">
        <v>40</v>
      </c>
      <c r="B48" s="208"/>
      <c r="D48" s="248"/>
      <c r="E48" s="240" t="s">
        <v>31</v>
      </c>
      <c r="F48" s="240" t="e">
        <f>#REF!</f>
        <v>#REF!</v>
      </c>
      <c r="G48" s="240"/>
      <c r="H48" s="240" t="s">
        <v>31</v>
      </c>
      <c r="I48" s="240"/>
      <c r="J48" s="240" t="s">
        <v>31</v>
      </c>
      <c r="K48" s="240"/>
      <c r="L48" s="240" t="s">
        <v>31</v>
      </c>
      <c r="M48" s="240"/>
      <c r="N48" s="240" t="s">
        <v>31</v>
      </c>
      <c r="O48" s="240"/>
      <c r="P48" s="230" t="e">
        <f>SUM(E48:O48)</f>
        <v>#REF!</v>
      </c>
      <c r="Q48" s="237"/>
    </row>
    <row r="49" spans="1:17" ht="15.75" customHeight="1">
      <c r="A49" s="208" t="s">
        <v>316</v>
      </c>
      <c r="B49" s="208"/>
      <c r="D49" s="248"/>
      <c r="E49" s="240" t="s">
        <v>31</v>
      </c>
      <c r="F49" s="240" t="s">
        <v>31</v>
      </c>
      <c r="G49" s="240"/>
      <c r="H49" s="240" t="s">
        <v>31</v>
      </c>
      <c r="I49" s="240"/>
      <c r="J49" s="240" t="s">
        <v>31</v>
      </c>
      <c r="K49" s="235"/>
      <c r="L49" s="240" t="s">
        <v>31</v>
      </c>
      <c r="M49" s="240"/>
      <c r="N49" s="240" t="s">
        <v>31</v>
      </c>
      <c r="O49" s="240"/>
      <c r="P49" s="230">
        <f>SUM(E49:O49)</f>
        <v>0</v>
      </c>
      <c r="Q49" s="237"/>
    </row>
    <row r="50" spans="1:17" ht="15.75" customHeight="1">
      <c r="A50" s="208"/>
      <c r="B50" s="208"/>
      <c r="E50" s="262"/>
      <c r="F50" s="262"/>
      <c r="G50" s="262"/>
      <c r="H50" s="262"/>
      <c r="I50" s="262"/>
      <c r="J50" s="262"/>
      <c r="K50" s="262"/>
      <c r="L50" s="262"/>
      <c r="M50" s="262"/>
      <c r="N50" s="262"/>
      <c r="O50" s="262"/>
      <c r="P50" s="263"/>
      <c r="Q50" s="237"/>
    </row>
    <row r="51" spans="1:17" s="229" customFormat="1" ht="15.75" customHeight="1">
      <c r="D51" s="246"/>
      <c r="E51" s="231" t="e">
        <f>SUM(E45:E50)</f>
        <v>#REF!</v>
      </c>
      <c r="F51" s="265" t="s">
        <v>31</v>
      </c>
      <c r="G51" s="231"/>
      <c r="H51" s="265" t="s">
        <v>31</v>
      </c>
      <c r="I51" s="231"/>
      <c r="J51" s="231" t="e">
        <f>SUM(J45:J50)</f>
        <v>#REF!</v>
      </c>
      <c r="K51" s="231"/>
      <c r="L51" s="231">
        <f>SUM(L45:L50)</f>
        <v>1592357.8319999999</v>
      </c>
      <c r="M51" s="231"/>
      <c r="N51" s="265" t="s">
        <v>31</v>
      </c>
      <c r="O51" s="231"/>
      <c r="P51" s="231" t="e">
        <f>SUM(P45:P50)</f>
        <v>#REF!</v>
      </c>
      <c r="Q51" s="236"/>
    </row>
    <row r="52" spans="1:17">
      <c r="A52" s="229"/>
      <c r="B52" s="229"/>
      <c r="E52" s="240"/>
      <c r="F52" s="240"/>
      <c r="G52" s="240"/>
      <c r="H52" s="240"/>
      <c r="I52" s="240"/>
      <c r="J52" s="266"/>
      <c r="K52" s="240"/>
      <c r="L52" s="266"/>
      <c r="M52" s="240"/>
      <c r="N52" s="240"/>
      <c r="O52" s="240"/>
      <c r="P52" s="267"/>
      <c r="Q52" s="220"/>
    </row>
    <row r="53" spans="1:17">
      <c r="A53" s="229"/>
      <c r="B53" s="229"/>
      <c r="E53" s="240"/>
      <c r="F53" s="240"/>
      <c r="G53" s="240"/>
      <c r="H53" s="240"/>
      <c r="I53" s="240"/>
      <c r="J53" s="266"/>
      <c r="K53" s="240"/>
      <c r="L53" s="266"/>
      <c r="M53" s="240"/>
      <c r="N53" s="240"/>
      <c r="O53" s="240"/>
      <c r="P53" s="267"/>
      <c r="Q53" s="220"/>
    </row>
    <row r="54" spans="1:17">
      <c r="A54" s="229"/>
      <c r="B54" s="229"/>
      <c r="E54" s="240"/>
      <c r="F54" s="240"/>
      <c r="G54" s="240"/>
      <c r="H54" s="240"/>
      <c r="I54" s="240"/>
      <c r="J54" s="266"/>
      <c r="K54" s="240"/>
      <c r="L54" s="266"/>
      <c r="M54" s="240"/>
      <c r="N54" s="240"/>
      <c r="O54" s="240"/>
      <c r="P54" s="267"/>
      <c r="Q54" s="220"/>
    </row>
    <row r="55" spans="1:17">
      <c r="A55" s="229"/>
      <c r="B55" s="229"/>
      <c r="E55" s="240"/>
      <c r="F55" s="240"/>
      <c r="G55" s="240"/>
      <c r="H55" s="240"/>
      <c r="I55" s="240"/>
      <c r="J55" s="266"/>
      <c r="K55" s="240"/>
      <c r="L55" s="266"/>
      <c r="M55" s="240"/>
      <c r="N55" s="240"/>
      <c r="O55" s="240"/>
      <c r="P55" s="267"/>
      <c r="Q55" s="220"/>
    </row>
    <row r="56" spans="1:17">
      <c r="A56" s="229"/>
      <c r="B56" s="229"/>
      <c r="E56" s="240"/>
      <c r="F56" s="240"/>
      <c r="G56" s="240"/>
      <c r="H56" s="240"/>
      <c r="I56" s="240"/>
      <c r="J56" s="266"/>
      <c r="K56" s="240"/>
      <c r="L56" s="266"/>
      <c r="M56" s="240"/>
      <c r="N56" s="240"/>
      <c r="O56" s="240"/>
      <c r="P56" s="267"/>
      <c r="Q56" s="220"/>
    </row>
    <row r="57" spans="1:17">
      <c r="A57" s="229"/>
      <c r="B57" s="229"/>
      <c r="E57" s="240"/>
      <c r="F57" s="240"/>
      <c r="G57" s="240"/>
      <c r="H57" s="240"/>
      <c r="I57" s="240"/>
      <c r="J57" s="266"/>
      <c r="K57" s="240"/>
      <c r="L57" s="266"/>
      <c r="M57" s="240"/>
      <c r="N57" s="240"/>
      <c r="O57" s="240"/>
      <c r="P57" s="267"/>
      <c r="Q57" s="220"/>
    </row>
    <row r="58" spans="1:17">
      <c r="A58" s="229"/>
      <c r="B58" s="229"/>
      <c r="E58" s="240"/>
      <c r="F58" s="240"/>
      <c r="G58" s="240"/>
      <c r="H58" s="240"/>
      <c r="I58" s="240"/>
      <c r="J58" s="266"/>
      <c r="K58" s="240"/>
      <c r="L58" s="266"/>
      <c r="M58" s="240"/>
      <c r="N58" s="240"/>
      <c r="O58" s="240"/>
      <c r="P58" s="267"/>
      <c r="Q58" s="220"/>
    </row>
    <row r="59" spans="1:17">
      <c r="A59" s="229"/>
      <c r="B59" s="229"/>
      <c r="E59" s="240"/>
      <c r="F59" s="240"/>
      <c r="G59" s="240"/>
      <c r="H59" s="240"/>
      <c r="I59" s="240"/>
      <c r="J59" s="266"/>
      <c r="K59" s="240"/>
      <c r="L59" s="266"/>
      <c r="M59" s="240"/>
      <c r="N59" s="240"/>
      <c r="O59" s="240"/>
      <c r="P59" s="267"/>
      <c r="Q59" s="220"/>
    </row>
    <row r="60" spans="1:17">
      <c r="A60" s="229"/>
      <c r="B60" s="229"/>
      <c r="E60" s="240"/>
      <c r="F60" s="240"/>
      <c r="G60" s="240"/>
      <c r="H60" s="240"/>
      <c r="I60" s="240"/>
      <c r="J60" s="266"/>
      <c r="K60" s="240"/>
      <c r="L60" s="266"/>
      <c r="M60" s="240"/>
      <c r="N60" s="240"/>
      <c r="O60" s="240"/>
      <c r="P60" s="267"/>
      <c r="Q60" s="220"/>
    </row>
    <row r="61" spans="1:17">
      <c r="A61" s="229"/>
      <c r="B61" s="229"/>
      <c r="E61" s="240"/>
      <c r="F61" s="240"/>
      <c r="G61" s="240"/>
      <c r="H61" s="240"/>
      <c r="I61" s="240"/>
      <c r="J61" s="266"/>
      <c r="K61" s="240"/>
      <c r="L61" s="266"/>
      <c r="M61" s="240"/>
      <c r="N61" s="240"/>
      <c r="O61" s="240"/>
      <c r="P61" s="267"/>
      <c r="Q61" s="220"/>
    </row>
    <row r="62" spans="1:17">
      <c r="A62" s="229"/>
      <c r="B62" s="229"/>
      <c r="E62" s="240"/>
      <c r="F62" s="240"/>
      <c r="G62" s="240"/>
      <c r="H62" s="240"/>
      <c r="I62" s="240"/>
      <c r="J62" s="266"/>
      <c r="K62" s="240"/>
      <c r="L62" s="266"/>
      <c r="M62" s="240"/>
      <c r="N62" s="240"/>
      <c r="O62" s="240"/>
      <c r="P62" s="267"/>
      <c r="Q62" s="220"/>
    </row>
    <row r="63" spans="1:17">
      <c r="A63" s="229"/>
      <c r="B63" s="229"/>
      <c r="E63" s="240"/>
      <c r="F63" s="240"/>
      <c r="G63" s="240"/>
      <c r="H63" s="240"/>
      <c r="I63" s="240"/>
      <c r="J63" s="266"/>
      <c r="K63" s="240"/>
      <c r="L63" s="266"/>
      <c r="M63" s="240"/>
      <c r="N63" s="240"/>
      <c r="O63" s="240"/>
      <c r="P63" s="267"/>
      <c r="Q63" s="220"/>
    </row>
    <row r="64" spans="1:17">
      <c r="A64" s="127" t="e">
        <f>A32</f>
        <v>#REF!</v>
      </c>
      <c r="B64" s="127"/>
      <c r="C64" s="130"/>
      <c r="D64" s="133"/>
      <c r="Q64" s="220"/>
    </row>
    <row r="65" spans="1:17">
      <c r="A65" s="131"/>
      <c r="B65" s="131"/>
      <c r="C65" s="128"/>
      <c r="D65" s="132"/>
      <c r="E65" s="206"/>
      <c r="Q65" s="220"/>
    </row>
    <row r="66" spans="1:17">
      <c r="A66" s="131" t="s">
        <v>443</v>
      </c>
      <c r="B66" s="131"/>
      <c r="C66" s="130"/>
      <c r="D66" s="133"/>
      <c r="Q66" s="220"/>
    </row>
    <row r="67" spans="1:17">
      <c r="A67" s="204" t="e">
        <f>A35</f>
        <v>#REF!</v>
      </c>
      <c r="B67" s="204"/>
      <c r="C67" s="226"/>
      <c r="D67" s="253"/>
      <c r="E67" s="253"/>
      <c r="F67" s="253"/>
      <c r="G67" s="253"/>
      <c r="H67" s="253"/>
      <c r="I67" s="253"/>
      <c r="J67" s="253"/>
      <c r="K67" s="253"/>
      <c r="L67" s="253"/>
      <c r="M67" s="253"/>
      <c r="N67" s="253"/>
      <c r="O67" s="253"/>
      <c r="P67" s="254"/>
      <c r="Q67" s="220"/>
    </row>
    <row r="68" spans="1:17">
      <c r="A68" s="229"/>
      <c r="B68" s="229"/>
      <c r="E68" s="264"/>
      <c r="F68" s="264"/>
      <c r="G68" s="230"/>
      <c r="H68" s="230"/>
      <c r="I68" s="230"/>
      <c r="J68" s="230"/>
      <c r="K68" s="230"/>
      <c r="L68" s="230"/>
      <c r="M68" s="230"/>
      <c r="N68" s="230"/>
      <c r="O68" s="230"/>
      <c r="P68" s="230"/>
      <c r="Q68" s="220"/>
    </row>
    <row r="69" spans="1:17">
      <c r="A69" s="257" t="s">
        <v>434</v>
      </c>
      <c r="B69" s="257"/>
      <c r="C69" s="255"/>
      <c r="D69" s="256"/>
      <c r="E69" s="256"/>
      <c r="F69" s="256"/>
      <c r="G69" s="256"/>
      <c r="H69" s="256"/>
      <c r="I69" s="256"/>
      <c r="Q69" s="220"/>
    </row>
    <row r="70" spans="1:17">
      <c r="A70" s="208"/>
      <c r="B70" s="208"/>
      <c r="C70" s="205"/>
      <c r="D70" s="206"/>
      <c r="E70" s="206"/>
      <c r="F70" s="246"/>
      <c r="G70" s="246"/>
      <c r="H70" s="246"/>
      <c r="I70" s="246"/>
      <c r="J70" s="208"/>
      <c r="K70" s="246"/>
      <c r="L70" s="246"/>
      <c r="M70" s="246"/>
      <c r="N70" s="246"/>
      <c r="O70" s="246"/>
      <c r="Q70" s="220"/>
    </row>
    <row r="71" spans="1:17">
      <c r="A71" s="208"/>
      <c r="B71" s="208"/>
      <c r="C71" s="205"/>
      <c r="D71" s="274" t="s">
        <v>428</v>
      </c>
      <c r="E71" s="206"/>
      <c r="F71" s="246"/>
      <c r="G71" s="246"/>
      <c r="H71" s="246"/>
      <c r="I71" s="246"/>
      <c r="J71" s="246"/>
      <c r="K71" s="246"/>
      <c r="L71" s="246"/>
      <c r="M71" s="246"/>
      <c r="N71" s="246"/>
      <c r="O71" s="246"/>
      <c r="Q71" s="220"/>
    </row>
    <row r="72" spans="1:17">
      <c r="A72" s="126"/>
      <c r="B72" s="126"/>
      <c r="C72" s="205"/>
      <c r="D72" s="246" t="s">
        <v>427</v>
      </c>
      <c r="E72" s="246" t="s">
        <v>432</v>
      </c>
      <c r="F72" s="208"/>
      <c r="G72" s="246"/>
      <c r="H72" s="208"/>
      <c r="I72" s="246"/>
      <c r="J72" s="246" t="s">
        <v>66</v>
      </c>
      <c r="K72" s="215"/>
      <c r="L72" s="246"/>
      <c r="M72" s="246"/>
      <c r="N72" s="246"/>
      <c r="O72" s="246"/>
      <c r="Q72" s="220"/>
    </row>
    <row r="73" spans="1:17">
      <c r="A73" s="126"/>
      <c r="B73" s="126"/>
      <c r="C73" s="205"/>
      <c r="D73" s="246" t="s">
        <v>430</v>
      </c>
      <c r="E73" s="246" t="s">
        <v>431</v>
      </c>
      <c r="F73" s="246" t="s">
        <v>98</v>
      </c>
      <c r="G73" s="246"/>
      <c r="H73" s="215" t="s">
        <v>99</v>
      </c>
      <c r="I73" s="246"/>
      <c r="J73" s="215" t="s">
        <v>101</v>
      </c>
      <c r="K73" s="215"/>
      <c r="L73" s="246"/>
      <c r="M73" s="246"/>
      <c r="N73" s="246"/>
      <c r="O73" s="246"/>
      <c r="Q73" s="220"/>
    </row>
    <row r="74" spans="1:17">
      <c r="A74" s="218"/>
      <c r="B74" s="218"/>
      <c r="D74" s="246" t="s">
        <v>429</v>
      </c>
      <c r="E74" s="215" t="s">
        <v>105</v>
      </c>
      <c r="F74" s="215" t="s">
        <v>65</v>
      </c>
      <c r="G74" s="214"/>
      <c r="H74" s="215" t="s">
        <v>100</v>
      </c>
      <c r="I74" s="214"/>
      <c r="J74" s="246" t="s">
        <v>102</v>
      </c>
      <c r="K74" s="246"/>
      <c r="L74" s="258" t="s">
        <v>103</v>
      </c>
      <c r="M74" s="258"/>
      <c r="N74" s="246" t="s">
        <v>104</v>
      </c>
      <c r="O74" s="246"/>
      <c r="P74" s="215" t="s">
        <v>12</v>
      </c>
      <c r="Q74" s="220"/>
    </row>
    <row r="75" spans="1:17" ht="10.5" customHeight="1">
      <c r="A75" s="229"/>
      <c r="B75" s="229"/>
      <c r="E75" s="240"/>
      <c r="F75" s="240"/>
      <c r="G75" s="240"/>
      <c r="H75" s="240"/>
      <c r="I75" s="240"/>
      <c r="J75" s="266"/>
      <c r="K75" s="240"/>
      <c r="L75" s="266"/>
      <c r="M75" s="240"/>
      <c r="N75" s="240"/>
      <c r="O75" s="240"/>
      <c r="P75" s="267"/>
      <c r="Q75" s="220"/>
    </row>
    <row r="76" spans="1:17" s="229" customFormat="1" ht="15.75" customHeight="1">
      <c r="A76" s="229" t="s">
        <v>107</v>
      </c>
      <c r="D76" s="246"/>
      <c r="E76" s="246"/>
      <c r="F76" s="246"/>
      <c r="G76" s="246"/>
      <c r="H76" s="246"/>
      <c r="I76" s="246"/>
      <c r="J76" s="246"/>
      <c r="K76" s="246"/>
      <c r="L76" s="246"/>
      <c r="M76" s="246"/>
      <c r="N76" s="246"/>
      <c r="O76" s="246"/>
      <c r="P76" s="246"/>
    </row>
    <row r="77" spans="1:17" ht="10.5" customHeight="1">
      <c r="A77" s="208"/>
      <c r="B77" s="208"/>
    </row>
    <row r="78" spans="1:17" ht="15.75" customHeight="1">
      <c r="A78" s="208" t="s">
        <v>4</v>
      </c>
      <c r="B78" s="208"/>
      <c r="D78" s="261"/>
      <c r="E78" s="270" t="s">
        <v>31</v>
      </c>
      <c r="F78" s="270" t="s">
        <v>31</v>
      </c>
      <c r="G78" s="235"/>
      <c r="H78" s="235">
        <v>2161166</v>
      </c>
      <c r="I78" s="235"/>
      <c r="J78" s="270" t="s">
        <v>31</v>
      </c>
      <c r="K78" s="235"/>
      <c r="L78" s="270" t="s">
        <v>31</v>
      </c>
      <c r="M78" s="235"/>
      <c r="N78" s="270" t="s">
        <v>31</v>
      </c>
      <c r="O78" s="235"/>
      <c r="P78" s="234">
        <f>SUM(D78:N78)</f>
        <v>2161166</v>
      </c>
    </row>
    <row r="79" spans="1:17" ht="15.75" customHeight="1">
      <c r="A79" s="208" t="s">
        <v>9</v>
      </c>
      <c r="B79" s="208"/>
      <c r="D79" s="261"/>
      <c r="E79" s="270" t="s">
        <v>31</v>
      </c>
      <c r="F79" s="270" t="s">
        <v>31</v>
      </c>
      <c r="G79" s="235"/>
      <c r="H79" s="270" t="s">
        <v>31</v>
      </c>
      <c r="I79" s="235"/>
      <c r="J79" s="270" t="s">
        <v>31</v>
      </c>
      <c r="K79" s="235"/>
      <c r="L79" s="270" t="s">
        <v>31</v>
      </c>
      <c r="M79" s="235"/>
      <c r="N79" s="270" t="s">
        <v>31</v>
      </c>
      <c r="O79" s="235"/>
      <c r="P79" s="234">
        <f t="shared" ref="P79:P84" si="1">SUM(D79:N79)</f>
        <v>0</v>
      </c>
    </row>
    <row r="80" spans="1:17" ht="15.75" customHeight="1">
      <c r="A80" s="208" t="s">
        <v>90</v>
      </c>
      <c r="B80" s="208"/>
      <c r="D80" s="248"/>
      <c r="E80" s="270" t="s">
        <v>31</v>
      </c>
      <c r="F80" s="270" t="s">
        <v>31</v>
      </c>
      <c r="G80" s="235"/>
      <c r="H80" s="270" t="s">
        <v>31</v>
      </c>
      <c r="I80" s="235"/>
      <c r="J80" s="270" t="s">
        <v>31</v>
      </c>
      <c r="K80" s="235"/>
      <c r="L80" s="270" t="s">
        <v>31</v>
      </c>
      <c r="M80" s="235"/>
      <c r="N80" s="270" t="s">
        <v>31</v>
      </c>
      <c r="O80" s="235"/>
      <c r="P80" s="234">
        <f t="shared" si="1"/>
        <v>0</v>
      </c>
    </row>
    <row r="81" spans="1:16" ht="15.75" customHeight="1">
      <c r="A81" s="208" t="s">
        <v>8</v>
      </c>
      <c r="B81" s="208"/>
      <c r="D81" s="248"/>
      <c r="E81" s="270" t="s">
        <v>31</v>
      </c>
      <c r="F81" s="270" t="s">
        <v>31</v>
      </c>
      <c r="G81" s="235"/>
      <c r="H81" s="270" t="s">
        <v>31</v>
      </c>
      <c r="I81" s="235"/>
      <c r="J81" s="270" t="s">
        <v>31</v>
      </c>
      <c r="K81" s="235"/>
      <c r="L81" s="235">
        <v>13690235</v>
      </c>
      <c r="M81" s="235"/>
      <c r="N81" s="270" t="s">
        <v>31</v>
      </c>
      <c r="O81" s="235"/>
      <c r="P81" s="234">
        <f t="shared" si="1"/>
        <v>13690235</v>
      </c>
    </row>
    <row r="82" spans="1:16">
      <c r="A82" s="271" t="s">
        <v>53</v>
      </c>
      <c r="B82" s="271"/>
      <c r="D82" s="248"/>
      <c r="E82" s="270" t="s">
        <v>31</v>
      </c>
      <c r="F82" s="270" t="s">
        <v>31</v>
      </c>
      <c r="G82" s="235"/>
      <c r="H82" s="235">
        <v>785045</v>
      </c>
      <c r="I82" s="235"/>
      <c r="J82" s="270">
        <v>785048.04</v>
      </c>
      <c r="K82" s="235"/>
      <c r="L82" s="270" t="s">
        <v>31</v>
      </c>
      <c r="M82" s="235"/>
      <c r="N82" s="270" t="s">
        <v>31</v>
      </c>
      <c r="O82" s="235"/>
      <c r="P82" s="234">
        <f t="shared" si="1"/>
        <v>1570093.04</v>
      </c>
    </row>
    <row r="83" spans="1:16" ht="15.75" customHeight="1">
      <c r="A83" s="205" t="s">
        <v>419</v>
      </c>
      <c r="B83" s="205"/>
      <c r="E83" s="235">
        <v>108787.32199500407</v>
      </c>
      <c r="F83" s="235">
        <v>187282.12236261621</v>
      </c>
      <c r="G83" s="235"/>
      <c r="H83" s="235">
        <v>858250.06493269163</v>
      </c>
      <c r="I83" s="235"/>
      <c r="J83" s="235">
        <v>4620731.4675791711</v>
      </c>
      <c r="K83" s="235"/>
      <c r="L83" s="235">
        <v>15891.012087317949</v>
      </c>
      <c r="M83" s="235"/>
      <c r="N83" s="270" t="s">
        <v>31</v>
      </c>
      <c r="O83" s="235"/>
      <c r="P83" s="234">
        <f t="shared" si="1"/>
        <v>5790941.9889568007</v>
      </c>
    </row>
    <row r="84" spans="1:16" ht="15.75" customHeight="1">
      <c r="A84" s="271" t="s">
        <v>25</v>
      </c>
      <c r="B84" s="271"/>
      <c r="D84" s="261"/>
      <c r="E84" s="270" t="s">
        <v>31</v>
      </c>
      <c r="F84" s="270" t="s">
        <v>31</v>
      </c>
      <c r="G84" s="235"/>
      <c r="H84" s="235">
        <f>908895-440728</f>
        <v>468167</v>
      </c>
      <c r="I84" s="235"/>
      <c r="J84" s="270" t="s">
        <v>31</v>
      </c>
      <c r="K84" s="235"/>
      <c r="L84" s="235">
        <v>440728</v>
      </c>
      <c r="M84" s="235"/>
      <c r="N84" s="270" t="s">
        <v>31</v>
      </c>
      <c r="O84" s="235"/>
      <c r="P84" s="234">
        <f t="shared" si="1"/>
        <v>908895</v>
      </c>
    </row>
    <row r="85" spans="1:16">
      <c r="A85" s="271" t="s">
        <v>106</v>
      </c>
      <c r="B85" s="271"/>
      <c r="D85" s="248"/>
      <c r="E85" s="235"/>
      <c r="F85" s="235"/>
      <c r="G85" s="235"/>
      <c r="H85" s="235"/>
      <c r="I85" s="235"/>
      <c r="J85" s="235"/>
      <c r="K85" s="235"/>
      <c r="L85" s="235"/>
      <c r="M85" s="235"/>
      <c r="N85" s="235"/>
      <c r="O85" s="235"/>
      <c r="P85" s="234">
        <f>SUM(D85:N85)</f>
        <v>0</v>
      </c>
    </row>
    <row r="86" spans="1:16" ht="10.5" customHeight="1">
      <c r="E86" s="262"/>
      <c r="F86" s="262"/>
      <c r="G86" s="262"/>
      <c r="H86" s="262"/>
      <c r="I86" s="262"/>
      <c r="J86" s="262"/>
      <c r="K86" s="262"/>
      <c r="L86" s="262"/>
      <c r="M86" s="262"/>
      <c r="N86" s="262"/>
      <c r="O86" s="262"/>
      <c r="P86" s="263"/>
    </row>
    <row r="87" spans="1:16" ht="15.75" customHeight="1">
      <c r="E87" s="241">
        <f>SUM(E78:E85)</f>
        <v>108787.32199500407</v>
      </c>
      <c r="F87" s="241">
        <f t="shared" ref="F87:N87" si="2">SUM(F78:F85)</f>
        <v>187282.12236261621</v>
      </c>
      <c r="G87" s="241">
        <f t="shared" si="2"/>
        <v>0</v>
      </c>
      <c r="H87" s="241">
        <f t="shared" si="2"/>
        <v>4272628.0649326919</v>
      </c>
      <c r="I87" s="241">
        <f t="shared" si="2"/>
        <v>0</v>
      </c>
      <c r="J87" s="241">
        <f t="shared" si="2"/>
        <v>5405779.5075791711</v>
      </c>
      <c r="K87" s="241">
        <f t="shared" si="2"/>
        <v>0</v>
      </c>
      <c r="L87" s="241">
        <f t="shared" si="2"/>
        <v>14146854.012087317</v>
      </c>
      <c r="M87" s="241">
        <f t="shared" si="2"/>
        <v>0</v>
      </c>
      <c r="N87" s="241">
        <f t="shared" si="2"/>
        <v>0</v>
      </c>
      <c r="O87" s="241"/>
      <c r="P87" s="231">
        <f>SUM(P78:P85)</f>
        <v>24121331.028956801</v>
      </c>
    </row>
    <row r="88" spans="1:16" ht="12" customHeight="1">
      <c r="E88" s="240"/>
      <c r="F88" s="240"/>
      <c r="G88" s="240"/>
      <c r="H88" s="240"/>
      <c r="I88" s="240"/>
      <c r="J88" s="240"/>
      <c r="K88" s="240"/>
      <c r="L88" s="240"/>
      <c r="M88" s="240"/>
      <c r="N88" s="240"/>
      <c r="O88" s="240"/>
      <c r="P88" s="230"/>
    </row>
    <row r="89" spans="1:16" ht="15.75" customHeight="1">
      <c r="A89" s="233" t="s">
        <v>109</v>
      </c>
      <c r="E89" s="235"/>
      <c r="F89" s="235"/>
      <c r="G89" s="235"/>
      <c r="H89" s="235"/>
      <c r="I89" s="235"/>
      <c r="J89" s="235"/>
      <c r="K89" s="235"/>
      <c r="L89" s="235"/>
      <c r="M89" s="235"/>
      <c r="N89" s="235"/>
      <c r="O89" s="235"/>
      <c r="P89" s="234"/>
    </row>
    <row r="90" spans="1:16" ht="15.75" customHeight="1">
      <c r="A90" s="271" t="s">
        <v>2</v>
      </c>
      <c r="B90" s="271"/>
      <c r="D90" s="248"/>
      <c r="E90" s="270" t="s">
        <v>31</v>
      </c>
      <c r="F90" s="270" t="s">
        <v>31</v>
      </c>
      <c r="G90" s="235"/>
      <c r="H90" s="270" t="s">
        <v>31</v>
      </c>
      <c r="I90" s="235"/>
      <c r="J90" s="270" t="s">
        <v>31</v>
      </c>
      <c r="K90" s="235"/>
      <c r="L90" s="270" t="s">
        <v>31</v>
      </c>
      <c r="M90" s="235"/>
      <c r="N90" s="235">
        <v>7500000</v>
      </c>
      <c r="O90" s="235"/>
      <c r="P90" s="234">
        <f>SUM(E90:N90)</f>
        <v>7500000</v>
      </c>
    </row>
    <row r="91" spans="1:16" ht="15.75" customHeight="1">
      <c r="A91" s="271" t="s">
        <v>86</v>
      </c>
      <c r="B91" s="271"/>
      <c r="D91" s="248"/>
      <c r="E91" s="270" t="s">
        <v>31</v>
      </c>
      <c r="F91" s="270" t="s">
        <v>31</v>
      </c>
      <c r="G91" s="235"/>
      <c r="H91" s="270" t="s">
        <v>31</v>
      </c>
      <c r="I91" s="235"/>
      <c r="J91" s="270" t="s">
        <v>31</v>
      </c>
      <c r="K91" s="235"/>
      <c r="L91" s="270" t="s">
        <v>31</v>
      </c>
      <c r="M91" s="235"/>
      <c r="N91" s="235">
        <v>478779</v>
      </c>
      <c r="O91" s="235"/>
      <c r="P91" s="234">
        <f>SUM(E91:N91)</f>
        <v>478779</v>
      </c>
    </row>
    <row r="92" spans="1:16" ht="15.75" customHeight="1">
      <c r="A92" s="271" t="s">
        <v>36</v>
      </c>
      <c r="B92" s="271"/>
      <c r="D92" s="248"/>
      <c r="E92" s="272" t="s">
        <v>31</v>
      </c>
      <c r="F92" s="272" t="s">
        <v>31</v>
      </c>
      <c r="G92" s="241"/>
      <c r="H92" s="272" t="s">
        <v>31</v>
      </c>
      <c r="I92" s="241"/>
      <c r="J92" s="272" t="s">
        <v>31</v>
      </c>
      <c r="K92" s="241"/>
      <c r="L92" s="272" t="s">
        <v>31</v>
      </c>
      <c r="M92" s="241"/>
      <c r="N92" s="241">
        <v>2798348</v>
      </c>
      <c r="O92" s="241"/>
      <c r="P92" s="231">
        <f>SUM(E92:N92)</f>
        <v>2798348</v>
      </c>
    </row>
    <row r="93" spans="1:16" ht="11.25" customHeight="1">
      <c r="E93" s="230"/>
      <c r="F93" s="264"/>
      <c r="G93" s="230"/>
      <c r="H93" s="230"/>
      <c r="I93" s="230"/>
      <c r="J93" s="230"/>
      <c r="K93" s="230"/>
      <c r="L93" s="230"/>
      <c r="M93" s="230"/>
      <c r="N93" s="240"/>
      <c r="O93" s="230"/>
      <c r="P93" s="230"/>
    </row>
    <row r="94" spans="1:16" ht="15.75" customHeight="1">
      <c r="E94" s="265">
        <f>SUM(E87)</f>
        <v>108787.32199500407</v>
      </c>
      <c r="F94" s="265">
        <f t="shared" ref="F94:L94" si="3">SUM(F87)</f>
        <v>187282.12236261621</v>
      </c>
      <c r="G94" s="265">
        <f t="shared" si="3"/>
        <v>0</v>
      </c>
      <c r="H94" s="265">
        <f t="shared" si="3"/>
        <v>4272628.0649326919</v>
      </c>
      <c r="I94" s="265">
        <f t="shared" si="3"/>
        <v>0</v>
      </c>
      <c r="J94" s="265">
        <f t="shared" si="3"/>
        <v>5405779.5075791711</v>
      </c>
      <c r="K94" s="265">
        <f t="shared" si="3"/>
        <v>0</v>
      </c>
      <c r="L94" s="265">
        <f t="shared" si="3"/>
        <v>14146854.012087317</v>
      </c>
      <c r="M94" s="265">
        <f>M87+M90+M91+M92</f>
        <v>0</v>
      </c>
      <c r="N94" s="265">
        <f>N87+N90+N91+N92</f>
        <v>10777127</v>
      </c>
      <c r="O94" s="265">
        <f>O87+O90+O91+O92</f>
        <v>0</v>
      </c>
      <c r="P94" s="265">
        <f>P87+P90+P91+P92</f>
        <v>34898458.028956801</v>
      </c>
    </row>
    <row r="95" spans="1:16" ht="13.5" customHeight="1">
      <c r="E95" s="235"/>
      <c r="F95" s="235"/>
      <c r="G95" s="235"/>
      <c r="H95" s="235"/>
      <c r="I95" s="235"/>
      <c r="J95" s="235"/>
      <c r="K95" s="235"/>
      <c r="L95" s="235"/>
      <c r="M95" s="235"/>
      <c r="N95" s="235"/>
      <c r="O95" s="235"/>
      <c r="P95" s="234"/>
    </row>
    <row r="96" spans="1:16" ht="13.5" customHeight="1">
      <c r="A96" s="127" t="e">
        <f>A64</f>
        <v>#REF!</v>
      </c>
      <c r="B96" s="127"/>
      <c r="C96" s="130"/>
      <c r="D96" s="133"/>
    </row>
    <row r="97" spans="1:16" ht="13.5" customHeight="1">
      <c r="A97" s="131"/>
      <c r="B97" s="131"/>
      <c r="C97" s="128"/>
      <c r="D97" s="132"/>
      <c r="E97" s="206"/>
    </row>
    <row r="98" spans="1:16" ht="13.5" customHeight="1">
      <c r="A98" s="131" t="s">
        <v>443</v>
      </c>
      <c r="B98" s="131"/>
      <c r="C98" s="130"/>
      <c r="D98" s="133"/>
    </row>
    <row r="99" spans="1:16" ht="13.5" customHeight="1">
      <c r="A99" s="204" t="str">
        <f>A69</f>
        <v>For the year ended 31 December 2011</v>
      </c>
      <c r="B99" s="204"/>
      <c r="C99" s="226"/>
      <c r="D99" s="253"/>
      <c r="E99" s="253"/>
      <c r="F99" s="253"/>
      <c r="G99" s="253"/>
      <c r="H99" s="253"/>
      <c r="I99" s="253"/>
      <c r="J99" s="253"/>
      <c r="K99" s="253"/>
      <c r="L99" s="253"/>
      <c r="M99" s="253"/>
      <c r="N99" s="253"/>
      <c r="O99" s="253"/>
      <c r="P99" s="254"/>
    </row>
    <row r="100" spans="1:16" ht="13.5" customHeight="1">
      <c r="A100" s="229"/>
      <c r="B100" s="229"/>
      <c r="E100" s="264"/>
      <c r="F100" s="264"/>
      <c r="G100" s="230"/>
      <c r="H100" s="230"/>
      <c r="I100" s="230"/>
      <c r="J100" s="230"/>
      <c r="K100" s="230"/>
      <c r="L100" s="230"/>
      <c r="M100" s="230"/>
      <c r="N100" s="230"/>
      <c r="O100" s="230"/>
      <c r="P100" s="230"/>
    </row>
    <row r="101" spans="1:16" ht="13.5" customHeight="1">
      <c r="A101" s="257" t="s">
        <v>434</v>
      </c>
      <c r="B101" s="257"/>
      <c r="C101" s="255"/>
      <c r="D101" s="256"/>
      <c r="E101" s="256"/>
      <c r="F101" s="256"/>
      <c r="G101" s="256"/>
      <c r="H101" s="256"/>
      <c r="I101" s="256"/>
    </row>
    <row r="102" spans="1:16" ht="13.5" customHeight="1">
      <c r="A102" s="208"/>
      <c r="B102" s="208"/>
      <c r="C102" s="205"/>
      <c r="D102" s="206"/>
      <c r="E102" s="206"/>
      <c r="F102" s="246"/>
      <c r="G102" s="246"/>
      <c r="H102" s="246"/>
      <c r="I102" s="246"/>
      <c r="J102" s="208"/>
      <c r="K102" s="246"/>
      <c r="L102" s="246"/>
      <c r="M102" s="246"/>
      <c r="N102" s="246"/>
      <c r="O102" s="246"/>
    </row>
    <row r="103" spans="1:16" ht="13.5" customHeight="1">
      <c r="A103" s="208"/>
      <c r="B103" s="208"/>
      <c r="C103" s="205"/>
      <c r="D103" s="274" t="s">
        <v>428</v>
      </c>
      <c r="E103" s="206"/>
      <c r="F103" s="246"/>
      <c r="G103" s="246"/>
      <c r="H103" s="246"/>
      <c r="I103" s="246"/>
      <c r="J103" s="246"/>
      <c r="K103" s="246"/>
      <c r="L103" s="246"/>
      <c r="M103" s="246"/>
      <c r="N103" s="246"/>
      <c r="O103" s="246"/>
    </row>
    <row r="104" spans="1:16" ht="13.5" customHeight="1">
      <c r="A104" s="126"/>
      <c r="B104" s="126"/>
      <c r="C104" s="205"/>
      <c r="D104" s="246" t="s">
        <v>427</v>
      </c>
      <c r="E104" s="246" t="s">
        <v>432</v>
      </c>
      <c r="F104" s="208"/>
      <c r="G104" s="246"/>
      <c r="H104" s="208"/>
      <c r="I104" s="246"/>
      <c r="J104" s="246" t="s">
        <v>66</v>
      </c>
      <c r="K104" s="215"/>
      <c r="L104" s="246"/>
      <c r="M104" s="246"/>
      <c r="N104" s="246"/>
      <c r="O104" s="246"/>
    </row>
    <row r="105" spans="1:16" ht="13.5" customHeight="1">
      <c r="A105" s="126"/>
      <c r="B105" s="126"/>
      <c r="C105" s="205"/>
      <c r="D105" s="246" t="s">
        <v>430</v>
      </c>
      <c r="E105" s="246" t="s">
        <v>431</v>
      </c>
      <c r="F105" s="246" t="s">
        <v>98</v>
      </c>
      <c r="G105" s="246"/>
      <c r="H105" s="215" t="s">
        <v>99</v>
      </c>
      <c r="I105" s="246"/>
      <c r="J105" s="215" t="s">
        <v>101</v>
      </c>
      <c r="K105" s="215"/>
      <c r="L105" s="246"/>
      <c r="M105" s="246"/>
      <c r="N105" s="246"/>
      <c r="O105" s="246"/>
    </row>
    <row r="106" spans="1:16" ht="13.5" customHeight="1">
      <c r="A106" s="218"/>
      <c r="B106" s="218"/>
      <c r="D106" s="246" t="s">
        <v>429</v>
      </c>
      <c r="E106" s="215" t="s">
        <v>105</v>
      </c>
      <c r="F106" s="215" t="s">
        <v>65</v>
      </c>
      <c r="G106" s="214"/>
      <c r="H106" s="215" t="s">
        <v>100</v>
      </c>
      <c r="I106" s="214"/>
      <c r="J106" s="246" t="s">
        <v>102</v>
      </c>
      <c r="K106" s="246"/>
      <c r="L106" s="258" t="s">
        <v>103</v>
      </c>
      <c r="M106" s="258"/>
      <c r="N106" s="246" t="s">
        <v>104</v>
      </c>
      <c r="O106" s="246"/>
      <c r="P106" s="215" t="s">
        <v>12</v>
      </c>
    </row>
    <row r="107" spans="1:16" ht="13.5" customHeight="1">
      <c r="E107" s="235"/>
      <c r="F107" s="235"/>
      <c r="G107" s="235"/>
      <c r="H107" s="235"/>
      <c r="I107" s="235"/>
      <c r="J107" s="235"/>
      <c r="K107" s="235"/>
      <c r="L107" s="235"/>
      <c r="M107" s="235"/>
      <c r="N107" s="235"/>
      <c r="O107" s="235"/>
      <c r="P107" s="234"/>
    </row>
    <row r="108" spans="1:16" ht="15.75" customHeight="1">
      <c r="A108" s="233" t="s">
        <v>108</v>
      </c>
      <c r="E108" s="235"/>
      <c r="F108" s="235"/>
      <c r="G108" s="235"/>
      <c r="H108" s="235"/>
      <c r="I108" s="235"/>
      <c r="J108" s="235"/>
      <c r="K108" s="235"/>
      <c r="L108" s="235"/>
      <c r="M108" s="235"/>
      <c r="N108" s="235"/>
      <c r="O108" s="235"/>
      <c r="P108" s="234"/>
    </row>
    <row r="109" spans="1:16" ht="15.75" customHeight="1">
      <c r="E109" s="235"/>
      <c r="F109" s="235"/>
      <c r="G109" s="235"/>
      <c r="H109" s="235"/>
      <c r="I109" s="235"/>
      <c r="J109" s="235"/>
      <c r="K109" s="235"/>
      <c r="L109" s="235"/>
      <c r="M109" s="235"/>
      <c r="N109" s="235"/>
      <c r="O109" s="235"/>
      <c r="P109" s="234"/>
    </row>
    <row r="110" spans="1:16" ht="15.75" customHeight="1">
      <c r="A110" s="271" t="s">
        <v>57</v>
      </c>
      <c r="B110" s="271"/>
      <c r="D110" s="248"/>
      <c r="E110" s="235">
        <v>2505065</v>
      </c>
      <c r="F110" s="270" t="s">
        <v>31</v>
      </c>
      <c r="G110" s="270" t="s">
        <v>31</v>
      </c>
      <c r="H110" s="235"/>
      <c r="I110" s="270" t="s">
        <v>31</v>
      </c>
      <c r="J110" s="235"/>
      <c r="K110" s="270" t="s">
        <v>31</v>
      </c>
      <c r="L110" s="270" t="s">
        <v>31</v>
      </c>
      <c r="M110" s="270"/>
      <c r="N110" s="270" t="s">
        <v>31</v>
      </c>
      <c r="O110" s="235"/>
      <c r="P110" s="234">
        <f t="shared" ref="P110:P115" si="4">SUM(E110:N110)</f>
        <v>2505065</v>
      </c>
    </row>
    <row r="111" spans="1:16" ht="15.75" customHeight="1">
      <c r="A111" s="205" t="s">
        <v>421</v>
      </c>
      <c r="B111" s="205"/>
      <c r="D111" s="248"/>
      <c r="E111" s="270" t="s">
        <v>31</v>
      </c>
      <c r="F111" s="270" t="s">
        <v>31</v>
      </c>
      <c r="G111" s="235"/>
      <c r="H111" s="235">
        <f>767209*5.107</f>
        <v>3918136.3630000004</v>
      </c>
      <c r="I111" s="235"/>
      <c r="J111" s="235">
        <v>2301125</v>
      </c>
      <c r="K111" s="235"/>
      <c r="L111" s="270" t="s">
        <v>31</v>
      </c>
      <c r="M111" s="270"/>
      <c r="N111" s="270" t="s">
        <v>31</v>
      </c>
      <c r="O111" s="235"/>
      <c r="P111" s="234">
        <f t="shared" si="4"/>
        <v>6219261.3629999999</v>
      </c>
    </row>
    <row r="112" spans="1:16" ht="15.75" customHeight="1">
      <c r="A112" s="271" t="s">
        <v>58</v>
      </c>
      <c r="B112" s="271"/>
      <c r="D112" s="273"/>
      <c r="E112" s="235">
        <v>423596</v>
      </c>
      <c r="F112" s="235">
        <v>729239</v>
      </c>
      <c r="G112" s="235"/>
      <c r="H112" s="235">
        <v>3341853.5159999998</v>
      </c>
      <c r="I112" s="235"/>
      <c r="J112" s="235">
        <v>17992201.028999999</v>
      </c>
      <c r="K112" s="235"/>
      <c r="L112" s="235">
        <v>61876.412000000004</v>
      </c>
      <c r="M112" s="235"/>
      <c r="N112" s="259" t="s">
        <v>31</v>
      </c>
      <c r="O112" s="235"/>
      <c r="P112" s="234">
        <f t="shared" si="4"/>
        <v>22548765.956999999</v>
      </c>
    </row>
    <row r="113" spans="1:17" ht="15.75" customHeight="1">
      <c r="A113" s="271" t="s">
        <v>40</v>
      </c>
      <c r="B113" s="271"/>
      <c r="D113" s="248"/>
      <c r="E113" s="270" t="s">
        <v>31</v>
      </c>
      <c r="F113" s="235">
        <v>1332994</v>
      </c>
      <c r="G113" s="235"/>
      <c r="H113" s="270" t="s">
        <v>31</v>
      </c>
      <c r="I113" s="235"/>
      <c r="J113" s="270" t="s">
        <v>31</v>
      </c>
      <c r="K113" s="235"/>
      <c r="L113" s="270" t="s">
        <v>31</v>
      </c>
      <c r="M113" s="240"/>
      <c r="N113" s="270" t="s">
        <v>31</v>
      </c>
      <c r="O113" s="235"/>
      <c r="P113" s="234">
        <f t="shared" si="4"/>
        <v>1332994</v>
      </c>
    </row>
    <row r="114" spans="1:17" ht="15.75" customHeight="1">
      <c r="A114" s="271" t="s">
        <v>61</v>
      </c>
      <c r="B114" s="271"/>
      <c r="D114" s="248"/>
      <c r="E114" s="270" t="s">
        <v>31</v>
      </c>
      <c r="F114" s="270" t="s">
        <v>31</v>
      </c>
      <c r="G114" s="235"/>
      <c r="H114" s="270" t="s">
        <v>31</v>
      </c>
      <c r="I114" s="235"/>
      <c r="J114" s="270" t="s">
        <v>31</v>
      </c>
      <c r="K114" s="235"/>
      <c r="L114" s="270" t="s">
        <v>31</v>
      </c>
      <c r="M114" s="240"/>
      <c r="N114" s="270" t="s">
        <v>31</v>
      </c>
      <c r="O114" s="240"/>
      <c r="P114" s="234">
        <f t="shared" si="4"/>
        <v>0</v>
      </c>
    </row>
    <row r="115" spans="1:17" ht="15.75" customHeight="1">
      <c r="A115" s="208" t="s">
        <v>316</v>
      </c>
      <c r="B115" s="208"/>
      <c r="E115" s="272" t="s">
        <v>31</v>
      </c>
      <c r="F115" s="272" t="s">
        <v>31</v>
      </c>
      <c r="G115" s="241"/>
      <c r="H115" s="272" t="s">
        <v>31</v>
      </c>
      <c r="I115" s="241"/>
      <c r="J115" s="272" t="s">
        <v>31</v>
      </c>
      <c r="K115" s="241"/>
      <c r="L115" s="272" t="s">
        <v>31</v>
      </c>
      <c r="M115" s="241"/>
      <c r="N115" s="272" t="s">
        <v>31</v>
      </c>
      <c r="O115" s="241"/>
      <c r="P115" s="231">
        <f t="shared" si="4"/>
        <v>0</v>
      </c>
      <c r="Q115" s="237"/>
    </row>
    <row r="116" spans="1:17" s="229" customFormat="1" ht="15.75" hidden="1" customHeight="1">
      <c r="D116" s="246"/>
      <c r="E116" s="230"/>
      <c r="F116" s="264"/>
      <c r="G116" s="230"/>
      <c r="H116" s="230"/>
      <c r="I116" s="230"/>
      <c r="J116" s="230"/>
      <c r="K116" s="230"/>
      <c r="L116" s="230"/>
      <c r="M116" s="230"/>
      <c r="N116" s="264"/>
      <c r="O116" s="230"/>
      <c r="P116" s="230"/>
      <c r="Q116" s="236"/>
    </row>
    <row r="117" spans="1:17" s="229" customFormat="1" ht="15.75" customHeight="1">
      <c r="D117" s="246"/>
      <c r="E117" s="230"/>
      <c r="F117" s="264"/>
      <c r="G117" s="230"/>
      <c r="H117" s="230"/>
      <c r="I117" s="230"/>
      <c r="J117" s="230"/>
      <c r="K117" s="230"/>
      <c r="L117" s="230"/>
      <c r="M117" s="230"/>
      <c r="N117" s="264"/>
      <c r="O117" s="230"/>
      <c r="P117" s="230"/>
      <c r="Q117" s="236"/>
    </row>
    <row r="118" spans="1:17" s="229" customFormat="1" ht="15.75" customHeight="1" thickBot="1">
      <c r="D118" s="246"/>
      <c r="E118" s="232">
        <f>SUM(E110:E115)</f>
        <v>2928661</v>
      </c>
      <c r="F118" s="232">
        <f t="shared" ref="F118:P118" si="5">SUM(F110:F115)</f>
        <v>2062233</v>
      </c>
      <c r="G118" s="232">
        <f t="shared" si="5"/>
        <v>0</v>
      </c>
      <c r="H118" s="232">
        <f t="shared" si="5"/>
        <v>7259989.8790000007</v>
      </c>
      <c r="I118" s="232">
        <f t="shared" si="5"/>
        <v>0</v>
      </c>
      <c r="J118" s="232">
        <f t="shared" si="5"/>
        <v>20293326.028999999</v>
      </c>
      <c r="K118" s="232">
        <f t="shared" si="5"/>
        <v>0</v>
      </c>
      <c r="L118" s="232">
        <f t="shared" si="5"/>
        <v>61876.412000000004</v>
      </c>
      <c r="M118" s="232">
        <f t="shared" si="5"/>
        <v>0</v>
      </c>
      <c r="N118" s="232">
        <f t="shared" si="5"/>
        <v>0</v>
      </c>
      <c r="O118" s="232">
        <f t="shared" si="5"/>
        <v>0</v>
      </c>
      <c r="P118" s="232">
        <f t="shared" si="5"/>
        <v>32606086.32</v>
      </c>
      <c r="Q118" s="236"/>
    </row>
    <row r="119" spans="1:17" s="229" customFormat="1" ht="15.75" customHeight="1" thickTop="1">
      <c r="D119" s="246"/>
      <c r="E119" s="230"/>
      <c r="F119" s="230"/>
      <c r="G119" s="230"/>
      <c r="H119" s="230"/>
      <c r="I119" s="230"/>
      <c r="J119" s="230"/>
      <c r="K119" s="230"/>
      <c r="L119" s="230"/>
      <c r="M119" s="230"/>
      <c r="N119" s="230"/>
      <c r="O119" s="230"/>
      <c r="P119" s="230"/>
      <c r="Q119" s="236"/>
    </row>
    <row r="120" spans="1:17" ht="15.75" customHeight="1">
      <c r="A120" s="251"/>
      <c r="B120" s="251"/>
      <c r="C120" s="226"/>
      <c r="D120" s="253"/>
      <c r="E120" s="253"/>
      <c r="F120" s="241"/>
      <c r="G120" s="241"/>
      <c r="H120" s="241"/>
      <c r="I120" s="241"/>
      <c r="J120" s="241"/>
      <c r="K120" s="241"/>
      <c r="L120" s="241"/>
      <c r="M120" s="241"/>
      <c r="N120" s="241"/>
      <c r="O120" s="241"/>
      <c r="P120" s="231"/>
    </row>
    <row r="121" spans="1:17" ht="15.75" customHeight="1">
      <c r="F121" s="235"/>
      <c r="G121" s="235"/>
      <c r="H121" s="235"/>
      <c r="I121" s="235"/>
      <c r="J121" s="235"/>
      <c r="K121" s="235"/>
      <c r="L121" s="235"/>
      <c r="M121" s="235"/>
      <c r="N121" s="235"/>
      <c r="O121" s="235"/>
      <c r="P121" s="234"/>
    </row>
    <row r="122" spans="1:17" ht="15.75" customHeight="1">
      <c r="F122" s="235"/>
      <c r="G122" s="235"/>
      <c r="H122" s="235"/>
      <c r="I122" s="235"/>
      <c r="J122" s="235"/>
      <c r="K122" s="235"/>
      <c r="L122" s="235"/>
      <c r="M122" s="235"/>
      <c r="N122" s="235"/>
      <c r="O122" s="235"/>
      <c r="P122" s="234"/>
    </row>
    <row r="123" spans="1:17" ht="15.75" customHeight="1">
      <c r="F123" s="235"/>
      <c r="G123" s="235"/>
      <c r="H123" s="235"/>
      <c r="I123" s="235"/>
      <c r="J123" s="235"/>
      <c r="K123" s="235"/>
      <c r="L123" s="235"/>
      <c r="M123" s="235"/>
      <c r="N123" s="235"/>
      <c r="O123" s="235"/>
      <c r="P123" s="234"/>
    </row>
    <row r="124" spans="1:17" ht="15.75" customHeight="1">
      <c r="F124" s="235"/>
      <c r="G124" s="235"/>
      <c r="H124" s="235"/>
      <c r="I124" s="235"/>
      <c r="J124" s="235"/>
      <c r="K124" s="235"/>
      <c r="L124" s="235"/>
      <c r="M124" s="235"/>
      <c r="N124" s="235"/>
      <c r="O124" s="235"/>
      <c r="P124" s="234"/>
    </row>
    <row r="125" spans="1:17" ht="15.75" customHeight="1">
      <c r="F125" s="235"/>
      <c r="G125" s="235"/>
      <c r="H125" s="235"/>
      <c r="I125" s="235"/>
      <c r="J125" s="235"/>
      <c r="K125" s="235"/>
      <c r="L125" s="235"/>
      <c r="M125" s="235"/>
      <c r="N125" s="235"/>
      <c r="O125" s="235"/>
      <c r="P125" s="234"/>
    </row>
    <row r="126" spans="1:17" ht="15.75" customHeight="1">
      <c r="F126" s="235"/>
      <c r="G126" s="235"/>
      <c r="H126" s="235"/>
      <c r="I126" s="235"/>
      <c r="J126" s="235"/>
      <c r="K126" s="235"/>
      <c r="L126" s="235"/>
      <c r="M126" s="235"/>
      <c r="N126" s="235"/>
      <c r="O126" s="235"/>
      <c r="P126" s="234"/>
    </row>
    <row r="127" spans="1:17" ht="15.75" customHeight="1">
      <c r="F127" s="235"/>
      <c r="G127" s="235"/>
      <c r="H127" s="235"/>
      <c r="I127" s="235"/>
      <c r="J127" s="235"/>
      <c r="K127" s="235"/>
      <c r="L127" s="235"/>
      <c r="M127" s="235"/>
      <c r="N127" s="235"/>
      <c r="O127" s="235"/>
      <c r="P127" s="234"/>
    </row>
    <row r="128" spans="1:17" ht="15.75" customHeight="1">
      <c r="F128" s="235"/>
      <c r="G128" s="235"/>
      <c r="H128" s="235"/>
      <c r="I128" s="235"/>
      <c r="J128" s="235"/>
      <c r="K128" s="235"/>
      <c r="L128" s="235"/>
      <c r="M128" s="235"/>
      <c r="N128" s="235"/>
      <c r="O128" s="235"/>
      <c r="P128" s="234"/>
    </row>
    <row r="129" spans="6:16" ht="15.75" customHeight="1">
      <c r="F129" s="235"/>
      <c r="G129" s="235"/>
      <c r="H129" s="235"/>
      <c r="I129" s="235"/>
      <c r="J129" s="235"/>
      <c r="K129" s="235"/>
      <c r="L129" s="235"/>
      <c r="M129" s="235"/>
      <c r="N129" s="235"/>
      <c r="O129" s="235"/>
      <c r="P129" s="234"/>
    </row>
    <row r="130" spans="6:16" ht="15.75" customHeight="1">
      <c r="F130" s="235"/>
      <c r="G130" s="235"/>
      <c r="H130" s="235"/>
      <c r="I130" s="235"/>
      <c r="J130" s="235"/>
      <c r="K130" s="235"/>
      <c r="L130" s="235"/>
      <c r="M130" s="235"/>
      <c r="N130" s="235"/>
      <c r="O130" s="235"/>
      <c r="P130" s="234"/>
    </row>
    <row r="131" spans="6:16" ht="15.75" customHeight="1">
      <c r="F131" s="235"/>
      <c r="G131" s="235"/>
      <c r="H131" s="235"/>
      <c r="I131" s="235"/>
      <c r="J131" s="235"/>
      <c r="K131" s="235"/>
      <c r="L131" s="235"/>
      <c r="M131" s="235"/>
      <c r="N131" s="235"/>
      <c r="O131" s="235"/>
      <c r="P131" s="234"/>
    </row>
    <row r="132" spans="6:16" ht="15.75" customHeight="1">
      <c r="F132" s="235"/>
      <c r="G132" s="235"/>
      <c r="H132" s="235"/>
      <c r="I132" s="235"/>
      <c r="J132" s="235"/>
      <c r="K132" s="235"/>
      <c r="L132" s="235"/>
      <c r="M132" s="235"/>
      <c r="N132" s="235"/>
      <c r="O132" s="235"/>
      <c r="P132" s="234"/>
    </row>
    <row r="133" spans="6:16" ht="15.75" customHeight="1">
      <c r="F133" s="235"/>
      <c r="G133" s="235"/>
      <c r="H133" s="235"/>
      <c r="I133" s="235"/>
      <c r="J133" s="235"/>
      <c r="K133" s="235"/>
      <c r="L133" s="235"/>
      <c r="M133" s="235"/>
      <c r="N133" s="235"/>
      <c r="O133" s="235"/>
      <c r="P133" s="234"/>
    </row>
    <row r="134" spans="6:16" ht="15.75" customHeight="1">
      <c r="F134" s="235"/>
      <c r="G134" s="235"/>
      <c r="H134" s="235"/>
      <c r="I134" s="235"/>
      <c r="J134" s="235"/>
      <c r="K134" s="235"/>
      <c r="L134" s="235"/>
      <c r="M134" s="235"/>
      <c r="N134" s="235"/>
      <c r="O134" s="235"/>
      <c r="P134" s="234"/>
    </row>
    <row r="135" spans="6:16" ht="15.75" customHeight="1">
      <c r="F135" s="235"/>
      <c r="G135" s="235"/>
      <c r="H135" s="235"/>
      <c r="I135" s="235"/>
      <c r="J135" s="235"/>
      <c r="K135" s="235"/>
      <c r="L135" s="235"/>
      <c r="M135" s="235"/>
      <c r="N135" s="235"/>
      <c r="O135" s="235"/>
      <c r="P135" s="234"/>
    </row>
    <row r="136" spans="6:16" ht="15.75" customHeight="1">
      <c r="F136" s="235"/>
      <c r="G136" s="235"/>
      <c r="H136" s="235"/>
      <c r="I136" s="235"/>
      <c r="J136" s="235"/>
      <c r="K136" s="235"/>
      <c r="L136" s="235"/>
      <c r="M136" s="235"/>
      <c r="N136" s="235"/>
      <c r="O136" s="235"/>
      <c r="P136" s="234"/>
    </row>
    <row r="137" spans="6:16" ht="15.75" customHeight="1">
      <c r="F137" s="235"/>
      <c r="G137" s="235"/>
      <c r="H137" s="235"/>
      <c r="I137" s="235"/>
      <c r="J137" s="235"/>
      <c r="K137" s="235"/>
      <c r="L137" s="235"/>
      <c r="M137" s="235"/>
      <c r="N137" s="235"/>
      <c r="O137" s="235"/>
      <c r="P137" s="234"/>
    </row>
    <row r="138" spans="6:16" ht="15.75" customHeight="1">
      <c r="F138" s="235"/>
      <c r="G138" s="235"/>
      <c r="H138" s="235"/>
      <c r="I138" s="235"/>
      <c r="J138" s="235"/>
      <c r="K138" s="235"/>
      <c r="L138" s="235"/>
      <c r="M138" s="235"/>
      <c r="N138" s="235"/>
      <c r="O138" s="235"/>
      <c r="P138" s="234"/>
    </row>
    <row r="139" spans="6:16" ht="15.75" customHeight="1">
      <c r="F139" s="235"/>
      <c r="G139" s="235"/>
      <c r="H139" s="235"/>
      <c r="I139" s="235"/>
      <c r="J139" s="235"/>
      <c r="K139" s="235"/>
      <c r="L139" s="235"/>
      <c r="M139" s="235"/>
      <c r="N139" s="235"/>
      <c r="O139" s="235"/>
      <c r="P139" s="234"/>
    </row>
    <row r="140" spans="6:16" ht="15.75" customHeight="1">
      <c r="F140" s="235"/>
      <c r="G140" s="235"/>
      <c r="H140" s="235"/>
      <c r="I140" s="235"/>
      <c r="J140" s="235"/>
      <c r="K140" s="235"/>
      <c r="L140" s="235"/>
      <c r="M140" s="235"/>
      <c r="N140" s="235"/>
      <c r="O140" s="235"/>
      <c r="P140" s="234"/>
    </row>
    <row r="141" spans="6:16" ht="15.75" customHeight="1">
      <c r="F141" s="235"/>
      <c r="G141" s="235"/>
      <c r="H141" s="235"/>
      <c r="I141" s="235"/>
      <c r="J141" s="235"/>
      <c r="K141" s="235"/>
      <c r="L141" s="235"/>
      <c r="M141" s="235"/>
      <c r="N141" s="235"/>
      <c r="O141" s="235"/>
      <c r="P141" s="234"/>
    </row>
    <row r="142" spans="6:16" ht="15.75" customHeight="1">
      <c r="F142" s="235"/>
      <c r="G142" s="235"/>
      <c r="H142" s="235"/>
      <c r="I142" s="235"/>
      <c r="J142" s="235"/>
      <c r="K142" s="235"/>
      <c r="L142" s="235"/>
      <c r="M142" s="235"/>
      <c r="N142" s="235"/>
      <c r="O142" s="235"/>
      <c r="P142" s="234"/>
    </row>
    <row r="143" spans="6:16" ht="15.75" customHeight="1">
      <c r="F143" s="235"/>
      <c r="G143" s="235"/>
      <c r="H143" s="235"/>
      <c r="I143" s="235"/>
      <c r="J143" s="235"/>
      <c r="K143" s="235"/>
      <c r="L143" s="235"/>
      <c r="M143" s="235"/>
      <c r="N143" s="235"/>
      <c r="O143" s="235"/>
      <c r="P143" s="234"/>
    </row>
    <row r="144" spans="6:16" ht="15.75" customHeight="1">
      <c r="F144" s="235"/>
      <c r="G144" s="235"/>
      <c r="H144" s="235"/>
      <c r="I144" s="235"/>
      <c r="J144" s="235"/>
      <c r="K144" s="235"/>
      <c r="L144" s="235"/>
      <c r="M144" s="235"/>
      <c r="N144" s="235"/>
      <c r="O144" s="235"/>
      <c r="P144" s="234"/>
    </row>
    <row r="145" spans="6:16" ht="15.75" customHeight="1">
      <c r="F145" s="235"/>
      <c r="G145" s="235"/>
      <c r="H145" s="235"/>
      <c r="I145" s="235"/>
      <c r="J145" s="235"/>
      <c r="K145" s="235"/>
      <c r="L145" s="235"/>
      <c r="M145" s="235"/>
      <c r="N145" s="235"/>
      <c r="O145" s="235"/>
      <c r="P145" s="234"/>
    </row>
    <row r="146" spans="6:16" ht="15.75" customHeight="1">
      <c r="F146" s="235"/>
      <c r="G146" s="235"/>
      <c r="H146" s="235"/>
      <c r="I146" s="235"/>
      <c r="J146" s="235"/>
      <c r="K146" s="235"/>
      <c r="L146" s="235"/>
      <c r="M146" s="235"/>
      <c r="N146" s="235"/>
      <c r="O146" s="235"/>
      <c r="P146" s="234"/>
    </row>
    <row r="147" spans="6:16" ht="15.75" customHeight="1">
      <c r="F147" s="235"/>
      <c r="G147" s="235"/>
      <c r="H147" s="235"/>
      <c r="I147" s="235"/>
      <c r="J147" s="235"/>
      <c r="K147" s="235"/>
      <c r="L147" s="235"/>
      <c r="M147" s="235"/>
      <c r="N147" s="235"/>
      <c r="O147" s="235"/>
      <c r="P147" s="234"/>
    </row>
    <row r="148" spans="6:16" ht="15.75" customHeight="1">
      <c r="F148" s="235"/>
      <c r="G148" s="235"/>
      <c r="H148" s="235"/>
      <c r="I148" s="235"/>
      <c r="J148" s="235"/>
      <c r="K148" s="235"/>
      <c r="L148" s="235"/>
      <c r="M148" s="235"/>
      <c r="N148" s="235"/>
      <c r="O148" s="235"/>
      <c r="P148" s="234"/>
    </row>
    <row r="149" spans="6:16" ht="15.75" customHeight="1">
      <c r="F149" s="235"/>
      <c r="G149" s="235"/>
      <c r="H149" s="235"/>
      <c r="I149" s="235"/>
      <c r="J149" s="235"/>
      <c r="K149" s="235"/>
      <c r="L149" s="235"/>
      <c r="M149" s="235"/>
      <c r="N149" s="235"/>
      <c r="O149" s="235"/>
      <c r="P149" s="234"/>
    </row>
    <row r="150" spans="6:16" ht="15.75" customHeight="1">
      <c r="F150" s="235"/>
      <c r="G150" s="235"/>
      <c r="H150" s="235"/>
      <c r="I150" s="235"/>
      <c r="J150" s="235"/>
      <c r="K150" s="235"/>
      <c r="L150" s="235"/>
      <c r="M150" s="235"/>
      <c r="N150" s="235"/>
      <c r="O150" s="235"/>
      <c r="P150" s="234"/>
    </row>
    <row r="151" spans="6:16" ht="15.75" customHeight="1">
      <c r="F151" s="235"/>
      <c r="G151" s="235"/>
      <c r="H151" s="235"/>
      <c r="I151" s="235"/>
      <c r="J151" s="235"/>
      <c r="K151" s="235"/>
      <c r="L151" s="235"/>
      <c r="M151" s="235"/>
      <c r="N151" s="235"/>
      <c r="O151" s="235"/>
      <c r="P151" s="234"/>
    </row>
    <row r="152" spans="6:16" ht="15.75" customHeight="1">
      <c r="F152" s="235"/>
      <c r="G152" s="235"/>
      <c r="H152" s="235"/>
      <c r="I152" s="235"/>
      <c r="J152" s="235"/>
      <c r="K152" s="235"/>
      <c r="L152" s="235"/>
      <c r="M152" s="235"/>
      <c r="N152" s="235"/>
      <c r="O152" s="235"/>
      <c r="P152" s="234"/>
    </row>
    <row r="153" spans="6:16" ht="15.75" customHeight="1">
      <c r="F153" s="235"/>
      <c r="G153" s="235"/>
      <c r="H153" s="235"/>
      <c r="I153" s="235"/>
      <c r="J153" s="235"/>
      <c r="K153" s="235"/>
      <c r="L153" s="235"/>
      <c r="M153" s="235"/>
      <c r="N153" s="235"/>
      <c r="O153" s="235"/>
      <c r="P153" s="234"/>
    </row>
    <row r="154" spans="6:16" ht="15.75" customHeight="1">
      <c r="F154" s="235"/>
      <c r="G154" s="235"/>
      <c r="H154" s="235"/>
      <c r="I154" s="235"/>
      <c r="J154" s="235"/>
      <c r="K154" s="235"/>
      <c r="L154" s="235"/>
      <c r="M154" s="235"/>
      <c r="N154" s="235"/>
      <c r="O154" s="235"/>
      <c r="P154" s="234"/>
    </row>
    <row r="155" spans="6:16" ht="15.75" customHeight="1">
      <c r="F155" s="235"/>
      <c r="G155" s="235"/>
      <c r="H155" s="235"/>
      <c r="I155" s="235"/>
      <c r="J155" s="235"/>
      <c r="K155" s="235"/>
      <c r="L155" s="235"/>
      <c r="M155" s="235"/>
      <c r="N155" s="235"/>
      <c r="O155" s="235"/>
      <c r="P155" s="234"/>
    </row>
    <row r="156" spans="6:16" ht="15.75" customHeight="1">
      <c r="F156" s="235"/>
      <c r="G156" s="235"/>
      <c r="H156" s="235"/>
      <c r="I156" s="235"/>
      <c r="J156" s="235"/>
      <c r="K156" s="235"/>
      <c r="L156" s="235"/>
      <c r="M156" s="235"/>
      <c r="N156" s="235"/>
      <c r="O156" s="235"/>
      <c r="P156" s="234"/>
    </row>
    <row r="157" spans="6:16" ht="15.75" customHeight="1">
      <c r="F157" s="235"/>
      <c r="G157" s="235"/>
      <c r="H157" s="235"/>
      <c r="I157" s="235"/>
      <c r="J157" s="235"/>
      <c r="K157" s="235"/>
      <c r="L157" s="235"/>
      <c r="M157" s="235"/>
      <c r="N157" s="235"/>
      <c r="O157" s="235"/>
      <c r="P157" s="234"/>
    </row>
    <row r="158" spans="6:16" ht="15.75" customHeight="1">
      <c r="F158" s="235"/>
      <c r="G158" s="235"/>
      <c r="H158" s="235"/>
      <c r="I158" s="235"/>
      <c r="J158" s="235"/>
      <c r="K158" s="235"/>
      <c r="L158" s="235"/>
      <c r="M158" s="235"/>
      <c r="N158" s="235"/>
      <c r="O158" s="235"/>
      <c r="P158" s="234"/>
    </row>
    <row r="159" spans="6:16" ht="15.75" customHeight="1">
      <c r="F159" s="235"/>
      <c r="G159" s="235"/>
      <c r="H159" s="235"/>
      <c r="I159" s="235"/>
      <c r="J159" s="235"/>
      <c r="K159" s="235"/>
      <c r="L159" s="235"/>
      <c r="M159" s="235"/>
      <c r="N159" s="235"/>
      <c r="O159" s="235"/>
      <c r="P159" s="234"/>
    </row>
    <row r="160" spans="6:16" ht="15.75" customHeight="1">
      <c r="F160" s="235"/>
      <c r="G160" s="235"/>
      <c r="H160" s="235"/>
      <c r="I160" s="235"/>
      <c r="J160" s="235"/>
      <c r="K160" s="235"/>
      <c r="L160" s="235"/>
      <c r="M160" s="235"/>
      <c r="N160" s="235"/>
      <c r="O160" s="235"/>
      <c r="P160" s="234"/>
    </row>
    <row r="161" spans="6:16" ht="15.75" customHeight="1">
      <c r="F161" s="235"/>
      <c r="G161" s="235"/>
      <c r="H161" s="235"/>
      <c r="I161" s="235"/>
      <c r="J161" s="235"/>
      <c r="K161" s="235"/>
      <c r="L161" s="235"/>
      <c r="M161" s="235"/>
      <c r="N161" s="235"/>
      <c r="O161" s="235"/>
      <c r="P161" s="234"/>
    </row>
    <row r="162" spans="6:16" ht="15.75" customHeight="1">
      <c r="F162" s="235"/>
      <c r="G162" s="235"/>
      <c r="H162" s="235"/>
      <c r="I162" s="235"/>
      <c r="J162" s="235"/>
      <c r="K162" s="235"/>
      <c r="L162" s="235"/>
      <c r="M162" s="235"/>
      <c r="N162" s="235"/>
      <c r="O162" s="235"/>
      <c r="P162" s="234"/>
    </row>
    <row r="163" spans="6:16" ht="15.75" customHeight="1">
      <c r="F163" s="235"/>
      <c r="G163" s="235"/>
      <c r="H163" s="235"/>
      <c r="I163" s="235"/>
      <c r="J163" s="235"/>
      <c r="K163" s="235"/>
      <c r="L163" s="235"/>
      <c r="M163" s="235"/>
      <c r="N163" s="235"/>
      <c r="O163" s="235"/>
      <c r="P163" s="234"/>
    </row>
    <row r="164" spans="6:16" ht="15.75" customHeight="1">
      <c r="F164" s="235"/>
      <c r="G164" s="235"/>
      <c r="H164" s="235"/>
      <c r="I164" s="235"/>
      <c r="J164" s="235"/>
      <c r="K164" s="235"/>
      <c r="L164" s="235"/>
      <c r="M164" s="235"/>
      <c r="N164" s="235"/>
      <c r="O164" s="235"/>
      <c r="P164" s="234"/>
    </row>
    <row r="165" spans="6:16" ht="15.75" customHeight="1">
      <c r="F165" s="235"/>
      <c r="G165" s="235"/>
      <c r="H165" s="235"/>
      <c r="I165" s="235"/>
      <c r="J165" s="235"/>
      <c r="K165" s="235"/>
      <c r="L165" s="235"/>
      <c r="M165" s="235"/>
      <c r="N165" s="235"/>
      <c r="O165" s="235"/>
      <c r="P165" s="234"/>
    </row>
    <row r="166" spans="6:16" ht="15.75" customHeight="1">
      <c r="F166" s="235"/>
      <c r="G166" s="235"/>
      <c r="H166" s="235"/>
      <c r="I166" s="235"/>
      <c r="J166" s="235"/>
      <c r="K166" s="235"/>
      <c r="L166" s="235"/>
      <c r="M166" s="235"/>
      <c r="N166" s="235"/>
      <c r="O166" s="235"/>
      <c r="P166" s="234"/>
    </row>
    <row r="167" spans="6:16" ht="15.75" customHeight="1">
      <c r="F167" s="235"/>
      <c r="G167" s="235"/>
      <c r="H167" s="235"/>
      <c r="I167" s="235"/>
      <c r="J167" s="235"/>
      <c r="K167" s="235"/>
      <c r="L167" s="235"/>
      <c r="M167" s="235"/>
      <c r="N167" s="235"/>
      <c r="O167" s="235"/>
      <c r="P167" s="234"/>
    </row>
    <row r="168" spans="6:16" ht="15.75" customHeight="1">
      <c r="F168" s="235"/>
      <c r="G168" s="235"/>
      <c r="H168" s="235"/>
      <c r="I168" s="235"/>
      <c r="J168" s="235"/>
      <c r="K168" s="235"/>
      <c r="L168" s="235"/>
      <c r="M168" s="235"/>
      <c r="N168" s="235"/>
      <c r="O168" s="235"/>
      <c r="P168" s="234"/>
    </row>
    <row r="169" spans="6:16" ht="15.75" customHeight="1">
      <c r="F169" s="235"/>
      <c r="G169" s="235"/>
      <c r="H169" s="235"/>
      <c r="I169" s="235"/>
      <c r="J169" s="235"/>
      <c r="K169" s="235"/>
      <c r="L169" s="235"/>
      <c r="M169" s="235"/>
      <c r="N169" s="235"/>
      <c r="O169" s="235"/>
      <c r="P169" s="234"/>
    </row>
    <row r="170" spans="6:16" ht="15.75" customHeight="1">
      <c r="F170" s="235"/>
      <c r="G170" s="235"/>
      <c r="H170" s="235"/>
      <c r="I170" s="235"/>
      <c r="J170" s="235"/>
      <c r="K170" s="235"/>
      <c r="L170" s="235"/>
      <c r="M170" s="235"/>
      <c r="N170" s="235"/>
      <c r="O170" s="235"/>
      <c r="P170" s="234"/>
    </row>
    <row r="171" spans="6:16" ht="15.75" customHeight="1">
      <c r="F171" s="235"/>
      <c r="G171" s="235"/>
      <c r="H171" s="235"/>
      <c r="I171" s="235"/>
      <c r="J171" s="235"/>
      <c r="K171" s="235"/>
      <c r="L171" s="235"/>
      <c r="M171" s="235"/>
      <c r="N171" s="235"/>
      <c r="O171" s="235"/>
      <c r="P171" s="234"/>
    </row>
    <row r="172" spans="6:16" ht="15.75" customHeight="1">
      <c r="F172" s="235"/>
      <c r="G172" s="235"/>
      <c r="H172" s="235"/>
      <c r="I172" s="235"/>
      <c r="J172" s="235"/>
      <c r="K172" s="235"/>
      <c r="L172" s="235"/>
      <c r="M172" s="235"/>
      <c r="N172" s="235"/>
      <c r="O172" s="235"/>
      <c r="P172" s="234"/>
    </row>
    <row r="173" spans="6:16" ht="15.75" customHeight="1">
      <c r="F173" s="235"/>
      <c r="G173" s="235"/>
      <c r="H173" s="235"/>
      <c r="I173" s="235"/>
      <c r="J173" s="235"/>
      <c r="K173" s="235"/>
      <c r="L173" s="235"/>
      <c r="M173" s="235"/>
      <c r="N173" s="235"/>
      <c r="O173" s="235"/>
      <c r="P173" s="234"/>
    </row>
    <row r="174" spans="6:16" ht="15.75" customHeight="1">
      <c r="F174" s="235"/>
      <c r="G174" s="235"/>
      <c r="H174" s="235"/>
      <c r="I174" s="235"/>
      <c r="J174" s="235"/>
      <c r="K174" s="235"/>
      <c r="L174" s="235"/>
      <c r="M174" s="235"/>
      <c r="N174" s="235"/>
      <c r="O174" s="235"/>
      <c r="P174" s="234"/>
    </row>
    <row r="175" spans="6:16" ht="15.75" customHeight="1">
      <c r="F175" s="235"/>
      <c r="G175" s="235"/>
      <c r="H175" s="235"/>
      <c r="I175" s="235"/>
      <c r="J175" s="235"/>
      <c r="K175" s="235"/>
      <c r="L175" s="235"/>
      <c r="M175" s="235"/>
      <c r="N175" s="235"/>
      <c r="O175" s="235"/>
      <c r="P175" s="234"/>
    </row>
    <row r="176" spans="6:16" ht="15.75" customHeight="1">
      <c r="F176" s="235"/>
      <c r="G176" s="235"/>
      <c r="H176" s="235"/>
      <c r="I176" s="235"/>
      <c r="J176" s="235"/>
      <c r="K176" s="235"/>
      <c r="L176" s="235"/>
      <c r="M176" s="235"/>
      <c r="N176" s="235"/>
      <c r="O176" s="235"/>
      <c r="P176" s="234"/>
    </row>
    <row r="177" spans="6:16" ht="15.75" customHeight="1">
      <c r="F177" s="235"/>
      <c r="G177" s="235"/>
      <c r="H177" s="235"/>
      <c r="I177" s="235"/>
      <c r="J177" s="235"/>
      <c r="K177" s="235"/>
      <c r="L177" s="235"/>
      <c r="M177" s="235"/>
      <c r="N177" s="235"/>
      <c r="O177" s="235"/>
      <c r="P177" s="234"/>
    </row>
    <row r="178" spans="6:16" ht="15.75" customHeight="1">
      <c r="F178" s="235"/>
      <c r="G178" s="235"/>
      <c r="H178" s="235"/>
      <c r="I178" s="235"/>
      <c r="J178" s="235"/>
      <c r="K178" s="235"/>
      <c r="L178" s="235"/>
      <c r="M178" s="235"/>
      <c r="N178" s="235"/>
      <c r="O178" s="235"/>
      <c r="P178" s="234"/>
    </row>
    <row r="179" spans="6:16" ht="15.75" customHeight="1">
      <c r="F179" s="235"/>
      <c r="G179" s="235"/>
      <c r="H179" s="235"/>
      <c r="I179" s="235"/>
      <c r="J179" s="235"/>
      <c r="K179" s="235"/>
      <c r="L179" s="235"/>
      <c r="M179" s="235"/>
      <c r="N179" s="235"/>
      <c r="O179" s="235"/>
      <c r="P179" s="234"/>
    </row>
    <row r="180" spans="6:16" ht="15.75" customHeight="1">
      <c r="F180" s="235"/>
      <c r="G180" s="235"/>
      <c r="H180" s="235"/>
      <c r="I180" s="235"/>
      <c r="J180" s="235"/>
      <c r="K180" s="235"/>
      <c r="L180" s="235"/>
      <c r="M180" s="235"/>
      <c r="N180" s="235"/>
      <c r="O180" s="235"/>
      <c r="P180" s="234"/>
    </row>
    <row r="181" spans="6:16" ht="15.75" customHeight="1">
      <c r="F181" s="235"/>
      <c r="G181" s="235"/>
      <c r="H181" s="235"/>
      <c r="I181" s="235"/>
      <c r="J181" s="235"/>
      <c r="K181" s="235"/>
      <c r="L181" s="235"/>
      <c r="M181" s="235"/>
      <c r="N181" s="235"/>
      <c r="O181" s="235"/>
      <c r="P181" s="234"/>
    </row>
    <row r="182" spans="6:16" ht="15.75" customHeight="1">
      <c r="F182" s="235"/>
      <c r="G182" s="235"/>
      <c r="H182" s="235"/>
      <c r="I182" s="235"/>
      <c r="J182" s="235"/>
      <c r="K182" s="235"/>
      <c r="L182" s="235"/>
      <c r="M182" s="235"/>
      <c r="N182" s="235"/>
      <c r="O182" s="235"/>
      <c r="P182" s="234"/>
    </row>
    <row r="183" spans="6:16" ht="15.75" customHeight="1">
      <c r="F183" s="235"/>
      <c r="G183" s="235"/>
      <c r="H183" s="235"/>
      <c r="I183" s="235"/>
      <c r="J183" s="235"/>
      <c r="K183" s="235"/>
      <c r="L183" s="235"/>
      <c r="M183" s="235"/>
      <c r="N183" s="235"/>
      <c r="O183" s="235"/>
      <c r="P183" s="234"/>
    </row>
    <row r="184" spans="6:16" ht="15.75" customHeight="1">
      <c r="F184" s="235"/>
      <c r="G184" s="235"/>
      <c r="H184" s="235"/>
      <c r="I184" s="235"/>
      <c r="J184" s="235"/>
      <c r="K184" s="235"/>
      <c r="L184" s="235"/>
      <c r="M184" s="235"/>
      <c r="N184" s="235"/>
      <c r="O184" s="235"/>
      <c r="P184" s="234"/>
    </row>
    <row r="185" spans="6:16" ht="15.75" customHeight="1">
      <c r="F185" s="235"/>
      <c r="G185" s="235"/>
      <c r="H185" s="235"/>
      <c r="I185" s="235"/>
      <c r="J185" s="235"/>
      <c r="K185" s="235"/>
      <c r="L185" s="235"/>
      <c r="M185" s="235"/>
      <c r="N185" s="235"/>
      <c r="O185" s="235"/>
      <c r="P185" s="234"/>
    </row>
    <row r="186" spans="6:16" ht="15.75" customHeight="1">
      <c r="F186" s="235"/>
      <c r="G186" s="235"/>
      <c r="H186" s="235"/>
      <c r="I186" s="235"/>
      <c r="J186" s="235"/>
      <c r="K186" s="235"/>
      <c r="L186" s="235"/>
      <c r="M186" s="235"/>
      <c r="N186" s="235"/>
      <c r="O186" s="235"/>
      <c r="P186" s="234"/>
    </row>
    <row r="187" spans="6:16" ht="15.75" customHeight="1">
      <c r="F187" s="235"/>
      <c r="G187" s="235"/>
      <c r="H187" s="235"/>
      <c r="I187" s="235"/>
      <c r="J187" s="235"/>
      <c r="K187" s="235"/>
      <c r="L187" s="235"/>
      <c r="M187" s="235"/>
      <c r="N187" s="235"/>
      <c r="O187" s="235"/>
      <c r="P187" s="234"/>
    </row>
    <row r="188" spans="6:16" ht="15.75" customHeight="1">
      <c r="F188" s="235"/>
      <c r="G188" s="235"/>
      <c r="H188" s="235"/>
      <c r="I188" s="235"/>
      <c r="J188" s="235"/>
      <c r="K188" s="235"/>
      <c r="L188" s="235"/>
      <c r="M188" s="235"/>
      <c r="N188" s="235"/>
      <c r="O188" s="235"/>
      <c r="P188" s="234"/>
    </row>
    <row r="189" spans="6:16" ht="15.75" customHeight="1">
      <c r="F189" s="235"/>
      <c r="G189" s="235"/>
      <c r="H189" s="235"/>
      <c r="I189" s="235"/>
      <c r="J189" s="235"/>
      <c r="K189" s="235"/>
      <c r="L189" s="235"/>
      <c r="M189" s="235"/>
      <c r="N189" s="235"/>
      <c r="O189" s="235"/>
      <c r="P189" s="234"/>
    </row>
    <row r="190" spans="6:16" ht="15.75" customHeight="1">
      <c r="F190" s="235"/>
      <c r="G190" s="235"/>
      <c r="H190" s="235"/>
      <c r="I190" s="235"/>
      <c r="J190" s="235"/>
      <c r="K190" s="235"/>
      <c r="L190" s="235"/>
      <c r="M190" s="235"/>
      <c r="N190" s="235"/>
      <c r="O190" s="235"/>
      <c r="P190" s="234"/>
    </row>
    <row r="191" spans="6:16" ht="15.75" customHeight="1">
      <c r="F191" s="235"/>
      <c r="G191" s="235"/>
      <c r="H191" s="235"/>
      <c r="I191" s="235"/>
      <c r="J191" s="235"/>
      <c r="K191" s="235"/>
      <c r="L191" s="235"/>
      <c r="M191" s="235"/>
      <c r="N191" s="235"/>
      <c r="O191" s="235"/>
      <c r="P191" s="234"/>
    </row>
    <row r="192" spans="6:16" ht="15.75" customHeight="1">
      <c r="F192" s="235"/>
      <c r="G192" s="235"/>
      <c r="H192" s="235"/>
      <c r="I192" s="235"/>
      <c r="J192" s="235"/>
      <c r="K192" s="235"/>
      <c r="L192" s="235"/>
      <c r="M192" s="235"/>
      <c r="N192" s="235"/>
      <c r="O192" s="235"/>
      <c r="P192" s="234"/>
    </row>
    <row r="193" spans="6:16" ht="15.75" customHeight="1">
      <c r="F193" s="235"/>
      <c r="G193" s="235"/>
      <c r="H193" s="235"/>
      <c r="I193" s="235"/>
      <c r="J193" s="235"/>
      <c r="K193" s="235"/>
      <c r="L193" s="235"/>
      <c r="M193" s="235"/>
      <c r="N193" s="235"/>
      <c r="O193" s="235"/>
      <c r="P193" s="234"/>
    </row>
    <row r="194" spans="6:16" ht="15.75" customHeight="1">
      <c r="F194" s="235"/>
      <c r="G194" s="235"/>
      <c r="H194" s="235"/>
      <c r="I194" s="235"/>
      <c r="J194" s="235"/>
      <c r="K194" s="235"/>
      <c r="L194" s="235"/>
      <c r="M194" s="235"/>
      <c r="N194" s="235"/>
      <c r="O194" s="235"/>
      <c r="P194" s="234"/>
    </row>
    <row r="195" spans="6:16" ht="15.75" customHeight="1">
      <c r="F195" s="235"/>
      <c r="G195" s="235"/>
      <c r="H195" s="235"/>
      <c r="I195" s="235"/>
      <c r="J195" s="235"/>
      <c r="K195" s="235"/>
      <c r="L195" s="235"/>
      <c r="M195" s="235"/>
      <c r="N195" s="235"/>
      <c r="O195" s="235"/>
      <c r="P195" s="234"/>
    </row>
    <row r="196" spans="6:16" ht="15.75" customHeight="1">
      <c r="F196" s="235"/>
      <c r="G196" s="235"/>
      <c r="H196" s="235"/>
      <c r="I196" s="235"/>
      <c r="J196" s="235"/>
      <c r="K196" s="235"/>
      <c r="L196" s="235"/>
      <c r="M196" s="235"/>
      <c r="N196" s="235"/>
      <c r="O196" s="235"/>
      <c r="P196" s="234"/>
    </row>
    <row r="197" spans="6:16" ht="15.75" customHeight="1">
      <c r="F197" s="235"/>
      <c r="G197" s="235"/>
      <c r="H197" s="235"/>
      <c r="I197" s="235"/>
      <c r="J197" s="235"/>
      <c r="K197" s="235"/>
      <c r="L197" s="235"/>
      <c r="M197" s="235"/>
      <c r="N197" s="235"/>
      <c r="O197" s="235"/>
      <c r="P197" s="234"/>
    </row>
    <row r="198" spans="6:16" ht="15.75" customHeight="1">
      <c r="F198" s="235"/>
      <c r="G198" s="235"/>
      <c r="H198" s="235"/>
      <c r="I198" s="235"/>
      <c r="J198" s="235"/>
      <c r="K198" s="235"/>
      <c r="L198" s="235"/>
      <c r="M198" s="235"/>
      <c r="N198" s="235"/>
      <c r="O198" s="235"/>
      <c r="P198" s="234"/>
    </row>
    <row r="199" spans="6:16" ht="15.75" customHeight="1">
      <c r="F199" s="235"/>
      <c r="G199" s="235"/>
      <c r="H199" s="235"/>
      <c r="I199" s="235"/>
      <c r="J199" s="235"/>
      <c r="K199" s="235"/>
      <c r="L199" s="235"/>
      <c r="M199" s="235"/>
      <c r="N199" s="235"/>
      <c r="O199" s="235"/>
      <c r="P199" s="234"/>
    </row>
    <row r="200" spans="6:16" ht="15.75" customHeight="1">
      <c r="F200" s="235"/>
      <c r="G200" s="235"/>
      <c r="H200" s="235"/>
      <c r="I200" s="235"/>
      <c r="J200" s="235"/>
      <c r="K200" s="235"/>
      <c r="L200" s="235"/>
      <c r="M200" s="235"/>
      <c r="N200" s="235"/>
      <c r="O200" s="235"/>
      <c r="P200" s="234"/>
    </row>
    <row r="201" spans="6:16" ht="15.75" customHeight="1">
      <c r="F201" s="235"/>
      <c r="G201" s="235"/>
      <c r="H201" s="235"/>
      <c r="I201" s="235"/>
      <c r="J201" s="235"/>
      <c r="K201" s="235"/>
      <c r="L201" s="235"/>
      <c r="M201" s="235"/>
      <c r="N201" s="235"/>
      <c r="O201" s="235"/>
      <c r="P201" s="234"/>
    </row>
    <row r="202" spans="6:16" ht="15.75" customHeight="1">
      <c r="F202" s="235"/>
      <c r="G202" s="235"/>
      <c r="H202" s="235"/>
      <c r="I202" s="235"/>
      <c r="J202" s="235"/>
      <c r="K202" s="235"/>
      <c r="L202" s="235"/>
      <c r="M202" s="235"/>
      <c r="N202" s="235"/>
      <c r="O202" s="235"/>
      <c r="P202" s="234"/>
    </row>
    <row r="203" spans="6:16" ht="15.75" customHeight="1">
      <c r="F203" s="235"/>
      <c r="G203" s="235"/>
      <c r="H203" s="235"/>
      <c r="I203" s="235"/>
      <c r="J203" s="235"/>
      <c r="K203" s="235"/>
      <c r="L203" s="235"/>
      <c r="M203" s="235"/>
      <c r="N203" s="235"/>
      <c r="O203" s="235"/>
      <c r="P203" s="234"/>
    </row>
    <row r="204" spans="6:16" ht="15.75" customHeight="1">
      <c r="F204" s="235"/>
      <c r="G204" s="235"/>
      <c r="H204" s="235"/>
      <c r="I204" s="235"/>
      <c r="J204" s="235"/>
      <c r="K204" s="235"/>
      <c r="L204" s="235"/>
      <c r="M204" s="235"/>
      <c r="N204" s="235"/>
      <c r="O204" s="235"/>
      <c r="P204" s="234"/>
    </row>
    <row r="205" spans="6:16" ht="15.75" customHeight="1">
      <c r="F205" s="235"/>
      <c r="G205" s="235"/>
      <c r="H205" s="235"/>
      <c r="I205" s="235"/>
      <c r="J205" s="235"/>
      <c r="K205" s="235"/>
      <c r="L205" s="235"/>
      <c r="M205" s="235"/>
      <c r="N205" s="235"/>
      <c r="O205" s="235"/>
      <c r="P205" s="234"/>
    </row>
    <row r="206" spans="6:16" ht="15.75" customHeight="1">
      <c r="F206" s="235"/>
      <c r="G206" s="235"/>
      <c r="H206" s="235"/>
      <c r="I206" s="235"/>
      <c r="J206" s="235"/>
      <c r="K206" s="235"/>
      <c r="L206" s="235"/>
      <c r="M206" s="235"/>
      <c r="N206" s="235"/>
      <c r="O206" s="235"/>
      <c r="P206" s="234"/>
    </row>
    <row r="207" spans="6:16" ht="15.75" customHeight="1">
      <c r="F207" s="235"/>
      <c r="G207" s="235"/>
      <c r="H207" s="235"/>
      <c r="I207" s="235"/>
      <c r="J207" s="235"/>
      <c r="K207" s="235"/>
      <c r="L207" s="235"/>
      <c r="M207" s="235"/>
      <c r="N207" s="235"/>
      <c r="O207" s="235"/>
      <c r="P207" s="234"/>
    </row>
    <row r="208" spans="6:16" ht="15.75" customHeight="1">
      <c r="F208" s="235"/>
      <c r="G208" s="235"/>
      <c r="H208" s="235"/>
      <c r="I208" s="235"/>
      <c r="J208" s="235"/>
      <c r="K208" s="235"/>
      <c r="L208" s="235"/>
      <c r="M208" s="235"/>
      <c r="N208" s="235"/>
      <c r="O208" s="235"/>
      <c r="P208" s="234"/>
    </row>
    <row r="209" spans="6:16" ht="15.75" customHeight="1">
      <c r="F209" s="235"/>
      <c r="G209" s="235"/>
      <c r="H209" s="235"/>
      <c r="I209" s="235"/>
      <c r="J209" s="235"/>
      <c r="K209" s="235"/>
      <c r="L209" s="235"/>
      <c r="M209" s="235"/>
      <c r="N209" s="235"/>
      <c r="O209" s="235"/>
      <c r="P209" s="234"/>
    </row>
    <row r="210" spans="6:16" ht="15.75" customHeight="1">
      <c r="F210" s="235"/>
      <c r="G210" s="235"/>
      <c r="H210" s="235"/>
      <c r="I210" s="235"/>
      <c r="J210" s="235"/>
      <c r="K210" s="235"/>
      <c r="L210" s="235"/>
      <c r="M210" s="235"/>
      <c r="N210" s="235"/>
      <c r="O210" s="235"/>
      <c r="P210" s="234"/>
    </row>
    <row r="211" spans="6:16" ht="15.75" customHeight="1">
      <c r="F211" s="235"/>
      <c r="G211" s="235"/>
      <c r="H211" s="235"/>
      <c r="I211" s="235"/>
      <c r="J211" s="235"/>
      <c r="K211" s="235"/>
      <c r="L211" s="235"/>
      <c r="M211" s="235"/>
      <c r="N211" s="235"/>
      <c r="O211" s="235"/>
      <c r="P211" s="234"/>
    </row>
    <row r="212" spans="6:16" ht="15.75" customHeight="1">
      <c r="F212" s="235"/>
      <c r="G212" s="235"/>
      <c r="H212" s="235"/>
      <c r="I212" s="235"/>
      <c r="J212" s="235"/>
      <c r="K212" s="235"/>
      <c r="L212" s="235"/>
      <c r="M212" s="235"/>
      <c r="N212" s="235"/>
      <c r="O212" s="235"/>
      <c r="P212" s="234"/>
    </row>
    <row r="213" spans="6:16" ht="15.75" customHeight="1">
      <c r="F213" s="235"/>
      <c r="G213" s="235"/>
      <c r="H213" s="235"/>
      <c r="I213" s="235"/>
      <c r="J213" s="235"/>
      <c r="K213" s="235"/>
      <c r="L213" s="235"/>
      <c r="M213" s="235"/>
      <c r="N213" s="235"/>
      <c r="O213" s="235"/>
      <c r="P213" s="234"/>
    </row>
    <row r="214" spans="6:16" ht="15.75" customHeight="1">
      <c r="F214" s="235"/>
      <c r="G214" s="235"/>
      <c r="H214" s="235"/>
      <c r="I214" s="235"/>
      <c r="J214" s="235"/>
      <c r="K214" s="235"/>
      <c r="L214" s="235"/>
      <c r="M214" s="235"/>
      <c r="N214" s="235"/>
      <c r="O214" s="235"/>
      <c r="P214" s="234"/>
    </row>
    <row r="215" spans="6:16" ht="15.75" customHeight="1">
      <c r="F215" s="235"/>
      <c r="G215" s="235"/>
      <c r="H215" s="235"/>
      <c r="I215" s="235"/>
      <c r="J215" s="235"/>
      <c r="K215" s="235"/>
      <c r="L215" s="235"/>
      <c r="M215" s="235"/>
      <c r="N215" s="235"/>
      <c r="O215" s="235"/>
      <c r="P215" s="234"/>
    </row>
    <row r="216" spans="6:16" ht="15.75" customHeight="1">
      <c r="F216" s="235"/>
      <c r="G216" s="235"/>
      <c r="H216" s="235"/>
      <c r="I216" s="235"/>
      <c r="J216" s="235"/>
      <c r="K216" s="235"/>
      <c r="L216" s="235"/>
      <c r="M216" s="235"/>
      <c r="N216" s="235"/>
      <c r="O216" s="235"/>
      <c r="P216" s="234"/>
    </row>
    <row r="217" spans="6:16" ht="15.75" customHeight="1">
      <c r="F217" s="235"/>
      <c r="G217" s="235"/>
      <c r="H217" s="235"/>
      <c r="I217" s="235"/>
      <c r="J217" s="235"/>
      <c r="K217" s="235"/>
      <c r="L217" s="235"/>
      <c r="M217" s="235"/>
      <c r="N217" s="235"/>
      <c r="O217" s="235"/>
      <c r="P217" s="234"/>
    </row>
    <row r="218" spans="6:16" ht="15.75" customHeight="1">
      <c r="F218" s="235"/>
      <c r="G218" s="235"/>
      <c r="H218" s="235"/>
      <c r="I218" s="235"/>
      <c r="J218" s="235"/>
      <c r="K218" s="235"/>
      <c r="L218" s="235"/>
      <c r="M218" s="235"/>
      <c r="N218" s="235"/>
      <c r="O218" s="235"/>
      <c r="P218" s="234"/>
    </row>
    <row r="219" spans="6:16" ht="15.75" customHeight="1">
      <c r="F219" s="235"/>
      <c r="G219" s="235"/>
      <c r="H219" s="235"/>
      <c r="I219" s="235"/>
      <c r="J219" s="235"/>
      <c r="K219" s="235"/>
      <c r="L219" s="235"/>
      <c r="M219" s="235"/>
      <c r="N219" s="235"/>
      <c r="O219" s="235"/>
      <c r="P219" s="234"/>
    </row>
    <row r="220" spans="6:16" ht="15.75" customHeight="1">
      <c r="F220" s="235"/>
      <c r="G220" s="235"/>
      <c r="H220" s="235"/>
      <c r="I220" s="235"/>
      <c r="J220" s="235"/>
      <c r="K220" s="235"/>
      <c r="L220" s="235"/>
      <c r="M220" s="235"/>
      <c r="N220" s="235"/>
      <c r="O220" s="235"/>
      <c r="P220" s="234"/>
    </row>
    <row r="221" spans="6:16" ht="15.75" customHeight="1">
      <c r="F221" s="235"/>
      <c r="G221" s="235"/>
      <c r="H221" s="235"/>
      <c r="I221" s="235"/>
      <c r="J221" s="235"/>
      <c r="K221" s="235"/>
      <c r="L221" s="235"/>
      <c r="M221" s="235"/>
      <c r="N221" s="235"/>
      <c r="O221" s="235"/>
      <c r="P221" s="234"/>
    </row>
    <row r="222" spans="6:16" ht="15.75" customHeight="1">
      <c r="F222" s="235"/>
      <c r="G222" s="235"/>
      <c r="H222" s="235"/>
      <c r="I222" s="235"/>
      <c r="J222" s="235"/>
      <c r="K222" s="235"/>
      <c r="L222" s="235"/>
      <c r="M222" s="235"/>
      <c r="N222" s="235"/>
      <c r="O222" s="235"/>
      <c r="P222" s="234"/>
    </row>
    <row r="223" spans="6:16" ht="15.75" customHeight="1">
      <c r="F223" s="235"/>
      <c r="G223" s="235"/>
      <c r="H223" s="235"/>
      <c r="I223" s="235"/>
      <c r="J223" s="235"/>
      <c r="K223" s="235"/>
      <c r="L223" s="235"/>
      <c r="M223" s="235"/>
      <c r="N223" s="235"/>
      <c r="O223" s="235"/>
      <c r="P223" s="234"/>
    </row>
    <row r="224" spans="6:16" ht="15.75" customHeight="1">
      <c r="F224" s="235"/>
      <c r="G224" s="235"/>
      <c r="H224" s="235"/>
      <c r="I224" s="235"/>
      <c r="J224" s="235"/>
      <c r="K224" s="235"/>
      <c r="L224" s="235"/>
      <c r="M224" s="235"/>
      <c r="N224" s="235"/>
      <c r="O224" s="235"/>
      <c r="P224" s="234"/>
    </row>
    <row r="225" spans="6:16" ht="15.75" customHeight="1">
      <c r="F225" s="235"/>
      <c r="G225" s="235"/>
      <c r="H225" s="235"/>
      <c r="I225" s="235"/>
      <c r="J225" s="235"/>
      <c r="K225" s="235"/>
      <c r="L225" s="235"/>
      <c r="M225" s="235"/>
      <c r="N225" s="235"/>
      <c r="O225" s="235"/>
      <c r="P225" s="234"/>
    </row>
    <row r="226" spans="6:16" ht="15.75" customHeight="1">
      <c r="F226" s="235"/>
      <c r="G226" s="235"/>
      <c r="H226" s="235"/>
      <c r="I226" s="235"/>
      <c r="J226" s="235"/>
      <c r="K226" s="235"/>
      <c r="L226" s="235"/>
      <c r="M226" s="235"/>
      <c r="N226" s="235"/>
      <c r="O226" s="235"/>
      <c r="P226" s="234"/>
    </row>
    <row r="227" spans="6:16" ht="15.75" customHeight="1">
      <c r="F227" s="235"/>
      <c r="G227" s="235"/>
      <c r="H227" s="235"/>
      <c r="I227" s="235"/>
      <c r="J227" s="235"/>
      <c r="K227" s="235"/>
      <c r="L227" s="235"/>
      <c r="M227" s="235"/>
      <c r="N227" s="235"/>
      <c r="O227" s="235"/>
      <c r="P227" s="234"/>
    </row>
    <row r="228" spans="6:16" ht="15.75" customHeight="1">
      <c r="F228" s="235"/>
      <c r="G228" s="235"/>
      <c r="H228" s="235"/>
      <c r="I228" s="235"/>
      <c r="J228" s="235"/>
      <c r="K228" s="235"/>
      <c r="L228" s="235"/>
      <c r="M228" s="235"/>
      <c r="N228" s="235"/>
      <c r="O228" s="235"/>
      <c r="P228" s="234"/>
    </row>
    <row r="229" spans="6:16" ht="15.75" customHeight="1">
      <c r="F229" s="235"/>
      <c r="G229" s="235"/>
      <c r="H229" s="235"/>
      <c r="I229" s="235"/>
      <c r="J229" s="235"/>
      <c r="K229" s="235"/>
      <c r="L229" s="235"/>
      <c r="M229" s="235"/>
      <c r="N229" s="235"/>
      <c r="O229" s="235"/>
      <c r="P229" s="234"/>
    </row>
    <row r="230" spans="6:16" ht="15.75" customHeight="1">
      <c r="F230" s="235"/>
      <c r="G230" s="235"/>
      <c r="H230" s="235"/>
      <c r="I230" s="235"/>
      <c r="J230" s="235"/>
      <c r="K230" s="235"/>
      <c r="L230" s="235"/>
      <c r="M230" s="235"/>
      <c r="N230" s="235"/>
      <c r="O230" s="235"/>
      <c r="P230" s="234"/>
    </row>
    <row r="231" spans="6:16" ht="15.75" customHeight="1">
      <c r="F231" s="235"/>
      <c r="G231" s="235"/>
      <c r="H231" s="235"/>
      <c r="I231" s="235"/>
      <c r="J231" s="235"/>
      <c r="K231" s="235"/>
      <c r="L231" s="235"/>
      <c r="M231" s="235"/>
      <c r="N231" s="235"/>
      <c r="O231" s="235"/>
      <c r="P231" s="234"/>
    </row>
    <row r="232" spans="6:16" ht="15.75" customHeight="1">
      <c r="F232" s="235"/>
      <c r="G232" s="235"/>
      <c r="H232" s="235"/>
      <c r="I232" s="235"/>
      <c r="J232" s="235"/>
      <c r="K232" s="235"/>
      <c r="L232" s="235"/>
      <c r="M232" s="235"/>
      <c r="N232" s="235"/>
      <c r="O232" s="235"/>
      <c r="P232" s="234"/>
    </row>
    <row r="233" spans="6:16" ht="15.75" customHeight="1">
      <c r="F233" s="235"/>
      <c r="G233" s="235"/>
      <c r="H233" s="235"/>
      <c r="I233" s="235"/>
      <c r="J233" s="235"/>
      <c r="K233" s="235"/>
      <c r="L233" s="235"/>
      <c r="M233" s="235"/>
      <c r="N233" s="235"/>
      <c r="O233" s="235"/>
      <c r="P233" s="234"/>
    </row>
    <row r="234" spans="6:16" ht="15.75" customHeight="1">
      <c r="F234" s="235"/>
      <c r="G234" s="235"/>
      <c r="H234" s="235"/>
      <c r="I234" s="235"/>
      <c r="J234" s="235"/>
      <c r="K234" s="235"/>
      <c r="L234" s="235"/>
      <c r="M234" s="235"/>
      <c r="N234" s="235"/>
      <c r="O234" s="235"/>
      <c r="P234" s="234"/>
    </row>
    <row r="235" spans="6:16" ht="15.75" customHeight="1">
      <c r="F235" s="235"/>
      <c r="G235" s="235"/>
      <c r="H235" s="235"/>
      <c r="I235" s="235"/>
      <c r="J235" s="235"/>
      <c r="K235" s="235"/>
      <c r="L235" s="235"/>
      <c r="M235" s="235"/>
      <c r="N235" s="235"/>
      <c r="O235" s="235"/>
      <c r="P235" s="234"/>
    </row>
    <row r="236" spans="6:16" ht="15.75" customHeight="1">
      <c r="F236" s="235"/>
      <c r="G236" s="235"/>
      <c r="H236" s="235"/>
      <c r="I236" s="235"/>
      <c r="J236" s="235"/>
      <c r="K236" s="235"/>
      <c r="L236" s="235"/>
      <c r="M236" s="235"/>
      <c r="N236" s="235"/>
      <c r="O236" s="235"/>
      <c r="P236" s="234"/>
    </row>
    <row r="237" spans="6:16" ht="15.75" customHeight="1">
      <c r="F237" s="235"/>
      <c r="G237" s="235"/>
      <c r="H237" s="235"/>
      <c r="I237" s="235"/>
      <c r="J237" s="235"/>
      <c r="K237" s="235"/>
      <c r="L237" s="235"/>
      <c r="M237" s="235"/>
      <c r="N237" s="235"/>
      <c r="O237" s="235"/>
      <c r="P237" s="234"/>
    </row>
    <row r="238" spans="6:16" ht="15.75" customHeight="1">
      <c r="F238" s="235"/>
      <c r="G238" s="235"/>
      <c r="H238" s="235"/>
      <c r="I238" s="235"/>
      <c r="J238" s="235"/>
      <c r="K238" s="235"/>
      <c r="L238" s="235"/>
      <c r="M238" s="235"/>
      <c r="N238" s="235"/>
      <c r="O238" s="235"/>
      <c r="P238" s="234"/>
    </row>
    <row r="239" spans="6:16" ht="15.75" customHeight="1">
      <c r="F239" s="235"/>
      <c r="G239" s="235"/>
      <c r="H239" s="235"/>
      <c r="I239" s="235"/>
      <c r="J239" s="235"/>
      <c r="K239" s="235"/>
      <c r="L239" s="235"/>
      <c r="M239" s="235"/>
      <c r="N239" s="235"/>
      <c r="O239" s="235"/>
      <c r="P239" s="234"/>
    </row>
    <row r="240" spans="6:16" ht="15.75" customHeight="1">
      <c r="F240" s="235"/>
      <c r="G240" s="235"/>
      <c r="H240" s="235"/>
      <c r="I240" s="235"/>
      <c r="J240" s="235"/>
      <c r="K240" s="235"/>
      <c r="L240" s="235"/>
      <c r="M240" s="235"/>
      <c r="N240" s="235"/>
      <c r="O240" s="235"/>
      <c r="P240" s="234"/>
    </row>
    <row r="241" spans="6:16" ht="15.75" customHeight="1">
      <c r="F241" s="235"/>
      <c r="G241" s="235"/>
      <c r="H241" s="235"/>
      <c r="I241" s="235"/>
      <c r="J241" s="235"/>
      <c r="K241" s="235"/>
      <c r="L241" s="235"/>
      <c r="M241" s="235"/>
      <c r="N241" s="235"/>
      <c r="O241" s="235"/>
      <c r="P241" s="234"/>
    </row>
    <row r="242" spans="6:16" ht="15.75" customHeight="1">
      <c r="F242" s="235"/>
      <c r="G242" s="235"/>
      <c r="H242" s="235"/>
      <c r="I242" s="235"/>
      <c r="J242" s="235"/>
      <c r="K242" s="235"/>
      <c r="L242" s="235"/>
      <c r="M242" s="235"/>
      <c r="N242" s="235"/>
      <c r="O242" s="235"/>
      <c r="P242" s="234"/>
    </row>
    <row r="243" spans="6:16" ht="15.75" customHeight="1">
      <c r="F243" s="235"/>
      <c r="G243" s="235"/>
      <c r="H243" s="235"/>
      <c r="I243" s="235"/>
      <c r="J243" s="235"/>
      <c r="K243" s="235"/>
      <c r="L243" s="235"/>
      <c r="M243" s="235"/>
      <c r="N243" s="235"/>
      <c r="O243" s="235"/>
      <c r="P243" s="234"/>
    </row>
    <row r="244" spans="6:16" ht="15.75" customHeight="1">
      <c r="F244" s="235"/>
      <c r="G244" s="235"/>
      <c r="H244" s="235"/>
      <c r="I244" s="235"/>
      <c r="J244" s="235"/>
      <c r="K244" s="235"/>
      <c r="L244" s="235"/>
      <c r="M244" s="235"/>
      <c r="N244" s="235"/>
      <c r="O244" s="235"/>
      <c r="P244" s="234"/>
    </row>
    <row r="245" spans="6:16" ht="15.75" customHeight="1">
      <c r="F245" s="235"/>
      <c r="G245" s="235"/>
      <c r="H245" s="235"/>
      <c r="I245" s="235"/>
      <c r="J245" s="235"/>
      <c r="K245" s="235"/>
      <c r="L245" s="235"/>
      <c r="M245" s="235"/>
      <c r="N245" s="235"/>
      <c r="O245" s="235"/>
      <c r="P245" s="234"/>
    </row>
    <row r="246" spans="6:16" ht="15.75" customHeight="1">
      <c r="F246" s="235"/>
      <c r="G246" s="235"/>
      <c r="H246" s="235"/>
      <c r="I246" s="235"/>
      <c r="J246" s="235"/>
      <c r="K246" s="235"/>
      <c r="L246" s="235"/>
      <c r="M246" s="235"/>
      <c r="N246" s="235"/>
      <c r="O246" s="235"/>
      <c r="P246" s="234"/>
    </row>
    <row r="247" spans="6:16" ht="15.75" customHeight="1">
      <c r="F247" s="235"/>
      <c r="G247" s="235"/>
      <c r="H247" s="235"/>
      <c r="I247" s="235"/>
      <c r="J247" s="235"/>
      <c r="K247" s="235"/>
      <c r="L247" s="235"/>
      <c r="M247" s="235"/>
      <c r="N247" s="235"/>
      <c r="O247" s="235"/>
      <c r="P247" s="234"/>
    </row>
    <row r="248" spans="6:16" ht="15.75" customHeight="1">
      <c r="F248" s="235"/>
      <c r="G248" s="235"/>
      <c r="H248" s="235"/>
      <c r="I248" s="235"/>
      <c r="J248" s="235"/>
      <c r="K248" s="235"/>
      <c r="L248" s="235"/>
      <c r="M248" s="235"/>
      <c r="N248" s="235"/>
      <c r="O248" s="235"/>
      <c r="P248" s="234"/>
    </row>
    <row r="249" spans="6:16" ht="15.75" customHeight="1">
      <c r="F249" s="235"/>
      <c r="G249" s="235"/>
      <c r="H249" s="235"/>
      <c r="I249" s="235"/>
      <c r="J249" s="235"/>
      <c r="K249" s="235"/>
      <c r="L249" s="235"/>
      <c r="M249" s="235"/>
      <c r="N249" s="235"/>
      <c r="O249" s="235"/>
      <c r="P249" s="234"/>
    </row>
    <row r="250" spans="6:16" ht="15.75" customHeight="1">
      <c r="F250" s="235"/>
      <c r="G250" s="235"/>
      <c r="H250" s="235"/>
      <c r="I250" s="235"/>
      <c r="J250" s="235"/>
      <c r="K250" s="235"/>
      <c r="L250" s="235"/>
      <c r="M250" s="235"/>
      <c r="N250" s="235"/>
      <c r="O250" s="235"/>
      <c r="P250" s="234"/>
    </row>
    <row r="251" spans="6:16" ht="15.75" customHeight="1">
      <c r="F251" s="235"/>
      <c r="G251" s="235"/>
      <c r="H251" s="235"/>
      <c r="I251" s="235"/>
      <c r="J251" s="235"/>
      <c r="K251" s="235"/>
      <c r="L251" s="235"/>
      <c r="M251" s="235"/>
      <c r="N251" s="235"/>
      <c r="O251" s="235"/>
      <c r="P251" s="234"/>
    </row>
    <row r="252" spans="6:16" ht="15.75" customHeight="1">
      <c r="F252" s="235"/>
      <c r="G252" s="235"/>
      <c r="H252" s="235"/>
      <c r="I252" s="235"/>
      <c r="J252" s="235"/>
      <c r="K252" s="235"/>
      <c r="L252" s="235"/>
      <c r="M252" s="235"/>
      <c r="N252" s="235"/>
      <c r="O252" s="235"/>
      <c r="P252" s="234"/>
    </row>
    <row r="253" spans="6:16" ht="15.75" customHeight="1">
      <c r="F253" s="235"/>
      <c r="G253" s="235"/>
      <c r="H253" s="235"/>
      <c r="I253" s="235"/>
      <c r="J253" s="235"/>
      <c r="K253" s="235"/>
      <c r="L253" s="235"/>
      <c r="M253" s="235"/>
      <c r="N253" s="235"/>
      <c r="O253" s="235"/>
      <c r="P253" s="234"/>
    </row>
    <row r="254" spans="6:16" ht="15.75" customHeight="1">
      <c r="F254" s="235"/>
      <c r="G254" s="235"/>
      <c r="H254" s="235"/>
      <c r="I254" s="235"/>
      <c r="J254" s="235"/>
      <c r="K254" s="235"/>
      <c r="L254" s="235"/>
      <c r="M254" s="235"/>
      <c r="N254" s="235"/>
      <c r="O254" s="235"/>
      <c r="P254" s="234"/>
    </row>
    <row r="255" spans="6:16" ht="15.75" customHeight="1">
      <c r="F255" s="235"/>
      <c r="G255" s="235"/>
      <c r="H255" s="235"/>
      <c r="I255" s="235"/>
      <c r="J255" s="235"/>
      <c r="K255" s="235"/>
      <c r="L255" s="235"/>
      <c r="M255" s="235"/>
      <c r="N255" s="235"/>
      <c r="O255" s="235"/>
      <c r="P255" s="234"/>
    </row>
    <row r="256" spans="6:16" ht="15.75" customHeight="1">
      <c r="F256" s="235"/>
      <c r="G256" s="235"/>
      <c r="H256" s="235"/>
      <c r="I256" s="235"/>
      <c r="J256" s="235"/>
      <c r="K256" s="235"/>
      <c r="L256" s="235"/>
      <c r="M256" s="235"/>
      <c r="N256" s="235"/>
      <c r="O256" s="235"/>
      <c r="P256" s="234"/>
    </row>
    <row r="257" spans="6:16" ht="15.75" customHeight="1">
      <c r="F257" s="235"/>
      <c r="G257" s="235"/>
      <c r="H257" s="235"/>
      <c r="I257" s="235"/>
      <c r="J257" s="235"/>
      <c r="K257" s="235"/>
      <c r="L257" s="235"/>
      <c r="M257" s="235"/>
      <c r="N257" s="235"/>
      <c r="O257" s="235"/>
      <c r="P257" s="234"/>
    </row>
    <row r="258" spans="6:16" ht="15.75" customHeight="1">
      <c r="F258" s="235"/>
      <c r="G258" s="235"/>
      <c r="H258" s="235"/>
      <c r="I258" s="235"/>
      <c r="J258" s="235"/>
      <c r="K258" s="235"/>
      <c r="L258" s="235"/>
      <c r="M258" s="235"/>
      <c r="N258" s="235"/>
      <c r="O258" s="235"/>
      <c r="P258" s="234"/>
    </row>
    <row r="259" spans="6:16" ht="15.75" customHeight="1">
      <c r="F259" s="235"/>
      <c r="G259" s="235"/>
      <c r="H259" s="235"/>
      <c r="I259" s="235"/>
      <c r="J259" s="235"/>
      <c r="K259" s="235"/>
      <c r="L259" s="235"/>
      <c r="M259" s="235"/>
      <c r="N259" s="235"/>
      <c r="O259" s="235"/>
      <c r="P259" s="234"/>
    </row>
    <row r="260" spans="6:16" ht="15.75" customHeight="1">
      <c r="F260" s="235"/>
      <c r="G260" s="235"/>
      <c r="H260" s="235"/>
      <c r="I260" s="235"/>
      <c r="J260" s="235"/>
      <c r="K260" s="235"/>
      <c r="L260" s="235"/>
      <c r="M260" s="235"/>
      <c r="N260" s="235"/>
      <c r="O260" s="235"/>
      <c r="P260" s="234"/>
    </row>
    <row r="261" spans="6:16" ht="15.75" customHeight="1">
      <c r="F261" s="235"/>
      <c r="G261" s="235"/>
      <c r="H261" s="235"/>
      <c r="I261" s="235"/>
      <c r="J261" s="235"/>
      <c r="K261" s="235"/>
      <c r="L261" s="235"/>
      <c r="M261" s="235"/>
      <c r="N261" s="235"/>
      <c r="O261" s="235"/>
      <c r="P261" s="234"/>
    </row>
    <row r="262" spans="6:16" ht="15.75" customHeight="1">
      <c r="F262" s="235"/>
      <c r="G262" s="235"/>
      <c r="H262" s="235"/>
      <c r="I262" s="235"/>
      <c r="J262" s="235"/>
      <c r="K262" s="235"/>
      <c r="L262" s="235"/>
      <c r="M262" s="235"/>
      <c r="N262" s="235"/>
      <c r="O262" s="235"/>
      <c r="P262" s="234"/>
    </row>
    <row r="263" spans="6:16" ht="15.75" customHeight="1">
      <c r="F263" s="235"/>
      <c r="G263" s="235"/>
      <c r="H263" s="235"/>
      <c r="I263" s="235"/>
      <c r="J263" s="235"/>
      <c r="K263" s="235"/>
      <c r="L263" s="235"/>
      <c r="M263" s="235"/>
      <c r="N263" s="235"/>
      <c r="O263" s="235"/>
      <c r="P263" s="234"/>
    </row>
    <row r="264" spans="6:16" ht="15.75" customHeight="1">
      <c r="F264" s="235"/>
      <c r="G264" s="235"/>
      <c r="H264" s="235"/>
      <c r="I264" s="235"/>
      <c r="J264" s="235"/>
      <c r="K264" s="235"/>
      <c r="L264" s="235"/>
      <c r="M264" s="235"/>
      <c r="N264" s="235"/>
      <c r="O264" s="235"/>
      <c r="P264" s="234"/>
    </row>
    <row r="265" spans="6:16" ht="15.75" customHeight="1">
      <c r="F265" s="235"/>
      <c r="G265" s="235"/>
      <c r="H265" s="235"/>
      <c r="I265" s="235"/>
      <c r="J265" s="235"/>
      <c r="K265" s="235"/>
      <c r="L265" s="235"/>
      <c r="M265" s="235"/>
      <c r="N265" s="235"/>
      <c r="O265" s="235"/>
      <c r="P265" s="234"/>
    </row>
    <row r="266" spans="6:16" ht="15.75" customHeight="1">
      <c r="F266" s="235"/>
      <c r="G266" s="235"/>
      <c r="H266" s="235"/>
      <c r="I266" s="235"/>
      <c r="J266" s="235"/>
      <c r="K266" s="235"/>
      <c r="L266" s="235"/>
      <c r="M266" s="235"/>
      <c r="N266" s="235"/>
      <c r="O266" s="235"/>
      <c r="P266" s="234"/>
    </row>
    <row r="267" spans="6:16" ht="15.75" customHeight="1">
      <c r="F267" s="235"/>
      <c r="G267" s="235"/>
      <c r="H267" s="235"/>
      <c r="I267" s="235"/>
      <c r="J267" s="235"/>
      <c r="K267" s="235"/>
      <c r="L267" s="235"/>
      <c r="M267" s="235"/>
      <c r="N267" s="235"/>
      <c r="O267" s="235"/>
      <c r="P267" s="234"/>
    </row>
    <row r="268" spans="6:16" ht="15.75" customHeight="1">
      <c r="F268" s="235"/>
      <c r="G268" s="235"/>
      <c r="H268" s="235"/>
      <c r="I268" s="235"/>
      <c r="J268" s="235"/>
      <c r="K268" s="235"/>
      <c r="L268" s="235"/>
      <c r="M268" s="235"/>
      <c r="N268" s="235"/>
      <c r="O268" s="235"/>
      <c r="P268" s="234"/>
    </row>
    <row r="269" spans="6:16" ht="15.75" customHeight="1">
      <c r="F269" s="235"/>
      <c r="G269" s="235"/>
      <c r="H269" s="235"/>
      <c r="I269" s="235"/>
      <c r="J269" s="235"/>
      <c r="K269" s="235"/>
      <c r="L269" s="235"/>
      <c r="M269" s="235"/>
      <c r="N269" s="235"/>
      <c r="O269" s="235"/>
      <c r="P269" s="234"/>
    </row>
    <row r="270" spans="6:16" ht="15.75" customHeight="1">
      <c r="F270" s="235"/>
      <c r="G270" s="235"/>
      <c r="H270" s="235"/>
      <c r="I270" s="235"/>
      <c r="J270" s="235"/>
      <c r="K270" s="235"/>
      <c r="L270" s="235"/>
      <c r="M270" s="235"/>
      <c r="N270" s="235"/>
      <c r="O270" s="235"/>
      <c r="P270" s="234"/>
    </row>
    <row r="271" spans="6:16" ht="15.75" customHeight="1">
      <c r="F271" s="235"/>
      <c r="G271" s="235"/>
      <c r="H271" s="235"/>
      <c r="I271" s="235"/>
      <c r="J271" s="235"/>
      <c r="K271" s="235"/>
      <c r="L271" s="235"/>
      <c r="M271" s="235"/>
      <c r="N271" s="235"/>
      <c r="O271" s="235"/>
      <c r="P271" s="234"/>
    </row>
    <row r="272" spans="6:16" ht="15.75" customHeight="1">
      <c r="F272" s="235"/>
      <c r="G272" s="235"/>
      <c r="H272" s="235"/>
      <c r="I272" s="235"/>
      <c r="J272" s="235"/>
      <c r="K272" s="235"/>
      <c r="L272" s="235"/>
      <c r="M272" s="235"/>
      <c r="N272" s="235"/>
      <c r="O272" s="235"/>
      <c r="P272" s="234"/>
    </row>
    <row r="273" spans="6:16" ht="15.75" customHeight="1">
      <c r="F273" s="235"/>
      <c r="G273" s="235"/>
      <c r="H273" s="235"/>
      <c r="I273" s="235"/>
      <c r="J273" s="235"/>
      <c r="K273" s="235"/>
      <c r="L273" s="235"/>
      <c r="M273" s="235"/>
      <c r="N273" s="235"/>
      <c r="O273" s="235"/>
      <c r="P273" s="234"/>
    </row>
    <row r="274" spans="6:16" ht="15.75" customHeight="1">
      <c r="F274" s="235"/>
      <c r="G274" s="235"/>
      <c r="H274" s="235"/>
      <c r="I274" s="235"/>
      <c r="J274" s="235"/>
      <c r="K274" s="235"/>
      <c r="L274" s="235"/>
      <c r="M274" s="235"/>
      <c r="N274" s="235"/>
      <c r="O274" s="235"/>
      <c r="P274" s="234"/>
    </row>
    <row r="275" spans="6:16" ht="15.75" customHeight="1">
      <c r="F275" s="235"/>
      <c r="G275" s="235"/>
      <c r="H275" s="235"/>
      <c r="I275" s="235"/>
      <c r="J275" s="235"/>
      <c r="K275" s="235"/>
      <c r="L275" s="235"/>
      <c r="M275" s="235"/>
      <c r="N275" s="235"/>
      <c r="O275" s="235"/>
      <c r="P275" s="234"/>
    </row>
    <row r="276" spans="6:16" ht="15.75" customHeight="1">
      <c r="F276" s="235"/>
      <c r="G276" s="235"/>
      <c r="H276" s="235"/>
      <c r="I276" s="235"/>
      <c r="J276" s="235"/>
      <c r="K276" s="235"/>
      <c r="L276" s="235"/>
      <c r="M276" s="235"/>
      <c r="N276" s="235"/>
      <c r="O276" s="235"/>
      <c r="P276" s="234"/>
    </row>
    <row r="277" spans="6:16" ht="15.75" customHeight="1">
      <c r="F277" s="235"/>
      <c r="G277" s="235"/>
      <c r="H277" s="235"/>
      <c r="I277" s="235"/>
      <c r="J277" s="235"/>
      <c r="K277" s="235"/>
      <c r="L277" s="235"/>
      <c r="M277" s="235"/>
      <c r="N277" s="235"/>
      <c r="O277" s="235"/>
      <c r="P277" s="234"/>
    </row>
    <row r="278" spans="6:16" ht="15.75" customHeight="1">
      <c r="F278" s="235"/>
      <c r="G278" s="235"/>
      <c r="H278" s="235"/>
      <c r="I278" s="235"/>
      <c r="J278" s="235"/>
      <c r="K278" s="235"/>
      <c r="L278" s="235"/>
      <c r="M278" s="235"/>
      <c r="N278" s="235"/>
      <c r="O278" s="235"/>
      <c r="P278" s="234"/>
    </row>
    <row r="279" spans="6:16" ht="15.75" customHeight="1">
      <c r="F279" s="235"/>
      <c r="G279" s="235"/>
      <c r="H279" s="235"/>
      <c r="I279" s="235"/>
      <c r="J279" s="235"/>
      <c r="K279" s="235"/>
      <c r="L279" s="235"/>
      <c r="M279" s="235"/>
      <c r="N279" s="235"/>
      <c r="O279" s="235"/>
      <c r="P279" s="234"/>
    </row>
    <row r="280" spans="6:16" ht="15.75" customHeight="1">
      <c r="F280" s="235"/>
      <c r="G280" s="235"/>
      <c r="H280" s="235"/>
      <c r="I280" s="235"/>
      <c r="J280" s="235"/>
      <c r="K280" s="235"/>
      <c r="L280" s="235"/>
      <c r="M280" s="235"/>
      <c r="N280" s="235"/>
      <c r="O280" s="235"/>
      <c r="P280" s="234"/>
    </row>
    <row r="281" spans="6:16" ht="15.75" customHeight="1">
      <c r="F281" s="235"/>
      <c r="G281" s="235"/>
      <c r="H281" s="235"/>
      <c r="I281" s="235"/>
      <c r="J281" s="235"/>
      <c r="K281" s="235"/>
      <c r="L281" s="235"/>
      <c r="M281" s="235"/>
      <c r="N281" s="235"/>
      <c r="O281" s="235"/>
      <c r="P281" s="234"/>
    </row>
    <row r="282" spans="6:16" ht="15.75" customHeight="1">
      <c r="F282" s="235"/>
      <c r="G282" s="235"/>
      <c r="H282" s="235"/>
      <c r="I282" s="235"/>
      <c r="J282" s="235"/>
      <c r="K282" s="235"/>
      <c r="L282" s="235"/>
      <c r="M282" s="235"/>
      <c r="N282" s="235"/>
      <c r="O282" s="235"/>
      <c r="P282" s="234"/>
    </row>
    <row r="283" spans="6:16" ht="15.75" customHeight="1">
      <c r="F283" s="235"/>
      <c r="G283" s="235"/>
      <c r="H283" s="235"/>
      <c r="I283" s="235"/>
      <c r="J283" s="235"/>
      <c r="K283" s="235"/>
      <c r="L283" s="235"/>
      <c r="M283" s="235"/>
      <c r="N283" s="235"/>
      <c r="O283" s="235"/>
      <c r="P283" s="234"/>
    </row>
    <row r="284" spans="6:16" ht="15.75" customHeight="1">
      <c r="F284" s="235"/>
      <c r="G284" s="235"/>
      <c r="H284" s="235"/>
      <c r="I284" s="235"/>
      <c r="J284" s="235"/>
      <c r="K284" s="235"/>
      <c r="L284" s="235"/>
      <c r="M284" s="235"/>
      <c r="N284" s="235"/>
      <c r="O284" s="235"/>
      <c r="P284" s="234"/>
    </row>
    <row r="285" spans="6:16" ht="15.75" customHeight="1">
      <c r="F285" s="235"/>
      <c r="G285" s="235"/>
      <c r="H285" s="235"/>
      <c r="I285" s="235"/>
      <c r="J285" s="235"/>
      <c r="K285" s="235"/>
      <c r="L285" s="235"/>
      <c r="M285" s="235"/>
      <c r="N285" s="235"/>
      <c r="O285" s="235"/>
      <c r="P285" s="234"/>
    </row>
    <row r="286" spans="6:16" ht="15.75" customHeight="1">
      <c r="F286" s="235"/>
      <c r="G286" s="235"/>
      <c r="H286" s="235"/>
      <c r="I286" s="235"/>
      <c r="J286" s="235"/>
      <c r="K286" s="235"/>
      <c r="L286" s="235"/>
      <c r="M286" s="235"/>
      <c r="N286" s="235"/>
      <c r="O286" s="235"/>
      <c r="P286" s="234"/>
    </row>
    <row r="287" spans="6:16" ht="15.75" customHeight="1">
      <c r="F287" s="235"/>
      <c r="G287" s="235"/>
      <c r="H287" s="235"/>
      <c r="I287" s="235"/>
      <c r="J287" s="235"/>
      <c r="K287" s="235"/>
      <c r="L287" s="235"/>
      <c r="M287" s="235"/>
      <c r="N287" s="235"/>
      <c r="O287" s="235"/>
      <c r="P287" s="234"/>
    </row>
    <row r="288" spans="6:16" ht="15.75" customHeight="1">
      <c r="F288" s="235"/>
      <c r="G288" s="235"/>
      <c r="H288" s="235"/>
      <c r="I288" s="235"/>
      <c r="J288" s="235"/>
      <c r="K288" s="235"/>
      <c r="L288" s="235"/>
      <c r="M288" s="235"/>
      <c r="N288" s="235"/>
      <c r="O288" s="235"/>
      <c r="P288" s="234"/>
    </row>
    <row r="289" spans="6:16" ht="15.75" customHeight="1">
      <c r="F289" s="235"/>
      <c r="G289" s="235"/>
      <c r="H289" s="235"/>
      <c r="I289" s="235"/>
      <c r="J289" s="235"/>
      <c r="K289" s="235"/>
      <c r="L289" s="235"/>
      <c r="M289" s="235"/>
      <c r="N289" s="235"/>
      <c r="O289" s="235"/>
      <c r="P289" s="234"/>
    </row>
    <row r="290" spans="6:16" ht="15.75" customHeight="1">
      <c r="F290" s="235"/>
      <c r="G290" s="235"/>
      <c r="H290" s="235"/>
      <c r="I290" s="235"/>
      <c r="J290" s="235"/>
      <c r="K290" s="235"/>
      <c r="L290" s="235"/>
      <c r="M290" s="235"/>
      <c r="N290" s="235"/>
      <c r="O290" s="235"/>
      <c r="P290" s="234"/>
    </row>
    <row r="291" spans="6:16" ht="15.75" customHeight="1">
      <c r="F291" s="235"/>
      <c r="G291" s="235"/>
      <c r="H291" s="235"/>
      <c r="I291" s="235"/>
      <c r="J291" s="235"/>
      <c r="K291" s="235"/>
      <c r="L291" s="235"/>
      <c r="M291" s="235"/>
      <c r="N291" s="235"/>
      <c r="O291" s="235"/>
      <c r="P291" s="234"/>
    </row>
    <row r="292" spans="6:16" ht="15.75" customHeight="1">
      <c r="F292" s="235"/>
      <c r="G292" s="235"/>
      <c r="H292" s="235"/>
      <c r="I292" s="235"/>
      <c r="J292" s="235"/>
      <c r="K292" s="235"/>
      <c r="L292" s="235"/>
      <c r="M292" s="235"/>
      <c r="N292" s="235"/>
      <c r="O292" s="235"/>
      <c r="P292" s="234"/>
    </row>
    <row r="293" spans="6:16" ht="15.75" customHeight="1">
      <c r="F293" s="235"/>
      <c r="G293" s="235"/>
      <c r="H293" s="235"/>
      <c r="I293" s="235"/>
      <c r="J293" s="235"/>
      <c r="K293" s="235"/>
      <c r="L293" s="235"/>
      <c r="M293" s="235"/>
      <c r="N293" s="235"/>
      <c r="O293" s="235"/>
      <c r="P293" s="234"/>
    </row>
    <row r="294" spans="6:16" ht="15.75" customHeight="1">
      <c r="F294" s="235"/>
      <c r="G294" s="235"/>
      <c r="H294" s="235"/>
      <c r="I294" s="235"/>
      <c r="J294" s="235"/>
      <c r="K294" s="235"/>
      <c r="L294" s="235"/>
      <c r="M294" s="235"/>
      <c r="N294" s="235"/>
      <c r="O294" s="235"/>
      <c r="P294" s="234"/>
    </row>
    <row r="295" spans="6:16" ht="15.75" customHeight="1">
      <c r="F295" s="235"/>
      <c r="G295" s="235"/>
      <c r="H295" s="235"/>
      <c r="I295" s="235"/>
      <c r="J295" s="235"/>
      <c r="K295" s="235"/>
      <c r="L295" s="235"/>
      <c r="M295" s="235"/>
      <c r="N295" s="235"/>
      <c r="O295" s="235"/>
      <c r="P295" s="234"/>
    </row>
    <row r="296" spans="6:16" ht="15.75" customHeight="1">
      <c r="F296" s="235"/>
      <c r="G296" s="235"/>
      <c r="H296" s="235"/>
      <c r="I296" s="235"/>
      <c r="J296" s="235"/>
      <c r="K296" s="235"/>
      <c r="L296" s="235"/>
      <c r="M296" s="235"/>
      <c r="N296" s="235"/>
      <c r="O296" s="235"/>
      <c r="P296" s="234"/>
    </row>
    <row r="297" spans="6:16" ht="15.75" customHeight="1">
      <c r="F297" s="235"/>
      <c r="G297" s="235"/>
      <c r="H297" s="235"/>
      <c r="I297" s="235"/>
      <c r="J297" s="235"/>
      <c r="K297" s="235"/>
      <c r="L297" s="235"/>
      <c r="M297" s="235"/>
      <c r="N297" s="235"/>
      <c r="O297" s="235"/>
      <c r="P297" s="234"/>
    </row>
    <row r="298" spans="6:16" ht="15.75" customHeight="1">
      <c r="F298" s="235"/>
      <c r="G298" s="235"/>
      <c r="H298" s="235"/>
      <c r="I298" s="235"/>
      <c r="J298" s="235"/>
      <c r="K298" s="235"/>
      <c r="L298" s="235"/>
      <c r="M298" s="235"/>
      <c r="N298" s="235"/>
      <c r="O298" s="235"/>
      <c r="P298" s="234"/>
    </row>
    <row r="299" spans="6:16" ht="15.75" customHeight="1">
      <c r="F299" s="235"/>
      <c r="G299" s="235"/>
      <c r="H299" s="235"/>
      <c r="I299" s="235"/>
      <c r="J299" s="235"/>
      <c r="K299" s="235"/>
      <c r="L299" s="235"/>
      <c r="M299" s="235"/>
      <c r="N299" s="235"/>
      <c r="O299" s="235"/>
      <c r="P299" s="234"/>
    </row>
    <row r="300" spans="6:16" ht="15.75" customHeight="1">
      <c r="F300" s="235"/>
      <c r="G300" s="235"/>
      <c r="H300" s="235"/>
      <c r="I300" s="235"/>
      <c r="J300" s="235"/>
      <c r="K300" s="235"/>
      <c r="L300" s="235"/>
      <c r="M300" s="235"/>
      <c r="N300" s="235"/>
      <c r="O300" s="235"/>
      <c r="P300" s="234"/>
    </row>
    <row r="301" spans="6:16" ht="15.75" customHeight="1">
      <c r="F301" s="235"/>
      <c r="G301" s="235"/>
      <c r="H301" s="235"/>
      <c r="I301" s="235"/>
      <c r="J301" s="235"/>
      <c r="K301" s="235"/>
      <c r="L301" s="235"/>
      <c r="M301" s="235"/>
      <c r="N301" s="235"/>
      <c r="O301" s="235"/>
      <c r="P301" s="234"/>
    </row>
    <row r="302" spans="6:16" ht="15.75" customHeight="1">
      <c r="F302" s="235"/>
      <c r="G302" s="235"/>
      <c r="H302" s="235"/>
      <c r="I302" s="235"/>
      <c r="J302" s="235"/>
      <c r="K302" s="235"/>
      <c r="L302" s="235"/>
      <c r="M302" s="235"/>
      <c r="N302" s="235"/>
      <c r="O302" s="235"/>
      <c r="P302" s="234"/>
    </row>
    <row r="303" spans="6:16" ht="15.75" customHeight="1">
      <c r="F303" s="235"/>
      <c r="G303" s="235"/>
      <c r="H303" s="235"/>
      <c r="I303" s="235"/>
      <c r="J303" s="235"/>
      <c r="K303" s="235"/>
      <c r="L303" s="235"/>
      <c r="M303" s="235"/>
      <c r="N303" s="235"/>
      <c r="O303" s="235"/>
      <c r="P303" s="234"/>
    </row>
    <row r="304" spans="6:16" ht="15.75" customHeight="1">
      <c r="F304" s="235"/>
      <c r="G304" s="235"/>
      <c r="H304" s="235"/>
      <c r="I304" s="235"/>
      <c r="J304" s="235"/>
      <c r="K304" s="235"/>
      <c r="L304" s="235"/>
      <c r="M304" s="235"/>
      <c r="N304" s="235"/>
      <c r="O304" s="235"/>
      <c r="P304" s="234"/>
    </row>
    <row r="305" spans="6:16" ht="15.75" customHeight="1">
      <c r="F305" s="235"/>
      <c r="G305" s="235"/>
      <c r="H305" s="235"/>
      <c r="I305" s="235"/>
      <c r="J305" s="235"/>
      <c r="K305" s="235"/>
      <c r="L305" s="235"/>
      <c r="M305" s="235"/>
      <c r="N305" s="235"/>
      <c r="O305" s="235"/>
      <c r="P305" s="234"/>
    </row>
    <row r="306" spans="6:16" ht="15.75" customHeight="1">
      <c r="F306" s="235"/>
      <c r="G306" s="235"/>
      <c r="H306" s="235"/>
      <c r="I306" s="235"/>
      <c r="J306" s="235"/>
      <c r="K306" s="235"/>
      <c r="L306" s="235"/>
      <c r="M306" s="235"/>
      <c r="N306" s="235"/>
      <c r="O306" s="235"/>
      <c r="P306" s="234"/>
    </row>
    <row r="307" spans="6:16" ht="15.75" customHeight="1">
      <c r="F307" s="235"/>
      <c r="G307" s="235"/>
      <c r="H307" s="235"/>
      <c r="I307" s="235"/>
      <c r="J307" s="235"/>
      <c r="K307" s="235"/>
      <c r="L307" s="235"/>
      <c r="M307" s="235"/>
      <c r="N307" s="235"/>
      <c r="O307" s="235"/>
      <c r="P307" s="234"/>
    </row>
    <row r="308" spans="6:16" ht="15.75" customHeight="1">
      <c r="F308" s="235"/>
      <c r="G308" s="235"/>
      <c r="H308" s="235"/>
      <c r="I308" s="235"/>
      <c r="J308" s="235"/>
      <c r="K308" s="235"/>
      <c r="L308" s="235"/>
      <c r="M308" s="235"/>
      <c r="N308" s="235"/>
      <c r="O308" s="235"/>
      <c r="P308" s="234"/>
    </row>
    <row r="309" spans="6:16" ht="15.75" customHeight="1">
      <c r="F309" s="235"/>
      <c r="G309" s="235"/>
      <c r="H309" s="235"/>
      <c r="I309" s="235"/>
      <c r="J309" s="235"/>
      <c r="K309" s="235"/>
      <c r="L309" s="235"/>
      <c r="M309" s="235"/>
      <c r="N309" s="235"/>
      <c r="O309" s="235"/>
      <c r="P309" s="234"/>
    </row>
    <row r="310" spans="6:16" ht="15.75" customHeight="1">
      <c r="F310" s="235"/>
      <c r="G310" s="235"/>
      <c r="H310" s="235"/>
      <c r="I310" s="235"/>
      <c r="J310" s="235"/>
      <c r="K310" s="235"/>
      <c r="L310" s="235"/>
      <c r="M310" s="235"/>
      <c r="N310" s="235"/>
      <c r="O310" s="235"/>
      <c r="P310" s="234"/>
    </row>
    <row r="311" spans="6:16" ht="15.75" customHeight="1">
      <c r="F311" s="235"/>
      <c r="G311" s="235"/>
      <c r="H311" s="235"/>
      <c r="I311" s="235"/>
      <c r="J311" s="235"/>
      <c r="K311" s="235"/>
      <c r="L311" s="235"/>
      <c r="M311" s="235"/>
      <c r="N311" s="235"/>
      <c r="O311" s="235"/>
      <c r="P311" s="234"/>
    </row>
    <row r="312" spans="6:16" ht="15.75" customHeight="1">
      <c r="F312" s="235"/>
      <c r="G312" s="235"/>
      <c r="H312" s="235"/>
      <c r="I312" s="235"/>
      <c r="J312" s="235"/>
      <c r="K312" s="235"/>
      <c r="L312" s="235"/>
      <c r="M312" s="235"/>
      <c r="N312" s="235"/>
      <c r="O312" s="235"/>
      <c r="P312" s="234"/>
    </row>
    <row r="313" spans="6:16" ht="15.75" customHeight="1">
      <c r="F313" s="235"/>
      <c r="G313" s="235"/>
      <c r="H313" s="235"/>
      <c r="I313" s="235"/>
      <c r="J313" s="235"/>
      <c r="K313" s="235"/>
      <c r="L313" s="235"/>
      <c r="M313" s="235"/>
      <c r="N313" s="235"/>
      <c r="O313" s="235"/>
      <c r="P313" s="234"/>
    </row>
    <row r="314" spans="6:16" ht="15.75" customHeight="1">
      <c r="F314" s="235"/>
      <c r="G314" s="235"/>
      <c r="H314" s="235"/>
      <c r="I314" s="235"/>
      <c r="J314" s="235"/>
      <c r="K314" s="235"/>
      <c r="L314" s="235"/>
      <c r="M314" s="235"/>
      <c r="N314" s="235"/>
      <c r="O314" s="235"/>
      <c r="P314" s="234"/>
    </row>
    <row r="315" spans="6:16" ht="15.75" customHeight="1">
      <c r="F315" s="235"/>
      <c r="G315" s="235"/>
      <c r="H315" s="235"/>
      <c r="I315" s="235"/>
      <c r="J315" s="235"/>
      <c r="K315" s="235"/>
      <c r="L315" s="235"/>
      <c r="M315" s="235"/>
      <c r="N315" s="235"/>
      <c r="O315" s="235"/>
      <c r="P315" s="234"/>
    </row>
    <row r="316" spans="6:16" ht="15.75" customHeight="1">
      <c r="F316" s="235"/>
      <c r="G316" s="235"/>
      <c r="H316" s="235"/>
      <c r="I316" s="235"/>
      <c r="J316" s="235"/>
      <c r="K316" s="235"/>
      <c r="L316" s="235"/>
      <c r="M316" s="235"/>
      <c r="N316" s="235"/>
      <c r="O316" s="235"/>
      <c r="P316" s="234"/>
    </row>
    <row r="317" spans="6:16" ht="15.75" customHeight="1">
      <c r="F317" s="235"/>
      <c r="G317" s="235"/>
      <c r="H317" s="235"/>
      <c r="I317" s="235"/>
      <c r="J317" s="235"/>
      <c r="K317" s="235"/>
      <c r="L317" s="235"/>
      <c r="M317" s="235"/>
      <c r="N317" s="235"/>
      <c r="O317" s="235"/>
      <c r="P317" s="234"/>
    </row>
    <row r="318" spans="6:16" ht="15.75" customHeight="1">
      <c r="F318" s="235"/>
      <c r="G318" s="235"/>
      <c r="H318" s="235"/>
      <c r="I318" s="235"/>
      <c r="J318" s="235"/>
      <c r="K318" s="235"/>
      <c r="L318" s="235"/>
      <c r="M318" s="235"/>
      <c r="N318" s="235"/>
      <c r="O318" s="235"/>
      <c r="P318" s="234"/>
    </row>
    <row r="319" spans="6:16" ht="15.75" customHeight="1">
      <c r="F319" s="235"/>
      <c r="G319" s="235"/>
      <c r="H319" s="235"/>
      <c r="I319" s="235"/>
      <c r="J319" s="235"/>
      <c r="K319" s="235"/>
      <c r="L319" s="235"/>
      <c r="M319" s="235"/>
      <c r="N319" s="235"/>
      <c r="O319" s="235"/>
      <c r="P319" s="234"/>
    </row>
    <row r="320" spans="6:16" ht="15.75" customHeight="1">
      <c r="F320" s="235"/>
      <c r="G320" s="235"/>
      <c r="H320" s="235"/>
      <c r="I320" s="235"/>
      <c r="J320" s="235"/>
      <c r="K320" s="235"/>
      <c r="L320" s="235"/>
      <c r="M320" s="235"/>
      <c r="N320" s="235"/>
      <c r="O320" s="235"/>
      <c r="P320" s="234"/>
    </row>
    <row r="321" spans="6:16" ht="15.75" customHeight="1">
      <c r="F321" s="235"/>
      <c r="G321" s="235"/>
      <c r="H321" s="235"/>
      <c r="I321" s="235"/>
      <c r="J321" s="235"/>
      <c r="K321" s="235"/>
      <c r="L321" s="235"/>
      <c r="M321" s="235"/>
      <c r="N321" s="235"/>
      <c r="O321" s="235"/>
      <c r="P321" s="234"/>
    </row>
    <row r="322" spans="6:16" ht="15.75" customHeight="1">
      <c r="F322" s="235"/>
      <c r="G322" s="235"/>
      <c r="H322" s="235"/>
      <c r="I322" s="235"/>
      <c r="J322" s="235"/>
      <c r="K322" s="235"/>
      <c r="L322" s="235"/>
      <c r="M322" s="235"/>
      <c r="N322" s="235"/>
      <c r="O322" s="235"/>
      <c r="P322" s="234"/>
    </row>
    <row r="323" spans="6:16" ht="15.75" customHeight="1">
      <c r="F323" s="235"/>
      <c r="G323" s="235"/>
      <c r="H323" s="235"/>
      <c r="I323" s="235"/>
      <c r="J323" s="235"/>
      <c r="K323" s="235"/>
      <c r="L323" s="235"/>
      <c r="M323" s="235"/>
      <c r="N323" s="235"/>
      <c r="O323" s="235"/>
      <c r="P323" s="234"/>
    </row>
    <row r="324" spans="6:16" ht="15.75" customHeight="1">
      <c r="F324" s="235"/>
      <c r="G324" s="235"/>
      <c r="H324" s="235"/>
      <c r="I324" s="235"/>
      <c r="J324" s="235"/>
      <c r="K324" s="235"/>
      <c r="L324" s="235"/>
      <c r="M324" s="235"/>
      <c r="N324" s="235"/>
      <c r="O324" s="235"/>
      <c r="P324" s="234"/>
    </row>
    <row r="325" spans="6:16" ht="15.75" customHeight="1">
      <c r="F325" s="235"/>
      <c r="G325" s="235"/>
      <c r="H325" s="235"/>
      <c r="I325" s="235"/>
      <c r="J325" s="235"/>
      <c r="K325" s="235"/>
      <c r="L325" s="235"/>
      <c r="M325" s="235"/>
      <c r="N325" s="235"/>
      <c r="O325" s="235"/>
      <c r="P325" s="234"/>
    </row>
    <row r="326" spans="6:16" ht="15.75" customHeight="1">
      <c r="F326" s="235"/>
      <c r="G326" s="235"/>
      <c r="H326" s="235"/>
      <c r="I326" s="235"/>
      <c r="J326" s="235"/>
      <c r="K326" s="235"/>
      <c r="L326" s="235"/>
      <c r="M326" s="235"/>
      <c r="N326" s="235"/>
      <c r="O326" s="235"/>
      <c r="P326" s="234"/>
    </row>
    <row r="327" spans="6:16" ht="15.75" customHeight="1">
      <c r="F327" s="235"/>
      <c r="G327" s="235"/>
      <c r="H327" s="235"/>
      <c r="I327" s="235"/>
      <c r="J327" s="235"/>
      <c r="K327" s="235"/>
      <c r="L327" s="235"/>
      <c r="M327" s="235"/>
      <c r="N327" s="235"/>
      <c r="O327" s="235"/>
      <c r="P327" s="234"/>
    </row>
    <row r="328" spans="6:16" ht="15.75" customHeight="1">
      <c r="F328" s="235"/>
      <c r="G328" s="235"/>
      <c r="H328" s="235"/>
      <c r="I328" s="235"/>
      <c r="J328" s="235"/>
      <c r="K328" s="235"/>
      <c r="L328" s="235"/>
      <c r="M328" s="235"/>
      <c r="N328" s="235"/>
      <c r="O328" s="235"/>
      <c r="P328" s="234"/>
    </row>
    <row r="329" spans="6:16" ht="15.75" customHeight="1">
      <c r="F329" s="235"/>
      <c r="G329" s="235"/>
      <c r="H329" s="235"/>
      <c r="I329" s="235"/>
      <c r="J329" s="235"/>
      <c r="K329" s="235"/>
      <c r="L329" s="235"/>
      <c r="M329" s="235"/>
      <c r="N329" s="235"/>
      <c r="O329" s="235"/>
      <c r="P329" s="234"/>
    </row>
    <row r="330" spans="6:16" ht="15.75" customHeight="1">
      <c r="F330" s="235"/>
      <c r="G330" s="235"/>
      <c r="H330" s="235"/>
      <c r="I330" s="235"/>
      <c r="J330" s="235"/>
      <c r="K330" s="235"/>
      <c r="L330" s="235"/>
      <c r="M330" s="235"/>
      <c r="N330" s="235"/>
      <c r="O330" s="235"/>
      <c r="P330" s="234"/>
    </row>
    <row r="331" spans="6:16" ht="15.75" customHeight="1">
      <c r="F331" s="235"/>
      <c r="G331" s="235"/>
      <c r="H331" s="235"/>
      <c r="I331" s="235"/>
      <c r="J331" s="235"/>
      <c r="K331" s="235"/>
      <c r="L331" s="235"/>
      <c r="M331" s="235"/>
      <c r="N331" s="235"/>
      <c r="O331" s="235"/>
      <c r="P331" s="234"/>
    </row>
    <row r="332" spans="6:16" ht="15.75" customHeight="1">
      <c r="F332" s="235"/>
      <c r="G332" s="235"/>
      <c r="H332" s="235"/>
      <c r="I332" s="235"/>
      <c r="J332" s="235"/>
      <c r="K332" s="235"/>
      <c r="L332" s="235"/>
      <c r="M332" s="235"/>
      <c r="N332" s="235"/>
      <c r="O332" s="235"/>
      <c r="P332" s="234"/>
    </row>
    <row r="333" spans="6:16" ht="15.75" customHeight="1">
      <c r="F333" s="235"/>
      <c r="G333" s="235"/>
      <c r="H333" s="235"/>
      <c r="I333" s="235"/>
      <c r="J333" s="235"/>
      <c r="K333" s="235"/>
      <c r="L333" s="235"/>
      <c r="M333" s="235"/>
      <c r="N333" s="235"/>
      <c r="O333" s="235"/>
      <c r="P333" s="234"/>
    </row>
    <row r="334" spans="6:16" ht="15.75" customHeight="1">
      <c r="F334" s="235"/>
      <c r="G334" s="235"/>
      <c r="H334" s="235"/>
      <c r="I334" s="235"/>
      <c r="J334" s="235"/>
      <c r="K334" s="235"/>
      <c r="L334" s="235"/>
      <c r="M334" s="235"/>
      <c r="N334" s="235"/>
      <c r="O334" s="235"/>
      <c r="P334" s="234"/>
    </row>
    <row r="335" spans="6:16" ht="15.75" customHeight="1">
      <c r="F335" s="235"/>
      <c r="G335" s="235"/>
      <c r="H335" s="235"/>
      <c r="I335" s="235"/>
      <c r="J335" s="235"/>
      <c r="K335" s="235"/>
      <c r="L335" s="235"/>
      <c r="M335" s="235"/>
      <c r="N335" s="235"/>
      <c r="O335" s="235"/>
      <c r="P335" s="234"/>
    </row>
    <row r="336" spans="6:16" ht="15.75" customHeight="1">
      <c r="F336" s="235"/>
      <c r="G336" s="235"/>
      <c r="H336" s="235"/>
      <c r="I336" s="235"/>
      <c r="J336" s="235"/>
      <c r="K336" s="235"/>
      <c r="L336" s="235"/>
      <c r="M336" s="235"/>
      <c r="N336" s="235"/>
      <c r="O336" s="235"/>
      <c r="P336" s="234"/>
    </row>
    <row r="337" spans="6:16" ht="15.75" customHeight="1">
      <c r="F337" s="235"/>
      <c r="G337" s="235"/>
      <c r="H337" s="235"/>
      <c r="I337" s="235"/>
      <c r="J337" s="235"/>
      <c r="K337" s="235"/>
      <c r="L337" s="235"/>
      <c r="M337" s="235"/>
      <c r="N337" s="235"/>
      <c r="O337" s="235"/>
      <c r="P337" s="234"/>
    </row>
    <row r="338" spans="6:16" ht="15.75" customHeight="1">
      <c r="F338" s="235"/>
      <c r="G338" s="235"/>
      <c r="H338" s="235"/>
      <c r="I338" s="235"/>
      <c r="J338" s="235"/>
      <c r="K338" s="235"/>
      <c r="L338" s="235"/>
      <c r="M338" s="235"/>
      <c r="N338" s="235"/>
      <c r="O338" s="235"/>
      <c r="P338" s="234"/>
    </row>
    <row r="339" spans="6:16" ht="15.75" customHeight="1">
      <c r="F339" s="235"/>
      <c r="G339" s="235"/>
      <c r="H339" s="235"/>
      <c r="I339" s="235"/>
      <c r="J339" s="235"/>
      <c r="K339" s="235"/>
      <c r="L339" s="235"/>
      <c r="M339" s="235"/>
      <c r="N339" s="235"/>
      <c r="O339" s="235"/>
      <c r="P339" s="234"/>
    </row>
    <row r="340" spans="6:16" ht="15.75" customHeight="1">
      <c r="F340" s="235"/>
      <c r="G340" s="235"/>
      <c r="H340" s="235"/>
      <c r="I340" s="235"/>
      <c r="J340" s="235"/>
      <c r="K340" s="235"/>
      <c r="L340" s="235"/>
      <c r="M340" s="235"/>
      <c r="N340" s="235"/>
      <c r="O340" s="235"/>
      <c r="P340" s="234"/>
    </row>
    <row r="341" spans="6:16" ht="15.75" customHeight="1">
      <c r="F341" s="235"/>
      <c r="G341" s="235"/>
      <c r="H341" s="235"/>
      <c r="I341" s="235"/>
      <c r="J341" s="235"/>
      <c r="K341" s="235"/>
      <c r="L341" s="235"/>
      <c r="M341" s="235"/>
      <c r="N341" s="235"/>
      <c r="O341" s="235"/>
      <c r="P341" s="234"/>
    </row>
    <row r="342" spans="6:16" ht="15.75" customHeight="1">
      <c r="F342" s="235"/>
      <c r="G342" s="235"/>
      <c r="H342" s="235"/>
      <c r="I342" s="235"/>
      <c r="J342" s="235"/>
      <c r="K342" s="235"/>
      <c r="L342" s="235"/>
      <c r="M342" s="235"/>
      <c r="N342" s="235"/>
      <c r="O342" s="235"/>
      <c r="P342" s="234"/>
    </row>
    <row r="343" spans="6:16" ht="15.75" customHeight="1">
      <c r="F343" s="235"/>
      <c r="G343" s="235"/>
      <c r="H343" s="235"/>
      <c r="I343" s="235"/>
      <c r="J343" s="235"/>
      <c r="K343" s="235"/>
      <c r="L343" s="235"/>
      <c r="M343" s="235"/>
      <c r="N343" s="235"/>
      <c r="O343" s="235"/>
      <c r="P343" s="234"/>
    </row>
    <row r="344" spans="6:16" ht="15.75" customHeight="1">
      <c r="F344" s="235"/>
      <c r="G344" s="235"/>
      <c r="H344" s="235"/>
      <c r="I344" s="235"/>
      <c r="J344" s="235"/>
      <c r="K344" s="235"/>
      <c r="L344" s="235"/>
      <c r="M344" s="235"/>
      <c r="N344" s="235"/>
      <c r="O344" s="235"/>
      <c r="P344" s="234"/>
    </row>
    <row r="345" spans="6:16" ht="15.75" customHeight="1">
      <c r="F345" s="235"/>
      <c r="G345" s="235"/>
      <c r="H345" s="235"/>
      <c r="I345" s="235"/>
      <c r="J345" s="235"/>
      <c r="K345" s="235"/>
      <c r="L345" s="235"/>
      <c r="M345" s="235"/>
      <c r="N345" s="235"/>
      <c r="O345" s="235"/>
      <c r="P345" s="234"/>
    </row>
    <row r="346" spans="6:16" ht="15.75" customHeight="1">
      <c r="F346" s="235"/>
      <c r="G346" s="235"/>
      <c r="H346" s="235"/>
      <c r="I346" s="235"/>
      <c r="J346" s="235"/>
      <c r="K346" s="235"/>
      <c r="L346" s="235"/>
      <c r="M346" s="235"/>
      <c r="N346" s="235"/>
      <c r="O346" s="235"/>
      <c r="P346" s="234"/>
    </row>
    <row r="347" spans="6:16" ht="15.75" customHeight="1">
      <c r="F347" s="235"/>
      <c r="G347" s="235"/>
      <c r="H347" s="235"/>
      <c r="I347" s="235"/>
      <c r="J347" s="235"/>
      <c r="K347" s="235"/>
      <c r="L347" s="235"/>
      <c r="M347" s="235"/>
      <c r="N347" s="235"/>
      <c r="O347" s="235"/>
      <c r="P347" s="234"/>
    </row>
    <row r="348" spans="6:16" ht="15.75" customHeight="1">
      <c r="F348" s="235"/>
      <c r="G348" s="235"/>
      <c r="H348" s="235"/>
      <c r="I348" s="235"/>
      <c r="J348" s="235"/>
      <c r="K348" s="235"/>
      <c r="L348" s="235"/>
      <c r="M348" s="235"/>
      <c r="N348" s="235"/>
      <c r="O348" s="235"/>
      <c r="P348" s="234"/>
    </row>
    <row r="349" spans="6:16" ht="15.75" customHeight="1">
      <c r="F349" s="235"/>
      <c r="G349" s="235"/>
      <c r="H349" s="235"/>
      <c r="I349" s="235"/>
      <c r="J349" s="235"/>
      <c r="K349" s="235"/>
      <c r="L349" s="235"/>
      <c r="M349" s="235"/>
      <c r="N349" s="235"/>
      <c r="O349" s="235"/>
      <c r="P349" s="234"/>
    </row>
    <row r="350" spans="6:16" ht="15.75" customHeight="1">
      <c r="F350" s="235"/>
      <c r="G350" s="235"/>
      <c r="H350" s="235"/>
      <c r="I350" s="235"/>
      <c r="J350" s="235"/>
      <c r="K350" s="235"/>
      <c r="L350" s="235"/>
      <c r="M350" s="235"/>
      <c r="N350" s="235"/>
      <c r="O350" s="235"/>
      <c r="P350" s="234"/>
    </row>
    <row r="351" spans="6:16" ht="15.75" customHeight="1">
      <c r="F351" s="235"/>
      <c r="G351" s="235"/>
      <c r="H351" s="235"/>
      <c r="I351" s="235"/>
      <c r="J351" s="235"/>
      <c r="K351" s="235"/>
      <c r="L351" s="235"/>
      <c r="M351" s="235"/>
      <c r="N351" s="235"/>
      <c r="O351" s="235"/>
      <c r="P351" s="234"/>
    </row>
    <row r="352" spans="6:16" ht="15.75" customHeight="1">
      <c r="F352" s="235"/>
      <c r="G352" s="235"/>
      <c r="H352" s="235"/>
      <c r="I352" s="235"/>
      <c r="J352" s="235"/>
      <c r="K352" s="235"/>
      <c r="L352" s="235"/>
      <c r="M352" s="235"/>
      <c r="N352" s="235"/>
      <c r="O352" s="235"/>
      <c r="P352" s="234"/>
    </row>
    <row r="353" spans="6:16" ht="15.75" customHeight="1">
      <c r="F353" s="235"/>
      <c r="G353" s="235"/>
      <c r="H353" s="235"/>
      <c r="I353" s="235"/>
      <c r="J353" s="235"/>
      <c r="K353" s="235"/>
      <c r="L353" s="235"/>
      <c r="M353" s="235"/>
      <c r="N353" s="235"/>
      <c r="O353" s="235"/>
      <c r="P353" s="234"/>
    </row>
    <row r="354" spans="6:16" ht="15.75" customHeight="1">
      <c r="F354" s="235"/>
      <c r="G354" s="235"/>
      <c r="H354" s="235"/>
      <c r="I354" s="235"/>
      <c r="J354" s="235"/>
      <c r="K354" s="235"/>
      <c r="L354" s="235"/>
      <c r="M354" s="235"/>
      <c r="N354" s="235"/>
      <c r="O354" s="235"/>
      <c r="P354" s="234"/>
    </row>
    <row r="355" spans="6:16" ht="15.75" customHeight="1">
      <c r="F355" s="235"/>
      <c r="G355" s="235"/>
      <c r="H355" s="235"/>
      <c r="I355" s="235"/>
      <c r="J355" s="235"/>
      <c r="K355" s="235"/>
      <c r="L355" s="235"/>
      <c r="M355" s="235"/>
      <c r="N355" s="235"/>
      <c r="O355" s="235"/>
      <c r="P355" s="234"/>
    </row>
    <row r="356" spans="6:16" ht="15.75" customHeight="1">
      <c r="F356" s="235"/>
      <c r="G356" s="235"/>
      <c r="H356" s="235"/>
      <c r="I356" s="235"/>
      <c r="J356" s="235"/>
      <c r="K356" s="235"/>
      <c r="L356" s="235"/>
      <c r="M356" s="235"/>
      <c r="N356" s="235"/>
      <c r="O356" s="235"/>
      <c r="P356" s="234"/>
    </row>
    <row r="357" spans="6:16" ht="15.75" customHeight="1">
      <c r="F357" s="235"/>
      <c r="G357" s="235"/>
      <c r="H357" s="235"/>
      <c r="I357" s="235"/>
      <c r="J357" s="235"/>
      <c r="K357" s="235"/>
      <c r="L357" s="235"/>
      <c r="M357" s="235"/>
      <c r="N357" s="235"/>
      <c r="O357" s="235"/>
      <c r="P357" s="234"/>
    </row>
    <row r="358" spans="6:16" ht="15.75" customHeight="1">
      <c r="F358" s="235"/>
      <c r="G358" s="235"/>
      <c r="H358" s="235"/>
      <c r="I358" s="235"/>
      <c r="J358" s="235"/>
      <c r="K358" s="235"/>
      <c r="L358" s="235"/>
      <c r="M358" s="235"/>
      <c r="N358" s="235"/>
      <c r="O358" s="235"/>
      <c r="P358" s="234"/>
    </row>
    <row r="359" spans="6:16" ht="15.75" customHeight="1">
      <c r="F359" s="235"/>
      <c r="G359" s="235"/>
      <c r="H359" s="235"/>
      <c r="I359" s="235"/>
      <c r="J359" s="235"/>
      <c r="K359" s="235"/>
      <c r="L359" s="235"/>
      <c r="M359" s="235"/>
      <c r="N359" s="235"/>
      <c r="O359" s="235"/>
      <c r="P359" s="234"/>
    </row>
    <row r="360" spans="6:16" ht="15.75" customHeight="1">
      <c r="F360" s="235"/>
      <c r="G360" s="235"/>
      <c r="H360" s="235"/>
      <c r="I360" s="235"/>
      <c r="J360" s="235"/>
      <c r="K360" s="235"/>
      <c r="L360" s="235"/>
      <c r="M360" s="235"/>
      <c r="N360" s="235"/>
      <c r="O360" s="235"/>
      <c r="P360" s="234"/>
    </row>
    <row r="361" spans="6:16" ht="15.75" customHeight="1">
      <c r="F361" s="235"/>
      <c r="G361" s="235"/>
      <c r="H361" s="235"/>
      <c r="I361" s="235"/>
      <c r="J361" s="235"/>
      <c r="K361" s="235"/>
      <c r="L361" s="235"/>
      <c r="M361" s="235"/>
      <c r="N361" s="235"/>
      <c r="O361" s="235"/>
      <c r="P361" s="234"/>
    </row>
    <row r="362" spans="6:16" ht="15.75" customHeight="1">
      <c r="F362" s="235"/>
      <c r="G362" s="235"/>
      <c r="H362" s="235"/>
      <c r="I362" s="235"/>
      <c r="J362" s="235"/>
      <c r="K362" s="235"/>
      <c r="L362" s="235"/>
      <c r="M362" s="235"/>
      <c r="N362" s="235"/>
      <c r="O362" s="235"/>
      <c r="P362" s="234"/>
    </row>
    <row r="363" spans="6:16" ht="15.75" customHeight="1">
      <c r="F363" s="235"/>
      <c r="G363" s="235"/>
      <c r="H363" s="235"/>
      <c r="I363" s="235"/>
      <c r="J363" s="235"/>
      <c r="K363" s="235"/>
      <c r="L363" s="235"/>
      <c r="M363" s="235"/>
      <c r="N363" s="235"/>
      <c r="O363" s="235"/>
      <c r="P363" s="234"/>
    </row>
    <row r="364" spans="6:16" ht="15.75" customHeight="1">
      <c r="F364" s="235"/>
      <c r="G364" s="235"/>
      <c r="H364" s="235"/>
      <c r="I364" s="235"/>
      <c r="J364" s="235"/>
      <c r="K364" s="235"/>
      <c r="L364" s="235"/>
      <c r="M364" s="235"/>
      <c r="N364" s="235"/>
      <c r="O364" s="235"/>
      <c r="P364" s="234"/>
    </row>
    <row r="365" spans="6:16" ht="15.75" customHeight="1">
      <c r="F365" s="235"/>
      <c r="G365" s="235"/>
      <c r="H365" s="235"/>
      <c r="I365" s="235"/>
      <c r="J365" s="235"/>
      <c r="K365" s="235"/>
      <c r="L365" s="235"/>
      <c r="M365" s="235"/>
      <c r="N365" s="235"/>
      <c r="O365" s="235"/>
      <c r="P365" s="234"/>
    </row>
    <row r="366" spans="6:16" ht="15.75" customHeight="1">
      <c r="F366" s="235"/>
      <c r="G366" s="235"/>
      <c r="H366" s="235"/>
      <c r="I366" s="235"/>
      <c r="J366" s="235"/>
      <c r="K366" s="235"/>
      <c r="L366" s="235"/>
      <c r="M366" s="235"/>
      <c r="N366" s="235"/>
      <c r="O366" s="235"/>
      <c r="P366" s="234"/>
    </row>
    <row r="367" spans="6:16" ht="15.75" customHeight="1">
      <c r="F367" s="235"/>
      <c r="G367" s="235"/>
      <c r="H367" s="235"/>
      <c r="I367" s="235"/>
      <c r="J367" s="235"/>
      <c r="K367" s="235"/>
      <c r="L367" s="235"/>
      <c r="M367" s="235"/>
      <c r="N367" s="235"/>
      <c r="O367" s="235"/>
      <c r="P367" s="234"/>
    </row>
    <row r="368" spans="6:16" ht="15.75" customHeight="1">
      <c r="F368" s="235"/>
      <c r="G368" s="235"/>
      <c r="H368" s="235"/>
      <c r="I368" s="235"/>
      <c r="J368" s="235"/>
      <c r="K368" s="235"/>
      <c r="L368" s="235"/>
      <c r="M368" s="235"/>
      <c r="N368" s="235"/>
      <c r="O368" s="235"/>
      <c r="P368" s="234"/>
    </row>
    <row r="369" spans="6:16" ht="15.75" customHeight="1">
      <c r="F369" s="235"/>
      <c r="G369" s="235"/>
      <c r="H369" s="235"/>
      <c r="I369" s="235"/>
      <c r="J369" s="235"/>
      <c r="K369" s="235"/>
      <c r="L369" s="235"/>
      <c r="M369" s="235"/>
      <c r="N369" s="235"/>
      <c r="O369" s="235"/>
      <c r="P369" s="234"/>
    </row>
    <row r="370" spans="6:16" ht="15.75" customHeight="1">
      <c r="F370" s="235"/>
      <c r="G370" s="235"/>
      <c r="H370" s="235"/>
      <c r="I370" s="235"/>
      <c r="J370" s="235"/>
      <c r="K370" s="235"/>
      <c r="L370" s="235"/>
      <c r="M370" s="235"/>
      <c r="N370" s="235"/>
      <c r="O370" s="235"/>
      <c r="P370" s="234"/>
    </row>
    <row r="371" spans="6:16" ht="15.75" customHeight="1">
      <c r="F371" s="235"/>
      <c r="G371" s="235"/>
      <c r="H371" s="235"/>
      <c r="I371" s="235"/>
      <c r="J371" s="235"/>
      <c r="K371" s="235"/>
      <c r="L371" s="235"/>
      <c r="M371" s="235"/>
      <c r="N371" s="235"/>
      <c r="O371" s="235"/>
      <c r="P371" s="234"/>
    </row>
    <row r="372" spans="6:16" ht="15.75" customHeight="1">
      <c r="F372" s="235"/>
      <c r="G372" s="235"/>
      <c r="H372" s="235"/>
      <c r="I372" s="235"/>
      <c r="J372" s="235"/>
      <c r="K372" s="235"/>
      <c r="L372" s="235"/>
      <c r="M372" s="235"/>
      <c r="N372" s="235"/>
      <c r="O372" s="235"/>
      <c r="P372" s="234"/>
    </row>
    <row r="373" spans="6:16" ht="15.75" customHeight="1">
      <c r="F373" s="235"/>
      <c r="G373" s="235"/>
      <c r="H373" s="235"/>
      <c r="I373" s="235"/>
      <c r="J373" s="235"/>
      <c r="K373" s="235"/>
      <c r="L373" s="235"/>
      <c r="M373" s="235"/>
      <c r="N373" s="235"/>
      <c r="O373" s="235"/>
      <c r="P373" s="234"/>
    </row>
    <row r="374" spans="6:16" ht="15.75" customHeight="1">
      <c r="F374" s="235"/>
      <c r="G374" s="235"/>
      <c r="H374" s="235"/>
      <c r="I374" s="235"/>
      <c r="J374" s="235"/>
      <c r="K374" s="235"/>
      <c r="L374" s="235"/>
      <c r="M374" s="235"/>
      <c r="N374" s="235"/>
      <c r="O374" s="235"/>
      <c r="P374" s="234"/>
    </row>
    <row r="375" spans="6:16" ht="15.75" customHeight="1">
      <c r="F375" s="235"/>
      <c r="G375" s="235"/>
      <c r="H375" s="235"/>
      <c r="I375" s="235"/>
      <c r="J375" s="235"/>
      <c r="K375" s="235"/>
      <c r="L375" s="235"/>
      <c r="M375" s="235"/>
      <c r="N375" s="235"/>
      <c r="O375" s="235"/>
      <c r="P375" s="234"/>
    </row>
    <row r="376" spans="6:16" ht="15.75" customHeight="1">
      <c r="F376" s="235"/>
      <c r="G376" s="235"/>
      <c r="H376" s="235"/>
      <c r="I376" s="235"/>
      <c r="J376" s="235"/>
      <c r="K376" s="235"/>
      <c r="L376" s="235"/>
      <c r="M376" s="235"/>
      <c r="N376" s="235"/>
      <c r="O376" s="235"/>
      <c r="P376" s="234"/>
    </row>
    <row r="377" spans="6:16" ht="15.75" customHeight="1">
      <c r="F377" s="235"/>
      <c r="G377" s="235"/>
      <c r="H377" s="235"/>
      <c r="I377" s="235"/>
      <c r="J377" s="235"/>
      <c r="K377" s="235"/>
      <c r="L377" s="235"/>
      <c r="M377" s="235"/>
      <c r="N377" s="235"/>
      <c r="O377" s="235"/>
      <c r="P377" s="234"/>
    </row>
    <row r="378" spans="6:16" ht="15.75" customHeight="1">
      <c r="F378" s="235"/>
      <c r="G378" s="235"/>
      <c r="H378" s="235"/>
      <c r="I378" s="235"/>
      <c r="J378" s="235"/>
      <c r="K378" s="235"/>
      <c r="L378" s="235"/>
      <c r="M378" s="235"/>
      <c r="N378" s="235"/>
      <c r="O378" s="235"/>
      <c r="P378" s="234"/>
    </row>
    <row r="379" spans="6:16" ht="15.75" customHeight="1">
      <c r="F379" s="235"/>
      <c r="G379" s="235"/>
      <c r="H379" s="235"/>
      <c r="I379" s="235"/>
      <c r="J379" s="235"/>
      <c r="K379" s="235"/>
      <c r="L379" s="235"/>
      <c r="M379" s="235"/>
      <c r="N379" s="235"/>
      <c r="O379" s="235"/>
      <c r="P379" s="234"/>
    </row>
    <row r="380" spans="6:16" ht="15.75" customHeight="1">
      <c r="F380" s="235"/>
      <c r="G380" s="235"/>
      <c r="H380" s="235"/>
      <c r="I380" s="235"/>
      <c r="J380" s="235"/>
      <c r="K380" s="235"/>
      <c r="L380" s="235"/>
      <c r="M380" s="235"/>
      <c r="N380" s="235"/>
      <c r="O380" s="235"/>
      <c r="P380" s="234"/>
    </row>
    <row r="381" spans="6:16" ht="15.75" customHeight="1">
      <c r="F381" s="235"/>
      <c r="G381" s="235"/>
      <c r="H381" s="235"/>
      <c r="I381" s="235"/>
      <c r="J381" s="235"/>
      <c r="K381" s="235"/>
      <c r="L381" s="235"/>
      <c r="M381" s="235"/>
      <c r="N381" s="235"/>
      <c r="O381" s="235"/>
      <c r="P381" s="234"/>
    </row>
    <row r="382" spans="6:16" ht="15.75" customHeight="1">
      <c r="F382" s="235"/>
      <c r="G382" s="235"/>
      <c r="H382" s="235"/>
      <c r="I382" s="235"/>
      <c r="J382" s="235"/>
      <c r="K382" s="235"/>
      <c r="L382" s="235"/>
      <c r="M382" s="235"/>
      <c r="N382" s="235"/>
      <c r="O382" s="235"/>
      <c r="P382" s="234"/>
    </row>
    <row r="383" spans="6:16" ht="15.75" customHeight="1">
      <c r="F383" s="235"/>
      <c r="G383" s="235"/>
      <c r="H383" s="235"/>
      <c r="I383" s="235"/>
      <c r="J383" s="235"/>
      <c r="K383" s="235"/>
      <c r="L383" s="235"/>
      <c r="M383" s="235"/>
      <c r="N383" s="235"/>
      <c r="O383" s="235"/>
      <c r="P383" s="234"/>
    </row>
    <row r="384" spans="6:16" ht="15.75" customHeight="1">
      <c r="F384" s="235"/>
      <c r="G384" s="235"/>
      <c r="H384" s="235"/>
      <c r="I384" s="235"/>
      <c r="J384" s="235"/>
      <c r="K384" s="235"/>
      <c r="L384" s="235"/>
      <c r="M384" s="235"/>
      <c r="N384" s="235"/>
      <c r="O384" s="235"/>
      <c r="P384" s="234"/>
    </row>
    <row r="385" spans="6:16" ht="15.75" customHeight="1">
      <c r="F385" s="235"/>
      <c r="G385" s="235"/>
      <c r="H385" s="235"/>
      <c r="I385" s="235"/>
      <c r="J385" s="235"/>
      <c r="K385" s="235"/>
      <c r="L385" s="235"/>
      <c r="M385" s="235"/>
      <c r="N385" s="235"/>
      <c r="O385" s="235"/>
      <c r="P385" s="234"/>
    </row>
    <row r="386" spans="6:16" ht="15.75" customHeight="1">
      <c r="F386" s="235"/>
      <c r="G386" s="235"/>
      <c r="H386" s="235"/>
      <c r="I386" s="235"/>
      <c r="J386" s="235"/>
      <c r="K386" s="235"/>
      <c r="L386" s="235"/>
      <c r="M386" s="235"/>
      <c r="N386" s="235"/>
      <c r="O386" s="235"/>
      <c r="P386" s="234"/>
    </row>
    <row r="387" spans="6:16" ht="15.75" customHeight="1">
      <c r="F387" s="235"/>
      <c r="G387" s="235"/>
      <c r="H387" s="235"/>
      <c r="I387" s="235"/>
      <c r="J387" s="235"/>
      <c r="K387" s="235"/>
      <c r="L387" s="235"/>
      <c r="M387" s="235"/>
      <c r="N387" s="235"/>
      <c r="O387" s="235"/>
      <c r="P387" s="234"/>
    </row>
    <row r="388" spans="6:16" ht="15.75" customHeight="1">
      <c r="F388" s="235"/>
      <c r="G388" s="235"/>
      <c r="H388" s="235"/>
      <c r="I388" s="235"/>
      <c r="J388" s="235"/>
      <c r="K388" s="235"/>
      <c r="L388" s="235"/>
      <c r="M388" s="235"/>
      <c r="N388" s="235"/>
      <c r="O388" s="235"/>
      <c r="P388" s="234"/>
    </row>
    <row r="389" spans="6:16" ht="15.75" customHeight="1">
      <c r="F389" s="235"/>
      <c r="G389" s="235"/>
      <c r="H389" s="235"/>
      <c r="I389" s="235"/>
      <c r="J389" s="235"/>
      <c r="K389" s="235"/>
      <c r="L389" s="235"/>
      <c r="M389" s="235"/>
      <c r="N389" s="235"/>
      <c r="O389" s="235"/>
      <c r="P389" s="234"/>
    </row>
    <row r="390" spans="6:16" ht="15.75" customHeight="1">
      <c r="F390" s="235"/>
      <c r="G390" s="235"/>
      <c r="H390" s="235"/>
      <c r="I390" s="235"/>
      <c r="J390" s="235"/>
      <c r="K390" s="235"/>
      <c r="L390" s="235"/>
      <c r="M390" s="235"/>
      <c r="N390" s="235"/>
      <c r="O390" s="235"/>
      <c r="P390" s="234"/>
    </row>
    <row r="391" spans="6:16" ht="15.75" customHeight="1">
      <c r="F391" s="235"/>
      <c r="G391" s="235"/>
      <c r="H391" s="235"/>
      <c r="I391" s="235"/>
      <c r="J391" s="235"/>
      <c r="K391" s="235"/>
      <c r="L391" s="235"/>
      <c r="M391" s="235"/>
      <c r="N391" s="235"/>
      <c r="O391" s="235"/>
      <c r="P391" s="234"/>
    </row>
    <row r="392" spans="6:16" ht="15.75" customHeight="1">
      <c r="F392" s="235"/>
      <c r="G392" s="235"/>
      <c r="H392" s="235"/>
      <c r="I392" s="235"/>
      <c r="J392" s="235"/>
      <c r="K392" s="235"/>
      <c r="L392" s="235"/>
      <c r="M392" s="235"/>
      <c r="N392" s="235"/>
      <c r="O392" s="235"/>
      <c r="P392" s="234"/>
    </row>
    <row r="393" spans="6:16" ht="15.75" customHeight="1">
      <c r="F393" s="235"/>
      <c r="G393" s="235"/>
      <c r="H393" s="235"/>
      <c r="I393" s="235"/>
      <c r="J393" s="235"/>
      <c r="K393" s="235"/>
      <c r="L393" s="235"/>
      <c r="M393" s="235"/>
      <c r="N393" s="235"/>
      <c r="O393" s="235"/>
      <c r="P393" s="234"/>
    </row>
    <row r="394" spans="6:16" ht="15.75" customHeight="1">
      <c r="F394" s="235"/>
      <c r="G394" s="235"/>
      <c r="H394" s="235"/>
      <c r="I394" s="235"/>
      <c r="J394" s="235"/>
      <c r="K394" s="235"/>
      <c r="L394" s="235"/>
      <c r="M394" s="235"/>
      <c r="N394" s="235"/>
      <c r="O394" s="235"/>
      <c r="P394" s="234"/>
    </row>
    <row r="395" spans="6:16" ht="15.75" customHeight="1">
      <c r="F395" s="235"/>
      <c r="G395" s="235"/>
      <c r="H395" s="235"/>
      <c r="I395" s="235"/>
      <c r="J395" s="235"/>
      <c r="K395" s="235"/>
      <c r="L395" s="235"/>
      <c r="M395" s="235"/>
      <c r="N395" s="235"/>
      <c r="O395" s="235"/>
      <c r="P395" s="234"/>
    </row>
    <row r="396" spans="6:16" ht="15.75" customHeight="1">
      <c r="F396" s="235"/>
      <c r="G396" s="235"/>
      <c r="H396" s="235"/>
      <c r="I396" s="235"/>
      <c r="J396" s="235"/>
      <c r="K396" s="235"/>
      <c r="L396" s="235"/>
      <c r="M396" s="235"/>
      <c r="N396" s="235"/>
      <c r="O396" s="235"/>
      <c r="P396" s="234"/>
    </row>
    <row r="397" spans="6:16" ht="15.75" customHeight="1">
      <c r="F397" s="235"/>
      <c r="G397" s="235"/>
      <c r="H397" s="235"/>
      <c r="I397" s="235"/>
      <c r="J397" s="235"/>
      <c r="K397" s="235"/>
      <c r="L397" s="235"/>
      <c r="M397" s="235"/>
      <c r="N397" s="235"/>
      <c r="O397" s="235"/>
      <c r="P397" s="234"/>
    </row>
    <row r="398" spans="6:16" ht="15.75" customHeight="1">
      <c r="F398" s="235"/>
      <c r="G398" s="235"/>
      <c r="H398" s="235"/>
      <c r="I398" s="235"/>
      <c r="J398" s="235"/>
      <c r="K398" s="235"/>
      <c r="L398" s="235"/>
      <c r="M398" s="235"/>
      <c r="N398" s="235"/>
      <c r="O398" s="235"/>
      <c r="P398" s="234"/>
    </row>
    <row r="399" spans="6:16" ht="15.75" customHeight="1">
      <c r="F399" s="235"/>
      <c r="G399" s="235"/>
      <c r="H399" s="235"/>
      <c r="I399" s="235"/>
      <c r="J399" s="235"/>
      <c r="K399" s="235"/>
      <c r="L399" s="235"/>
      <c r="M399" s="235"/>
      <c r="N399" s="235"/>
      <c r="O399" s="235"/>
      <c r="P399" s="234"/>
    </row>
    <row r="400" spans="6:16" ht="15.75" customHeight="1">
      <c r="F400" s="235"/>
      <c r="G400" s="235"/>
      <c r="H400" s="235"/>
      <c r="I400" s="235"/>
      <c r="J400" s="235"/>
      <c r="K400" s="235"/>
      <c r="L400" s="235"/>
      <c r="M400" s="235"/>
      <c r="N400" s="235"/>
      <c r="O400" s="235"/>
      <c r="P400" s="234"/>
    </row>
    <row r="401" spans="6:16" ht="15.75" customHeight="1">
      <c r="F401" s="235"/>
      <c r="G401" s="235"/>
      <c r="H401" s="235"/>
      <c r="I401" s="235"/>
      <c r="J401" s="235"/>
      <c r="K401" s="235"/>
      <c r="L401" s="235"/>
      <c r="M401" s="235"/>
      <c r="N401" s="235"/>
      <c r="O401" s="235"/>
      <c r="P401" s="234"/>
    </row>
    <row r="402" spans="6:16" ht="15.75" customHeight="1">
      <c r="F402" s="235"/>
      <c r="G402" s="235"/>
      <c r="H402" s="235"/>
      <c r="I402" s="235"/>
      <c r="J402" s="235"/>
      <c r="K402" s="235"/>
      <c r="L402" s="235"/>
      <c r="M402" s="235"/>
      <c r="N402" s="235"/>
      <c r="O402" s="235"/>
      <c r="P402" s="234"/>
    </row>
    <row r="403" spans="6:16" ht="15.75" customHeight="1">
      <c r="F403" s="235"/>
      <c r="G403" s="235"/>
      <c r="H403" s="235"/>
      <c r="I403" s="235"/>
      <c r="J403" s="235"/>
      <c r="K403" s="235"/>
      <c r="L403" s="235"/>
      <c r="M403" s="235"/>
      <c r="N403" s="235"/>
      <c r="O403" s="235"/>
      <c r="P403" s="234"/>
    </row>
    <row r="404" spans="6:16" ht="15.75" customHeight="1">
      <c r="F404" s="235"/>
      <c r="G404" s="235"/>
      <c r="H404" s="235"/>
      <c r="I404" s="235"/>
      <c r="J404" s="235"/>
      <c r="K404" s="235"/>
      <c r="L404" s="235"/>
      <c r="M404" s="235"/>
      <c r="N404" s="235"/>
      <c r="O404" s="235"/>
      <c r="P404" s="234"/>
    </row>
    <row r="405" spans="6:16" ht="15.75" customHeight="1">
      <c r="F405" s="235"/>
      <c r="G405" s="235"/>
      <c r="H405" s="235"/>
      <c r="I405" s="235"/>
      <c r="J405" s="235"/>
      <c r="K405" s="235"/>
      <c r="L405" s="235"/>
      <c r="M405" s="235"/>
      <c r="N405" s="235"/>
      <c r="O405" s="235"/>
      <c r="P405" s="234"/>
    </row>
    <row r="406" spans="6:16" ht="15.75" customHeight="1">
      <c r="F406" s="235"/>
      <c r="G406" s="235"/>
      <c r="H406" s="235"/>
      <c r="I406" s="235"/>
      <c r="J406" s="235"/>
      <c r="K406" s="235"/>
      <c r="L406" s="235"/>
      <c r="M406" s="235"/>
      <c r="N406" s="235"/>
      <c r="O406" s="235"/>
      <c r="P406" s="234"/>
    </row>
    <row r="407" spans="6:16" ht="15.75" customHeight="1">
      <c r="F407" s="235"/>
      <c r="G407" s="235"/>
      <c r="H407" s="235"/>
      <c r="I407" s="235"/>
      <c r="J407" s="235"/>
      <c r="K407" s="235"/>
      <c r="L407" s="235"/>
      <c r="M407" s="235"/>
      <c r="N407" s="235"/>
      <c r="O407" s="235"/>
      <c r="P407" s="234"/>
    </row>
    <row r="408" spans="6:16" ht="15.75" customHeight="1">
      <c r="F408" s="235"/>
      <c r="G408" s="235"/>
      <c r="H408" s="235"/>
      <c r="I408" s="235"/>
      <c r="J408" s="235"/>
      <c r="K408" s="235"/>
      <c r="L408" s="235"/>
      <c r="M408" s="235"/>
      <c r="N408" s="235"/>
      <c r="O408" s="235"/>
      <c r="P408" s="234"/>
    </row>
    <row r="409" spans="6:16" ht="15.75" customHeight="1">
      <c r="F409" s="235"/>
      <c r="G409" s="235"/>
      <c r="H409" s="235"/>
      <c r="I409" s="235"/>
      <c r="J409" s="235"/>
      <c r="K409" s="235"/>
      <c r="L409" s="235"/>
      <c r="M409" s="235"/>
      <c r="N409" s="235"/>
      <c r="O409" s="235"/>
      <c r="P409" s="234"/>
    </row>
    <row r="410" spans="6:16" ht="15.75" customHeight="1">
      <c r="F410" s="235"/>
      <c r="G410" s="235"/>
      <c r="H410" s="235"/>
      <c r="I410" s="235"/>
      <c r="J410" s="235"/>
      <c r="K410" s="235"/>
      <c r="L410" s="235"/>
      <c r="M410" s="235"/>
      <c r="N410" s="235"/>
      <c r="O410" s="235"/>
      <c r="P410" s="234"/>
    </row>
    <row r="411" spans="6:16" ht="15.75" customHeight="1">
      <c r="F411" s="235"/>
      <c r="G411" s="235"/>
      <c r="H411" s="235"/>
      <c r="I411" s="235"/>
      <c r="J411" s="235"/>
      <c r="K411" s="235"/>
      <c r="L411" s="235"/>
      <c r="M411" s="235"/>
      <c r="N411" s="235"/>
      <c r="O411" s="235"/>
      <c r="P411" s="234"/>
    </row>
    <row r="412" spans="6:16" ht="15.75" customHeight="1">
      <c r="F412" s="235"/>
      <c r="G412" s="235"/>
      <c r="H412" s="235"/>
      <c r="I412" s="235"/>
      <c r="J412" s="235"/>
      <c r="K412" s="235"/>
      <c r="L412" s="235"/>
      <c r="M412" s="235"/>
      <c r="N412" s="235"/>
      <c r="O412" s="235"/>
      <c r="P412" s="234"/>
    </row>
    <row r="413" spans="6:16" ht="15.75" customHeight="1">
      <c r="F413" s="235"/>
      <c r="G413" s="235"/>
      <c r="H413" s="235"/>
      <c r="I413" s="235"/>
      <c r="J413" s="235"/>
      <c r="K413" s="235"/>
      <c r="L413" s="235"/>
      <c r="M413" s="235"/>
      <c r="N413" s="235"/>
      <c r="O413" s="235"/>
      <c r="P413" s="234"/>
    </row>
    <row r="414" spans="6:16" ht="15.75" customHeight="1">
      <c r="F414" s="235"/>
      <c r="G414" s="235"/>
      <c r="H414" s="235"/>
      <c r="I414" s="235"/>
      <c r="J414" s="235"/>
      <c r="K414" s="235"/>
      <c r="L414" s="235"/>
      <c r="M414" s="235"/>
      <c r="N414" s="235"/>
      <c r="O414" s="235"/>
      <c r="P414" s="234"/>
    </row>
    <row r="415" spans="6:16" ht="15.75" customHeight="1">
      <c r="F415" s="235"/>
      <c r="G415" s="235"/>
      <c r="H415" s="235"/>
      <c r="I415" s="235"/>
      <c r="J415" s="235"/>
      <c r="K415" s="235"/>
      <c r="L415" s="235"/>
      <c r="M415" s="235"/>
      <c r="N415" s="235"/>
      <c r="O415" s="235"/>
      <c r="P415" s="234"/>
    </row>
    <row r="416" spans="6:16" ht="15.75" customHeight="1">
      <c r="F416" s="235"/>
      <c r="G416" s="235"/>
      <c r="H416" s="235"/>
      <c r="I416" s="235"/>
      <c r="J416" s="235"/>
      <c r="K416" s="235"/>
      <c r="L416" s="235"/>
      <c r="M416" s="235"/>
      <c r="N416" s="235"/>
      <c r="O416" s="235"/>
      <c r="P416" s="234"/>
    </row>
    <row r="417" spans="6:16" ht="15.75" customHeight="1">
      <c r="F417" s="235"/>
      <c r="G417" s="235"/>
      <c r="H417" s="235"/>
      <c r="I417" s="235"/>
      <c r="J417" s="235"/>
      <c r="K417" s="235"/>
      <c r="L417" s="235"/>
      <c r="M417" s="235"/>
      <c r="N417" s="235"/>
      <c r="O417" s="235"/>
      <c r="P417" s="234"/>
    </row>
    <row r="418" spans="6:16" ht="15.75" customHeight="1">
      <c r="F418" s="235"/>
      <c r="G418" s="235"/>
      <c r="H418" s="235"/>
      <c r="I418" s="235"/>
      <c r="J418" s="235"/>
      <c r="K418" s="235"/>
      <c r="L418" s="235"/>
      <c r="M418" s="235"/>
      <c r="N418" s="235"/>
      <c r="O418" s="235"/>
      <c r="P418" s="234"/>
    </row>
    <row r="419" spans="6:16" ht="15.75" customHeight="1">
      <c r="F419" s="235"/>
      <c r="G419" s="235"/>
      <c r="H419" s="235"/>
      <c r="I419" s="235"/>
      <c r="J419" s="235"/>
      <c r="K419" s="235"/>
      <c r="L419" s="235"/>
      <c r="M419" s="235"/>
      <c r="N419" s="235"/>
      <c r="O419" s="235"/>
      <c r="P419" s="234"/>
    </row>
    <row r="420" spans="6:16" ht="15.75" customHeight="1">
      <c r="F420" s="235"/>
      <c r="G420" s="235"/>
      <c r="H420" s="235"/>
      <c r="I420" s="235"/>
      <c r="J420" s="235"/>
      <c r="K420" s="235"/>
      <c r="L420" s="235"/>
      <c r="M420" s="235"/>
      <c r="N420" s="235"/>
      <c r="O420" s="235"/>
      <c r="P420" s="234"/>
    </row>
    <row r="421" spans="6:16" ht="15.75" customHeight="1">
      <c r="F421" s="235"/>
      <c r="G421" s="235"/>
      <c r="H421" s="235"/>
      <c r="I421" s="235"/>
      <c r="J421" s="235"/>
      <c r="K421" s="235"/>
      <c r="L421" s="235"/>
      <c r="M421" s="235"/>
      <c r="N421" s="235"/>
      <c r="O421" s="235"/>
      <c r="P421" s="234"/>
    </row>
    <row r="422" spans="6:16" ht="15.75" customHeight="1">
      <c r="F422" s="235"/>
      <c r="G422" s="235"/>
      <c r="H422" s="235"/>
      <c r="I422" s="235"/>
      <c r="J422" s="235"/>
      <c r="K422" s="235"/>
      <c r="L422" s="235"/>
      <c r="M422" s="235"/>
      <c r="N422" s="235"/>
      <c r="O422" s="235"/>
      <c r="P422" s="234"/>
    </row>
    <row r="423" spans="6:16" ht="15.75" customHeight="1">
      <c r="F423" s="235"/>
      <c r="G423" s="235"/>
      <c r="H423" s="235"/>
      <c r="I423" s="235"/>
      <c r="J423" s="235"/>
      <c r="K423" s="235"/>
      <c r="L423" s="235"/>
      <c r="M423" s="235"/>
      <c r="N423" s="235"/>
      <c r="O423" s="235"/>
      <c r="P423" s="234"/>
    </row>
    <row r="424" spans="6:16" ht="15.75" customHeight="1">
      <c r="F424" s="235"/>
      <c r="G424" s="235"/>
      <c r="H424" s="235"/>
      <c r="I424" s="235"/>
      <c r="J424" s="235"/>
      <c r="K424" s="235"/>
      <c r="L424" s="235"/>
      <c r="M424" s="235"/>
      <c r="N424" s="235"/>
      <c r="O424" s="235"/>
      <c r="P424" s="234"/>
    </row>
    <row r="425" spans="6:16" ht="15.75" customHeight="1">
      <c r="F425" s="235"/>
      <c r="G425" s="235"/>
      <c r="H425" s="235"/>
      <c r="I425" s="235"/>
      <c r="J425" s="235"/>
      <c r="K425" s="235"/>
      <c r="L425" s="235"/>
      <c r="M425" s="235"/>
      <c r="N425" s="235"/>
      <c r="O425" s="235"/>
      <c r="P425" s="234"/>
    </row>
    <row r="426" spans="6:16" ht="15.75" customHeight="1">
      <c r="F426" s="235"/>
      <c r="G426" s="235"/>
      <c r="H426" s="235"/>
      <c r="I426" s="235"/>
      <c r="J426" s="235"/>
      <c r="K426" s="235"/>
      <c r="L426" s="235"/>
      <c r="M426" s="235"/>
      <c r="N426" s="235"/>
      <c r="O426" s="235"/>
      <c r="P426" s="234"/>
    </row>
    <row r="427" spans="6:16" ht="15.75" customHeight="1">
      <c r="F427" s="235"/>
      <c r="G427" s="235"/>
      <c r="H427" s="235"/>
      <c r="I427" s="235"/>
      <c r="J427" s="235"/>
      <c r="K427" s="235"/>
      <c r="L427" s="235"/>
      <c r="M427" s="235"/>
      <c r="N427" s="235"/>
      <c r="O427" s="235"/>
      <c r="P427" s="234"/>
    </row>
    <row r="428" spans="6:16" ht="15.75" customHeight="1">
      <c r="F428" s="235"/>
      <c r="G428" s="235"/>
      <c r="H428" s="235"/>
      <c r="I428" s="235"/>
      <c r="J428" s="235"/>
      <c r="K428" s="235"/>
      <c r="L428" s="235"/>
      <c r="M428" s="235"/>
      <c r="N428" s="235"/>
      <c r="O428" s="235"/>
      <c r="P428" s="234"/>
    </row>
    <row r="429" spans="6:16" ht="15.75" customHeight="1">
      <c r="F429" s="235"/>
      <c r="G429" s="235"/>
      <c r="H429" s="235"/>
      <c r="I429" s="235"/>
      <c r="J429" s="235"/>
      <c r="K429" s="235"/>
      <c r="L429" s="235"/>
      <c r="M429" s="235"/>
      <c r="N429" s="235"/>
      <c r="O429" s="235"/>
      <c r="P429" s="234"/>
    </row>
    <row r="430" spans="6:16" ht="15.75" customHeight="1">
      <c r="F430" s="235"/>
      <c r="G430" s="235"/>
      <c r="H430" s="235"/>
      <c r="I430" s="235"/>
      <c r="J430" s="235"/>
      <c r="K430" s="235"/>
      <c r="L430" s="235"/>
      <c r="M430" s="235"/>
      <c r="N430" s="235"/>
      <c r="O430" s="235"/>
      <c r="P430" s="234"/>
    </row>
    <row r="431" spans="6:16" ht="15.75" customHeight="1">
      <c r="F431" s="235"/>
      <c r="G431" s="235"/>
      <c r="H431" s="235"/>
      <c r="I431" s="235"/>
      <c r="J431" s="235"/>
      <c r="K431" s="235"/>
      <c r="L431" s="235"/>
      <c r="M431" s="235"/>
      <c r="N431" s="235"/>
      <c r="O431" s="235"/>
      <c r="P431" s="234"/>
    </row>
    <row r="432" spans="6:16" ht="15.75" customHeight="1">
      <c r="F432" s="235"/>
      <c r="G432" s="235"/>
      <c r="H432" s="235"/>
      <c r="I432" s="235"/>
      <c r="J432" s="235"/>
      <c r="K432" s="235"/>
      <c r="L432" s="235"/>
      <c r="M432" s="235"/>
      <c r="N432" s="235"/>
      <c r="O432" s="235"/>
      <c r="P432" s="234"/>
    </row>
    <row r="433" spans="6:16" ht="15.75" customHeight="1">
      <c r="F433" s="235"/>
      <c r="G433" s="235"/>
      <c r="H433" s="235"/>
      <c r="I433" s="235"/>
      <c r="J433" s="235"/>
      <c r="K433" s="235"/>
      <c r="L433" s="235"/>
      <c r="M433" s="235"/>
      <c r="N433" s="235"/>
      <c r="O433" s="235"/>
      <c r="P433" s="234"/>
    </row>
    <row r="434" spans="6:16" ht="15.75" customHeight="1">
      <c r="F434" s="235"/>
      <c r="G434" s="235"/>
      <c r="H434" s="235"/>
      <c r="I434" s="235"/>
      <c r="J434" s="235"/>
      <c r="K434" s="235"/>
      <c r="L434" s="235"/>
      <c r="M434" s="235"/>
      <c r="N434" s="235"/>
      <c r="O434" s="235"/>
      <c r="P434" s="234"/>
    </row>
    <row r="435" spans="6:16" ht="15.75" customHeight="1">
      <c r="F435" s="235"/>
      <c r="G435" s="235"/>
      <c r="H435" s="235"/>
      <c r="I435" s="235"/>
      <c r="J435" s="235"/>
      <c r="K435" s="235"/>
      <c r="L435" s="235"/>
      <c r="M435" s="235"/>
      <c r="N435" s="235"/>
      <c r="O435" s="235"/>
      <c r="P435" s="234"/>
    </row>
    <row r="436" spans="6:16" ht="15.75" customHeight="1">
      <c r="F436" s="235"/>
      <c r="G436" s="235"/>
      <c r="H436" s="235"/>
      <c r="I436" s="235"/>
      <c r="J436" s="235"/>
      <c r="K436" s="235"/>
      <c r="L436" s="235"/>
      <c r="M436" s="235"/>
      <c r="N436" s="235"/>
      <c r="O436" s="235"/>
      <c r="P436" s="234"/>
    </row>
    <row r="437" spans="6:16" ht="15.75" customHeight="1">
      <c r="F437" s="235"/>
      <c r="G437" s="235"/>
      <c r="H437" s="235"/>
      <c r="I437" s="235"/>
      <c r="J437" s="235"/>
      <c r="K437" s="235"/>
      <c r="L437" s="235"/>
      <c r="M437" s="235"/>
      <c r="N437" s="235"/>
      <c r="O437" s="235"/>
      <c r="P437" s="234"/>
    </row>
    <row r="438" spans="6:16" ht="15.75" customHeight="1">
      <c r="F438" s="235"/>
      <c r="G438" s="235"/>
      <c r="H438" s="235"/>
      <c r="I438" s="235"/>
      <c r="J438" s="235"/>
      <c r="K438" s="235"/>
      <c r="L438" s="235"/>
      <c r="M438" s="235"/>
      <c r="N438" s="235"/>
      <c r="O438" s="235"/>
      <c r="P438" s="234"/>
    </row>
    <row r="439" spans="6:16" ht="15.75" customHeight="1">
      <c r="F439" s="235"/>
      <c r="G439" s="235"/>
      <c r="H439" s="235"/>
      <c r="I439" s="235"/>
      <c r="J439" s="235"/>
      <c r="K439" s="235"/>
      <c r="L439" s="235"/>
      <c r="M439" s="235"/>
      <c r="N439" s="235"/>
      <c r="O439" s="235"/>
      <c r="P439" s="234"/>
    </row>
    <row r="440" spans="6:16" ht="15.75" customHeight="1">
      <c r="F440" s="235"/>
      <c r="G440" s="235"/>
      <c r="H440" s="235"/>
      <c r="I440" s="235"/>
      <c r="J440" s="235"/>
      <c r="K440" s="235"/>
      <c r="L440" s="235"/>
      <c r="M440" s="235"/>
      <c r="N440" s="235"/>
      <c r="O440" s="235"/>
      <c r="P440" s="234"/>
    </row>
    <row r="441" spans="6:16" ht="15.75" customHeight="1">
      <c r="F441" s="235"/>
      <c r="G441" s="235"/>
      <c r="H441" s="235"/>
      <c r="I441" s="235"/>
      <c r="J441" s="235"/>
      <c r="K441" s="235"/>
      <c r="L441" s="235"/>
      <c r="M441" s="235"/>
      <c r="N441" s="235"/>
      <c r="O441" s="235"/>
      <c r="P441" s="234"/>
    </row>
    <row r="442" spans="6:16" ht="15.75" customHeight="1">
      <c r="F442" s="235"/>
      <c r="G442" s="235"/>
      <c r="H442" s="235"/>
      <c r="I442" s="235"/>
      <c r="J442" s="235"/>
      <c r="K442" s="235"/>
      <c r="L442" s="235"/>
      <c r="M442" s="235"/>
      <c r="N442" s="235"/>
      <c r="O442" s="235"/>
      <c r="P442" s="234"/>
    </row>
    <row r="443" spans="6:16" ht="15.75" customHeight="1">
      <c r="F443" s="235"/>
      <c r="G443" s="235"/>
      <c r="H443" s="235"/>
      <c r="I443" s="235"/>
      <c r="J443" s="235"/>
      <c r="K443" s="235"/>
      <c r="L443" s="235"/>
      <c r="M443" s="235"/>
      <c r="N443" s="235"/>
      <c r="O443" s="235"/>
      <c r="P443" s="234"/>
    </row>
    <row r="444" spans="6:16" ht="15.75" customHeight="1">
      <c r="F444" s="235"/>
      <c r="G444" s="235"/>
      <c r="H444" s="235"/>
      <c r="I444" s="235"/>
      <c r="J444" s="235"/>
      <c r="K444" s="235"/>
      <c r="L444" s="235"/>
      <c r="M444" s="235"/>
      <c r="N444" s="235"/>
      <c r="O444" s="235"/>
      <c r="P444" s="234"/>
    </row>
    <row r="445" spans="6:16" ht="15.75" customHeight="1">
      <c r="F445" s="235"/>
      <c r="G445" s="235"/>
      <c r="H445" s="235"/>
      <c r="I445" s="235"/>
      <c r="J445" s="235"/>
      <c r="K445" s="235"/>
      <c r="L445" s="235"/>
      <c r="M445" s="235"/>
      <c r="N445" s="235"/>
      <c r="O445" s="235"/>
      <c r="P445" s="234"/>
    </row>
    <row r="446" spans="6:16" ht="15.75" customHeight="1">
      <c r="F446" s="235"/>
      <c r="G446" s="235"/>
      <c r="H446" s="235"/>
      <c r="I446" s="235"/>
      <c r="J446" s="235"/>
      <c r="K446" s="235"/>
      <c r="L446" s="235"/>
      <c r="M446" s="235"/>
      <c r="N446" s="235"/>
      <c r="O446" s="235"/>
      <c r="P446" s="234"/>
    </row>
    <row r="447" spans="6:16" ht="15.75" customHeight="1">
      <c r="F447" s="235"/>
      <c r="G447" s="235"/>
      <c r="H447" s="235"/>
      <c r="I447" s="235"/>
      <c r="J447" s="235"/>
      <c r="K447" s="235"/>
      <c r="L447" s="235"/>
      <c r="M447" s="235"/>
      <c r="N447" s="235"/>
      <c r="O447" s="235"/>
      <c r="P447" s="234"/>
    </row>
    <row r="448" spans="6:16" ht="15.75" customHeight="1">
      <c r="F448" s="235"/>
      <c r="G448" s="235"/>
      <c r="H448" s="235"/>
      <c r="I448" s="235"/>
      <c r="J448" s="235"/>
      <c r="K448" s="235"/>
      <c r="L448" s="235"/>
      <c r="M448" s="235"/>
      <c r="N448" s="235"/>
      <c r="O448" s="235"/>
      <c r="P448" s="234"/>
    </row>
    <row r="449" spans="6:16" ht="15.75" customHeight="1">
      <c r="F449" s="235"/>
      <c r="G449" s="235"/>
      <c r="H449" s="235"/>
      <c r="I449" s="235"/>
      <c r="J449" s="235"/>
      <c r="K449" s="235"/>
      <c r="L449" s="235"/>
      <c r="M449" s="235"/>
      <c r="N449" s="235"/>
      <c r="O449" s="235"/>
      <c r="P449" s="234"/>
    </row>
    <row r="450" spans="6:16" ht="15.75" customHeight="1">
      <c r="F450" s="235"/>
      <c r="G450" s="235"/>
      <c r="H450" s="235"/>
      <c r="I450" s="235"/>
      <c r="J450" s="235"/>
      <c r="K450" s="235"/>
      <c r="L450" s="235"/>
      <c r="M450" s="235"/>
      <c r="N450" s="235"/>
      <c r="O450" s="235"/>
      <c r="P450" s="234"/>
    </row>
    <row r="451" spans="6:16" ht="15.75" customHeight="1">
      <c r="F451" s="235"/>
      <c r="G451" s="235"/>
      <c r="H451" s="235"/>
      <c r="I451" s="235"/>
      <c r="J451" s="235"/>
      <c r="K451" s="235"/>
      <c r="L451" s="235"/>
      <c r="M451" s="235"/>
      <c r="N451" s="235"/>
      <c r="O451" s="235"/>
      <c r="P451" s="234"/>
    </row>
    <row r="452" spans="6:16" ht="15.75" customHeight="1">
      <c r="F452" s="235"/>
      <c r="G452" s="235"/>
      <c r="H452" s="235"/>
      <c r="I452" s="235"/>
      <c r="J452" s="235"/>
      <c r="K452" s="235"/>
      <c r="L452" s="235"/>
      <c r="M452" s="235"/>
      <c r="N452" s="235"/>
      <c r="O452" s="235"/>
      <c r="P452" s="234"/>
    </row>
    <row r="453" spans="6:16" ht="15.75" customHeight="1">
      <c r="F453" s="235"/>
      <c r="G453" s="235"/>
      <c r="H453" s="235"/>
      <c r="I453" s="235"/>
      <c r="J453" s="235"/>
      <c r="K453" s="235"/>
      <c r="L453" s="235"/>
      <c r="M453" s="235"/>
      <c r="N453" s="235"/>
      <c r="O453" s="235"/>
      <c r="P453" s="234"/>
    </row>
    <row r="454" spans="6:16" ht="15.75" customHeight="1">
      <c r="F454" s="235"/>
      <c r="G454" s="235"/>
      <c r="H454" s="235"/>
      <c r="I454" s="235"/>
      <c r="J454" s="235"/>
      <c r="K454" s="235"/>
      <c r="L454" s="235"/>
      <c r="M454" s="235"/>
      <c r="N454" s="235"/>
      <c r="O454" s="235"/>
      <c r="P454" s="234"/>
    </row>
    <row r="455" spans="6:16" ht="15.75" customHeight="1">
      <c r="F455" s="235"/>
      <c r="G455" s="235"/>
      <c r="H455" s="235"/>
      <c r="I455" s="235"/>
      <c r="J455" s="235"/>
      <c r="K455" s="235"/>
      <c r="L455" s="235"/>
      <c r="M455" s="235"/>
      <c r="N455" s="235"/>
      <c r="O455" s="235"/>
      <c r="P455" s="234"/>
    </row>
    <row r="456" spans="6:16" ht="15.75" customHeight="1">
      <c r="F456" s="235"/>
      <c r="G456" s="235"/>
      <c r="H456" s="235"/>
      <c r="I456" s="235"/>
      <c r="J456" s="235"/>
      <c r="K456" s="235"/>
      <c r="L456" s="235"/>
      <c r="M456" s="235"/>
      <c r="N456" s="235"/>
      <c r="O456" s="235"/>
      <c r="P456" s="234"/>
    </row>
    <row r="457" spans="6:16" ht="15.75" customHeight="1">
      <c r="F457" s="235"/>
      <c r="G457" s="235"/>
      <c r="H457" s="235"/>
      <c r="I457" s="235"/>
      <c r="J457" s="235"/>
      <c r="K457" s="235"/>
      <c r="L457" s="235"/>
      <c r="M457" s="235"/>
      <c r="N457" s="235"/>
      <c r="O457" s="235"/>
      <c r="P457" s="234"/>
    </row>
    <row r="458" spans="6:16" ht="15.75" customHeight="1">
      <c r="F458" s="235"/>
      <c r="G458" s="235"/>
      <c r="H458" s="235"/>
      <c r="I458" s="235"/>
      <c r="J458" s="235"/>
      <c r="K458" s="235"/>
      <c r="L458" s="235"/>
      <c r="M458" s="235"/>
      <c r="N458" s="235"/>
      <c r="O458" s="235"/>
      <c r="P458" s="234"/>
    </row>
    <row r="459" spans="6:16" ht="15.75" customHeight="1">
      <c r="F459" s="235"/>
      <c r="G459" s="235"/>
      <c r="H459" s="235"/>
      <c r="I459" s="235"/>
      <c r="J459" s="235"/>
      <c r="K459" s="235"/>
      <c r="L459" s="235"/>
      <c r="M459" s="235"/>
      <c r="N459" s="235"/>
      <c r="O459" s="235"/>
      <c r="P459" s="234"/>
    </row>
    <row r="460" spans="6:16" ht="15.75" customHeight="1">
      <c r="F460" s="235"/>
      <c r="G460" s="235"/>
      <c r="H460" s="235"/>
      <c r="I460" s="235"/>
      <c r="J460" s="235"/>
      <c r="K460" s="235"/>
      <c r="L460" s="235"/>
      <c r="M460" s="235"/>
      <c r="N460" s="235"/>
      <c r="O460" s="235"/>
      <c r="P460" s="234"/>
    </row>
    <row r="461" spans="6:16" ht="15.75" customHeight="1">
      <c r="F461" s="235"/>
      <c r="G461" s="235"/>
      <c r="H461" s="235"/>
      <c r="I461" s="235"/>
      <c r="J461" s="235"/>
      <c r="K461" s="235"/>
      <c r="L461" s="235"/>
      <c r="M461" s="235"/>
      <c r="N461" s="235"/>
      <c r="O461" s="235"/>
      <c r="P461" s="234"/>
    </row>
    <row r="462" spans="6:16" ht="15.75" customHeight="1">
      <c r="F462" s="235"/>
      <c r="G462" s="235"/>
      <c r="H462" s="235"/>
      <c r="I462" s="235"/>
      <c r="J462" s="235"/>
      <c r="K462" s="235"/>
      <c r="L462" s="235"/>
      <c r="M462" s="235"/>
      <c r="N462" s="235"/>
      <c r="O462" s="235"/>
      <c r="P462" s="234"/>
    </row>
    <row r="463" spans="6:16" ht="15.75" customHeight="1">
      <c r="F463" s="235"/>
      <c r="G463" s="235"/>
      <c r="H463" s="235"/>
      <c r="I463" s="235"/>
      <c r="J463" s="235"/>
      <c r="K463" s="235"/>
      <c r="L463" s="235"/>
      <c r="M463" s="235"/>
      <c r="N463" s="235"/>
      <c r="O463" s="235"/>
      <c r="P463" s="234"/>
    </row>
    <row r="464" spans="6:16" ht="15.75" customHeight="1">
      <c r="F464" s="235"/>
      <c r="G464" s="235"/>
      <c r="H464" s="235"/>
      <c r="I464" s="235"/>
      <c r="J464" s="235"/>
      <c r="K464" s="235"/>
      <c r="L464" s="235"/>
      <c r="M464" s="235"/>
      <c r="N464" s="235"/>
      <c r="O464" s="235"/>
      <c r="P464" s="234"/>
    </row>
    <row r="465" spans="6:16" ht="15.75" customHeight="1">
      <c r="F465" s="235"/>
      <c r="G465" s="235"/>
      <c r="H465" s="235"/>
      <c r="I465" s="235"/>
      <c r="J465" s="235"/>
      <c r="K465" s="235"/>
      <c r="L465" s="235"/>
      <c r="M465" s="235"/>
      <c r="N465" s="235"/>
      <c r="O465" s="235"/>
      <c r="P465" s="234"/>
    </row>
    <row r="466" spans="6:16" ht="15.75" customHeight="1">
      <c r="F466" s="235"/>
      <c r="G466" s="235"/>
      <c r="H466" s="235"/>
      <c r="I466" s="235"/>
      <c r="J466" s="235"/>
      <c r="K466" s="235"/>
      <c r="L466" s="235"/>
      <c r="M466" s="235"/>
      <c r="N466" s="235"/>
      <c r="O466" s="235"/>
      <c r="P466" s="234"/>
    </row>
    <row r="467" spans="6:16" ht="15.75" customHeight="1">
      <c r="F467" s="235"/>
      <c r="G467" s="235"/>
      <c r="H467" s="235"/>
      <c r="I467" s="235"/>
      <c r="J467" s="235"/>
      <c r="K467" s="235"/>
      <c r="L467" s="235"/>
      <c r="M467" s="235"/>
      <c r="N467" s="235"/>
      <c r="O467" s="235"/>
      <c r="P467" s="234"/>
    </row>
    <row r="468" spans="6:16" ht="15.75" customHeight="1">
      <c r="F468" s="235"/>
      <c r="G468" s="235"/>
      <c r="H468" s="235"/>
      <c r="I468" s="235"/>
      <c r="J468" s="235"/>
      <c r="K468" s="235"/>
      <c r="L468" s="235"/>
      <c r="M468" s="235"/>
      <c r="N468" s="235"/>
      <c r="O468" s="235"/>
      <c r="P468" s="234"/>
    </row>
    <row r="469" spans="6:16" ht="15.75" customHeight="1">
      <c r="F469" s="235"/>
      <c r="G469" s="235"/>
      <c r="H469" s="235"/>
      <c r="I469" s="235"/>
      <c r="J469" s="235"/>
      <c r="K469" s="235"/>
      <c r="L469" s="235"/>
      <c r="M469" s="235"/>
      <c r="N469" s="235"/>
      <c r="O469" s="235"/>
      <c r="P469" s="234"/>
    </row>
    <row r="470" spans="6:16" ht="15.75" customHeight="1">
      <c r="F470" s="235"/>
      <c r="G470" s="235"/>
      <c r="H470" s="235"/>
      <c r="I470" s="235"/>
      <c r="J470" s="235"/>
      <c r="K470" s="235"/>
      <c r="L470" s="235"/>
      <c r="M470" s="235"/>
      <c r="N470" s="235"/>
      <c r="O470" s="235"/>
      <c r="P470" s="234"/>
    </row>
    <row r="471" spans="6:16">
      <c r="F471" s="235"/>
      <c r="G471" s="235"/>
      <c r="H471" s="235"/>
      <c r="I471" s="235"/>
      <c r="J471" s="235"/>
      <c r="K471" s="235"/>
      <c r="L471" s="235"/>
      <c r="M471" s="235"/>
      <c r="N471" s="235"/>
      <c r="O471" s="235"/>
      <c r="P471" s="234"/>
    </row>
    <row r="472" spans="6:16">
      <c r="F472" s="235"/>
      <c r="G472" s="235"/>
      <c r="H472" s="235"/>
      <c r="I472" s="235"/>
      <c r="J472" s="235"/>
      <c r="K472" s="235"/>
      <c r="L472" s="235"/>
      <c r="M472" s="235"/>
      <c r="N472" s="235"/>
      <c r="O472" s="235"/>
      <c r="P472" s="234"/>
    </row>
    <row r="473" spans="6:16">
      <c r="F473" s="235"/>
      <c r="G473" s="235"/>
      <c r="H473" s="235"/>
      <c r="I473" s="235"/>
      <c r="J473" s="235"/>
      <c r="K473" s="235"/>
      <c r="L473" s="235"/>
      <c r="M473" s="235"/>
      <c r="N473" s="235"/>
      <c r="O473" s="235"/>
      <c r="P473" s="234"/>
    </row>
    <row r="474" spans="6:16">
      <c r="F474" s="235"/>
      <c r="G474" s="235"/>
      <c r="H474" s="235"/>
      <c r="I474" s="235"/>
      <c r="J474" s="235"/>
      <c r="K474" s="235"/>
      <c r="L474" s="235"/>
      <c r="M474" s="235"/>
      <c r="N474" s="235"/>
      <c r="O474" s="235"/>
      <c r="P474" s="234"/>
    </row>
    <row r="475" spans="6:16">
      <c r="F475" s="235"/>
      <c r="G475" s="235"/>
      <c r="H475" s="235"/>
      <c r="I475" s="235"/>
      <c r="J475" s="235"/>
      <c r="K475" s="235"/>
      <c r="L475" s="235"/>
      <c r="M475" s="235"/>
      <c r="N475" s="235"/>
      <c r="O475" s="235"/>
      <c r="P475" s="234"/>
    </row>
    <row r="476" spans="6:16">
      <c r="F476" s="235"/>
      <c r="G476" s="235"/>
      <c r="H476" s="235"/>
      <c r="I476" s="235"/>
      <c r="J476" s="235"/>
      <c r="K476" s="235"/>
      <c r="L476" s="235"/>
      <c r="M476" s="235"/>
      <c r="N476" s="235"/>
      <c r="O476" s="235"/>
      <c r="P476" s="234"/>
    </row>
    <row r="477" spans="6:16">
      <c r="F477" s="235"/>
      <c r="G477" s="235"/>
      <c r="H477" s="235"/>
      <c r="I477" s="235"/>
      <c r="J477" s="235"/>
      <c r="K477" s="235"/>
      <c r="L477" s="235"/>
      <c r="M477" s="235"/>
      <c r="N477" s="235"/>
      <c r="O477" s="235"/>
      <c r="P477" s="234"/>
    </row>
    <row r="478" spans="6:16">
      <c r="F478" s="235"/>
      <c r="G478" s="235"/>
      <c r="H478" s="235"/>
      <c r="I478" s="235"/>
      <c r="J478" s="235"/>
      <c r="K478" s="235"/>
      <c r="L478" s="235"/>
      <c r="M478" s="235"/>
      <c r="N478" s="235"/>
      <c r="O478" s="235"/>
      <c r="P478" s="234"/>
    </row>
    <row r="479" spans="6:16">
      <c r="F479" s="235"/>
      <c r="G479" s="235"/>
      <c r="H479" s="235"/>
      <c r="I479" s="235"/>
      <c r="J479" s="235"/>
      <c r="K479" s="235"/>
      <c r="L479" s="235"/>
      <c r="M479" s="235"/>
      <c r="N479" s="235"/>
      <c r="O479" s="235"/>
      <c r="P479" s="234"/>
    </row>
    <row r="480" spans="6:16">
      <c r="F480" s="235"/>
      <c r="G480" s="235"/>
      <c r="H480" s="235"/>
      <c r="I480" s="235"/>
      <c r="J480" s="235"/>
      <c r="K480" s="235"/>
      <c r="L480" s="235"/>
      <c r="M480" s="235"/>
      <c r="N480" s="235"/>
      <c r="O480" s="235"/>
      <c r="P480" s="234"/>
    </row>
    <row r="481" spans="6:16">
      <c r="F481" s="235"/>
      <c r="G481" s="235"/>
      <c r="H481" s="235"/>
      <c r="I481" s="235"/>
      <c r="J481" s="235"/>
      <c r="K481" s="235"/>
      <c r="L481" s="235"/>
      <c r="M481" s="235"/>
      <c r="N481" s="235"/>
      <c r="O481" s="235"/>
      <c r="P481" s="234"/>
    </row>
    <row r="482" spans="6:16">
      <c r="F482" s="235"/>
      <c r="G482" s="235"/>
      <c r="H482" s="235"/>
      <c r="I482" s="235"/>
      <c r="J482" s="235"/>
      <c r="K482" s="235"/>
      <c r="L482" s="235"/>
      <c r="M482" s="235"/>
      <c r="N482" s="235"/>
      <c r="O482" s="235"/>
      <c r="P482" s="234"/>
    </row>
    <row r="483" spans="6:16">
      <c r="F483" s="235"/>
      <c r="G483" s="235"/>
      <c r="H483" s="235"/>
      <c r="I483" s="235"/>
      <c r="J483" s="235"/>
      <c r="K483" s="235"/>
      <c r="L483" s="235"/>
      <c r="M483" s="235"/>
      <c r="N483" s="235"/>
      <c r="O483" s="235"/>
      <c r="P483" s="234"/>
    </row>
    <row r="484" spans="6:16">
      <c r="F484" s="235"/>
      <c r="G484" s="235"/>
      <c r="H484" s="235"/>
      <c r="I484" s="235"/>
      <c r="J484" s="235"/>
      <c r="K484" s="235"/>
      <c r="L484" s="235"/>
      <c r="M484" s="235"/>
      <c r="N484" s="235"/>
      <c r="O484" s="235"/>
      <c r="P484" s="234"/>
    </row>
    <row r="485" spans="6:16">
      <c r="F485" s="235"/>
      <c r="G485" s="235"/>
      <c r="H485" s="235"/>
      <c r="I485" s="235"/>
      <c r="J485" s="235"/>
      <c r="K485" s="235"/>
      <c r="L485" s="235"/>
      <c r="M485" s="235"/>
      <c r="N485" s="235"/>
      <c r="O485" s="235"/>
      <c r="P485" s="234"/>
    </row>
    <row r="486" spans="6:16">
      <c r="F486" s="235"/>
      <c r="G486" s="235"/>
      <c r="H486" s="235"/>
      <c r="I486" s="235"/>
      <c r="J486" s="235"/>
      <c r="K486" s="235"/>
      <c r="L486" s="235"/>
      <c r="M486" s="235"/>
      <c r="N486" s="235"/>
      <c r="O486" s="235"/>
      <c r="P486" s="234"/>
    </row>
    <row r="487" spans="6:16">
      <c r="F487" s="235"/>
      <c r="G487" s="235"/>
      <c r="H487" s="235"/>
      <c r="I487" s="235"/>
      <c r="J487" s="235"/>
      <c r="K487" s="235"/>
      <c r="L487" s="235"/>
      <c r="M487" s="235"/>
      <c r="N487" s="235"/>
      <c r="O487" s="235"/>
      <c r="P487" s="234"/>
    </row>
    <row r="488" spans="6:16">
      <c r="F488" s="235"/>
      <c r="G488" s="235"/>
      <c r="H488" s="235"/>
      <c r="I488" s="235"/>
      <c r="J488" s="235"/>
      <c r="K488" s="235"/>
      <c r="L488" s="235"/>
      <c r="M488" s="235"/>
      <c r="N488" s="235"/>
      <c r="O488" s="235"/>
      <c r="P488" s="234"/>
    </row>
    <row r="489" spans="6:16">
      <c r="F489" s="235"/>
      <c r="G489" s="235"/>
      <c r="H489" s="235"/>
      <c r="I489" s="235"/>
      <c r="J489" s="235"/>
      <c r="K489" s="235"/>
      <c r="L489" s="235"/>
      <c r="M489" s="235"/>
      <c r="N489" s="235"/>
      <c r="O489" s="235"/>
      <c r="P489" s="234"/>
    </row>
    <row r="490" spans="6:16">
      <c r="F490" s="235"/>
      <c r="G490" s="235"/>
      <c r="H490" s="235"/>
      <c r="I490" s="235"/>
      <c r="J490" s="235"/>
      <c r="K490" s="235"/>
      <c r="L490" s="235"/>
      <c r="M490" s="235"/>
      <c r="N490" s="235"/>
      <c r="O490" s="235"/>
      <c r="P490" s="234"/>
    </row>
    <row r="491" spans="6:16">
      <c r="F491" s="235"/>
      <c r="G491" s="235"/>
      <c r="H491" s="235"/>
      <c r="I491" s="235"/>
      <c r="J491" s="235"/>
      <c r="K491" s="235"/>
      <c r="L491" s="235"/>
      <c r="M491" s="235"/>
      <c r="N491" s="235"/>
      <c r="O491" s="235"/>
      <c r="P491" s="234"/>
    </row>
    <row r="492" spans="6:16">
      <c r="F492" s="235"/>
      <c r="G492" s="235"/>
      <c r="H492" s="235"/>
      <c r="I492" s="235"/>
      <c r="J492" s="235"/>
      <c r="K492" s="235"/>
      <c r="L492" s="235"/>
      <c r="M492" s="235"/>
      <c r="N492" s="235"/>
      <c r="O492" s="235"/>
      <c r="P492" s="234"/>
    </row>
    <row r="493" spans="6:16">
      <c r="F493" s="235"/>
      <c r="G493" s="235"/>
      <c r="H493" s="235"/>
      <c r="I493" s="235"/>
      <c r="J493" s="235"/>
      <c r="K493" s="235"/>
      <c r="L493" s="235"/>
      <c r="M493" s="235"/>
      <c r="N493" s="235"/>
      <c r="O493" s="235"/>
      <c r="P493" s="234"/>
    </row>
    <row r="494" spans="6:16">
      <c r="F494" s="235"/>
      <c r="G494" s="235"/>
      <c r="H494" s="235"/>
      <c r="I494" s="235"/>
      <c r="J494" s="235"/>
      <c r="K494" s="235"/>
      <c r="L494" s="235"/>
      <c r="M494" s="235"/>
      <c r="N494" s="235"/>
      <c r="O494" s="235"/>
      <c r="P494" s="234"/>
    </row>
    <row r="495" spans="6:16">
      <c r="F495" s="235"/>
      <c r="G495" s="235"/>
      <c r="H495" s="235"/>
      <c r="I495" s="235"/>
      <c r="J495" s="235"/>
      <c r="K495" s="235"/>
      <c r="L495" s="235"/>
      <c r="M495" s="235"/>
      <c r="N495" s="235"/>
      <c r="O495" s="235"/>
      <c r="P495" s="234"/>
    </row>
    <row r="496" spans="6:16">
      <c r="F496" s="235"/>
      <c r="G496" s="235"/>
      <c r="H496" s="235"/>
      <c r="I496" s="235"/>
      <c r="J496" s="235"/>
      <c r="K496" s="235"/>
      <c r="L496" s="235"/>
      <c r="M496" s="235"/>
      <c r="N496" s="235"/>
      <c r="O496" s="235"/>
      <c r="P496" s="234"/>
    </row>
    <row r="497" spans="6:16">
      <c r="F497" s="235"/>
      <c r="G497" s="235"/>
      <c r="H497" s="235"/>
      <c r="I497" s="235"/>
      <c r="J497" s="235"/>
      <c r="K497" s="235"/>
      <c r="L497" s="235"/>
      <c r="M497" s="235"/>
      <c r="N497" s="235"/>
      <c r="O497" s="235"/>
      <c r="P497" s="234"/>
    </row>
    <row r="498" spans="6:16">
      <c r="F498" s="235"/>
      <c r="G498" s="235"/>
      <c r="H498" s="235"/>
      <c r="I498" s="235"/>
      <c r="J498" s="235"/>
      <c r="K498" s="235"/>
      <c r="L498" s="235"/>
      <c r="M498" s="235"/>
      <c r="N498" s="235"/>
      <c r="O498" s="235"/>
      <c r="P498" s="234"/>
    </row>
    <row r="499" spans="6:16">
      <c r="F499" s="235"/>
      <c r="G499" s="235"/>
      <c r="H499" s="235"/>
      <c r="I499" s="235"/>
      <c r="J499" s="235"/>
      <c r="K499" s="235"/>
      <c r="L499" s="235"/>
      <c r="M499" s="235"/>
      <c r="N499" s="235"/>
      <c r="O499" s="235"/>
      <c r="P499" s="234"/>
    </row>
    <row r="500" spans="6:16">
      <c r="F500" s="235"/>
      <c r="G500" s="235"/>
      <c r="H500" s="235"/>
      <c r="I500" s="235"/>
      <c r="J500" s="235"/>
      <c r="K500" s="235"/>
      <c r="L500" s="235"/>
      <c r="M500" s="235"/>
      <c r="N500" s="235"/>
      <c r="O500" s="235"/>
      <c r="P500" s="234"/>
    </row>
    <row r="501" spans="6:16">
      <c r="F501" s="235"/>
      <c r="G501" s="235"/>
      <c r="H501" s="235"/>
      <c r="I501" s="235"/>
      <c r="J501" s="235"/>
      <c r="K501" s="235"/>
      <c r="L501" s="235"/>
      <c r="M501" s="235"/>
      <c r="N501" s="235"/>
      <c r="O501" s="235"/>
      <c r="P501" s="234"/>
    </row>
    <row r="502" spans="6:16">
      <c r="F502" s="235"/>
      <c r="G502" s="235"/>
      <c r="H502" s="235"/>
      <c r="I502" s="235"/>
      <c r="J502" s="235"/>
      <c r="K502" s="235"/>
      <c r="L502" s="235"/>
      <c r="M502" s="235"/>
      <c r="N502" s="235"/>
      <c r="O502" s="235"/>
      <c r="P502" s="234"/>
    </row>
    <row r="503" spans="6:16">
      <c r="F503" s="235"/>
      <c r="G503" s="235"/>
      <c r="H503" s="235"/>
      <c r="I503" s="235"/>
      <c r="J503" s="235"/>
      <c r="K503" s="235"/>
      <c r="L503" s="235"/>
      <c r="M503" s="235"/>
      <c r="N503" s="235"/>
      <c r="O503" s="235"/>
      <c r="P503" s="234"/>
    </row>
    <row r="504" spans="6:16">
      <c r="F504" s="235"/>
      <c r="G504" s="235"/>
      <c r="H504" s="235"/>
      <c r="I504" s="235"/>
      <c r="J504" s="235"/>
      <c r="K504" s="235"/>
      <c r="L504" s="235"/>
      <c r="M504" s="235"/>
      <c r="N504" s="235"/>
      <c r="O504" s="235"/>
      <c r="P504" s="234"/>
    </row>
    <row r="505" spans="6:16">
      <c r="F505" s="235"/>
      <c r="G505" s="235"/>
      <c r="H505" s="235"/>
      <c r="I505" s="235"/>
      <c r="J505" s="235"/>
      <c r="K505" s="235"/>
      <c r="L505" s="235"/>
      <c r="M505" s="235"/>
      <c r="N505" s="235"/>
      <c r="O505" s="235"/>
      <c r="P505" s="234"/>
    </row>
    <row r="506" spans="6:16">
      <c r="F506" s="235"/>
      <c r="G506" s="235"/>
      <c r="H506" s="235"/>
      <c r="I506" s="235"/>
      <c r="J506" s="235"/>
      <c r="K506" s="235"/>
      <c r="L506" s="235"/>
      <c r="M506" s="235"/>
      <c r="N506" s="235"/>
      <c r="O506" s="235"/>
      <c r="P506" s="234"/>
    </row>
    <row r="507" spans="6:16">
      <c r="F507" s="235"/>
      <c r="G507" s="235"/>
      <c r="H507" s="235"/>
      <c r="I507" s="235"/>
      <c r="J507" s="235"/>
      <c r="K507" s="235"/>
      <c r="L507" s="235"/>
      <c r="M507" s="235"/>
      <c r="N507" s="235"/>
      <c r="O507" s="235"/>
      <c r="P507" s="234"/>
    </row>
    <row r="508" spans="6:16">
      <c r="F508" s="235"/>
      <c r="G508" s="235"/>
      <c r="H508" s="235"/>
      <c r="I508" s="235"/>
      <c r="J508" s="235"/>
      <c r="K508" s="235"/>
      <c r="L508" s="235"/>
      <c r="M508" s="235"/>
      <c r="N508" s="235"/>
      <c r="O508" s="235"/>
      <c r="P508" s="234"/>
    </row>
    <row r="509" spans="6:16">
      <c r="F509" s="235"/>
      <c r="G509" s="235"/>
      <c r="H509" s="235"/>
      <c r="I509" s="235"/>
      <c r="J509" s="235"/>
      <c r="K509" s="235"/>
      <c r="L509" s="235"/>
      <c r="M509" s="235"/>
      <c r="N509" s="235"/>
      <c r="O509" s="235"/>
      <c r="P509" s="234"/>
    </row>
    <row r="510" spans="6:16">
      <c r="F510" s="235"/>
      <c r="G510" s="235"/>
      <c r="H510" s="235"/>
      <c r="I510" s="235"/>
      <c r="J510" s="235"/>
      <c r="K510" s="235"/>
      <c r="L510" s="235"/>
      <c r="M510" s="235"/>
      <c r="N510" s="235"/>
      <c r="O510" s="235"/>
      <c r="P510" s="234"/>
    </row>
    <row r="511" spans="6:16">
      <c r="F511" s="235"/>
      <c r="G511" s="235"/>
      <c r="H511" s="235"/>
      <c r="I511" s="235"/>
      <c r="J511" s="235"/>
      <c r="K511" s="235"/>
      <c r="L511" s="235"/>
      <c r="M511" s="235"/>
      <c r="N511" s="235"/>
      <c r="O511" s="235"/>
      <c r="P511" s="234"/>
    </row>
    <row r="512" spans="6:16">
      <c r="F512" s="235"/>
      <c r="G512" s="235"/>
      <c r="H512" s="235"/>
      <c r="I512" s="235"/>
      <c r="J512" s="235"/>
      <c r="K512" s="235"/>
      <c r="L512" s="235"/>
      <c r="M512" s="235"/>
      <c r="N512" s="235"/>
      <c r="O512" s="235"/>
      <c r="P512" s="234"/>
    </row>
    <row r="513" spans="6:16">
      <c r="F513" s="235"/>
      <c r="G513" s="235"/>
      <c r="H513" s="235"/>
      <c r="I513" s="235"/>
      <c r="J513" s="235"/>
      <c r="K513" s="235"/>
      <c r="L513" s="235"/>
      <c r="M513" s="235"/>
      <c r="N513" s="235"/>
      <c r="O513" s="235"/>
      <c r="P513" s="234"/>
    </row>
    <row r="514" spans="6:16">
      <c r="F514" s="235"/>
      <c r="G514" s="235"/>
      <c r="H514" s="235"/>
      <c r="I514" s="235"/>
      <c r="J514" s="235"/>
      <c r="K514" s="235"/>
      <c r="L514" s="235"/>
      <c r="M514" s="235"/>
      <c r="N514" s="235"/>
      <c r="O514" s="235"/>
      <c r="P514" s="234"/>
    </row>
    <row r="515" spans="6:16">
      <c r="F515" s="235"/>
      <c r="G515" s="235"/>
      <c r="H515" s="235"/>
      <c r="I515" s="235"/>
      <c r="J515" s="235"/>
      <c r="K515" s="235"/>
      <c r="L515" s="235"/>
      <c r="M515" s="235"/>
      <c r="N515" s="235"/>
      <c r="O515" s="235"/>
      <c r="P515" s="234"/>
    </row>
    <row r="516" spans="6:16">
      <c r="F516" s="235"/>
      <c r="G516" s="235"/>
      <c r="H516" s="235"/>
      <c r="I516" s="235"/>
      <c r="J516" s="235"/>
      <c r="K516" s="235"/>
      <c r="L516" s="235"/>
      <c r="M516" s="235"/>
      <c r="N516" s="235"/>
      <c r="O516" s="235"/>
      <c r="P516" s="234"/>
    </row>
    <row r="517" spans="6:16">
      <c r="F517" s="235"/>
      <c r="G517" s="235"/>
      <c r="H517" s="235"/>
      <c r="I517" s="235"/>
      <c r="J517" s="235"/>
      <c r="K517" s="235"/>
      <c r="L517" s="235"/>
      <c r="M517" s="235"/>
      <c r="N517" s="235"/>
      <c r="O517" s="235"/>
      <c r="P517" s="234"/>
    </row>
    <row r="518" spans="6:16">
      <c r="F518" s="235"/>
      <c r="G518" s="235"/>
      <c r="H518" s="235"/>
      <c r="I518" s="235"/>
      <c r="J518" s="235"/>
      <c r="K518" s="235"/>
      <c r="L518" s="235"/>
      <c r="M518" s="235"/>
      <c r="N518" s="235"/>
      <c r="O518" s="235"/>
      <c r="P518" s="234"/>
    </row>
    <row r="519" spans="6:16">
      <c r="F519" s="235"/>
      <c r="G519" s="235"/>
      <c r="H519" s="235"/>
      <c r="I519" s="235"/>
      <c r="J519" s="235"/>
      <c r="K519" s="235"/>
      <c r="L519" s="235"/>
      <c r="M519" s="235"/>
      <c r="N519" s="235"/>
      <c r="O519" s="235"/>
      <c r="P519" s="234"/>
    </row>
    <row r="520" spans="6:16">
      <c r="F520" s="235"/>
      <c r="G520" s="235"/>
      <c r="H520" s="235"/>
      <c r="I520" s="235"/>
      <c r="J520" s="235"/>
      <c r="K520" s="235"/>
      <c r="L520" s="235"/>
      <c r="M520" s="235"/>
      <c r="N520" s="235"/>
      <c r="O520" s="235"/>
      <c r="P520" s="234"/>
    </row>
    <row r="521" spans="6:16">
      <c r="F521" s="235"/>
      <c r="G521" s="235"/>
      <c r="H521" s="235"/>
      <c r="I521" s="235"/>
      <c r="J521" s="235"/>
      <c r="K521" s="235"/>
      <c r="L521" s="235"/>
      <c r="M521" s="235"/>
      <c r="N521" s="235"/>
      <c r="O521" s="235"/>
      <c r="P521" s="234"/>
    </row>
    <row r="522" spans="6:16">
      <c r="F522" s="235"/>
      <c r="G522" s="235"/>
      <c r="H522" s="235"/>
      <c r="I522" s="235"/>
      <c r="J522" s="235"/>
      <c r="K522" s="235"/>
      <c r="L522" s="235"/>
      <c r="M522" s="235"/>
      <c r="N522" s="235"/>
      <c r="O522" s="235"/>
      <c r="P522" s="234"/>
    </row>
    <row r="523" spans="6:16">
      <c r="F523" s="235"/>
      <c r="G523" s="235"/>
      <c r="H523" s="235"/>
      <c r="I523" s="235"/>
      <c r="J523" s="235"/>
      <c r="K523" s="235"/>
      <c r="L523" s="235"/>
      <c r="M523" s="235"/>
      <c r="N523" s="235"/>
      <c r="O523" s="235"/>
      <c r="P523" s="234"/>
    </row>
    <row r="524" spans="6:16">
      <c r="F524" s="235"/>
      <c r="G524" s="235"/>
      <c r="H524" s="235"/>
      <c r="I524" s="235"/>
      <c r="J524" s="235"/>
      <c r="K524" s="235"/>
      <c r="L524" s="235"/>
      <c r="M524" s="235"/>
      <c r="N524" s="235"/>
      <c r="O524" s="235"/>
      <c r="P524" s="234"/>
    </row>
    <row r="525" spans="6:16">
      <c r="F525" s="235"/>
      <c r="G525" s="235"/>
      <c r="H525" s="235"/>
      <c r="I525" s="235"/>
      <c r="J525" s="235"/>
      <c r="K525" s="235"/>
      <c r="L525" s="235"/>
      <c r="M525" s="235"/>
      <c r="N525" s="235"/>
      <c r="O525" s="235"/>
      <c r="P525" s="234"/>
    </row>
    <row r="526" spans="6:16">
      <c r="F526" s="235"/>
      <c r="G526" s="235"/>
      <c r="H526" s="235"/>
      <c r="I526" s="235"/>
      <c r="J526" s="235"/>
      <c r="K526" s="235"/>
      <c r="L526" s="235"/>
      <c r="M526" s="235"/>
      <c r="N526" s="235"/>
      <c r="O526" s="235"/>
      <c r="P526" s="234"/>
    </row>
    <row r="527" spans="6:16">
      <c r="F527" s="235"/>
      <c r="G527" s="235"/>
      <c r="H527" s="235"/>
      <c r="I527" s="235"/>
      <c r="J527" s="235"/>
      <c r="K527" s="235"/>
      <c r="L527" s="235"/>
      <c r="M527" s="235"/>
      <c r="N527" s="235"/>
      <c r="O527" s="235"/>
      <c r="P527" s="234"/>
    </row>
    <row r="528" spans="6:16">
      <c r="F528" s="235"/>
      <c r="G528" s="235"/>
      <c r="H528" s="235"/>
      <c r="I528" s="235"/>
      <c r="J528" s="235"/>
      <c r="K528" s="235"/>
      <c r="L528" s="235"/>
      <c r="M528" s="235"/>
      <c r="N528" s="235"/>
      <c r="O528" s="235"/>
      <c r="P528" s="234"/>
    </row>
    <row r="529" spans="6:16">
      <c r="F529" s="235"/>
      <c r="G529" s="235"/>
      <c r="H529" s="235"/>
      <c r="I529" s="235"/>
      <c r="J529" s="235"/>
      <c r="K529" s="235"/>
      <c r="L529" s="235"/>
      <c r="M529" s="235"/>
      <c r="N529" s="235"/>
      <c r="O529" s="235"/>
      <c r="P529" s="234"/>
    </row>
    <row r="530" spans="6:16">
      <c r="F530" s="235"/>
      <c r="G530" s="235"/>
      <c r="H530" s="235"/>
      <c r="I530" s="235"/>
      <c r="J530" s="235"/>
      <c r="K530" s="235"/>
      <c r="L530" s="235"/>
      <c r="M530" s="235"/>
      <c r="N530" s="235"/>
      <c r="O530" s="235"/>
      <c r="P530" s="234"/>
    </row>
    <row r="531" spans="6:16">
      <c r="F531" s="235"/>
      <c r="G531" s="235"/>
      <c r="H531" s="235"/>
      <c r="I531" s="235"/>
      <c r="J531" s="235"/>
      <c r="K531" s="235"/>
      <c r="L531" s="235"/>
      <c r="M531" s="235"/>
      <c r="N531" s="235"/>
      <c r="O531" s="235"/>
      <c r="P531" s="234"/>
    </row>
    <row r="532" spans="6:16">
      <c r="F532" s="235"/>
      <c r="G532" s="235"/>
      <c r="H532" s="235"/>
      <c r="I532" s="235"/>
      <c r="J532" s="235"/>
      <c r="K532" s="235"/>
      <c r="L532" s="235"/>
      <c r="M532" s="235"/>
      <c r="N532" s="235"/>
      <c r="O532" s="235"/>
      <c r="P532" s="234"/>
    </row>
    <row r="533" spans="6:16">
      <c r="F533" s="235"/>
      <c r="G533" s="235"/>
      <c r="H533" s="235"/>
      <c r="I533" s="235"/>
      <c r="J533" s="235"/>
      <c r="K533" s="235"/>
      <c r="L533" s="235"/>
      <c r="M533" s="235"/>
      <c r="N533" s="235"/>
      <c r="O533" s="235"/>
      <c r="P533" s="234"/>
    </row>
    <row r="534" spans="6:16">
      <c r="F534" s="235"/>
      <c r="G534" s="235"/>
      <c r="H534" s="235"/>
      <c r="I534" s="235"/>
      <c r="J534" s="235"/>
      <c r="K534" s="235"/>
      <c r="L534" s="235"/>
      <c r="M534" s="235"/>
      <c r="N534" s="235"/>
      <c r="O534" s="235"/>
      <c r="P534" s="234"/>
    </row>
    <row r="535" spans="6:16">
      <c r="F535" s="235"/>
      <c r="G535" s="235"/>
      <c r="H535" s="235"/>
      <c r="I535" s="235"/>
      <c r="J535" s="235"/>
      <c r="K535" s="235"/>
      <c r="L535" s="235"/>
      <c r="M535" s="235"/>
      <c r="N535" s="235"/>
      <c r="O535" s="235"/>
      <c r="P535" s="234"/>
    </row>
    <row r="536" spans="6:16">
      <c r="F536" s="235"/>
      <c r="G536" s="235"/>
      <c r="H536" s="235"/>
      <c r="I536" s="235"/>
      <c r="J536" s="235"/>
      <c r="K536" s="235"/>
      <c r="L536" s="235"/>
      <c r="M536" s="235"/>
      <c r="N536" s="235"/>
      <c r="O536" s="235"/>
      <c r="P536" s="234"/>
    </row>
    <row r="537" spans="6:16">
      <c r="F537" s="235"/>
      <c r="G537" s="235"/>
      <c r="H537" s="235"/>
      <c r="I537" s="235"/>
      <c r="J537" s="235"/>
      <c r="K537" s="235"/>
      <c r="L537" s="235"/>
      <c r="M537" s="235"/>
      <c r="N537" s="235"/>
      <c r="O537" s="235"/>
      <c r="P537" s="234"/>
    </row>
    <row r="538" spans="6:16">
      <c r="F538" s="235"/>
      <c r="G538" s="235"/>
      <c r="H538" s="235"/>
      <c r="I538" s="235"/>
      <c r="J538" s="235"/>
      <c r="K538" s="235"/>
      <c r="L538" s="235"/>
      <c r="M538" s="235"/>
      <c r="N538" s="235"/>
      <c r="O538" s="235"/>
      <c r="P538" s="234"/>
    </row>
    <row r="539" spans="6:16">
      <c r="F539" s="235"/>
      <c r="G539" s="235"/>
      <c r="H539" s="235"/>
      <c r="I539" s="235"/>
      <c r="J539" s="235"/>
      <c r="K539" s="235"/>
      <c r="L539" s="235"/>
      <c r="M539" s="235"/>
      <c r="N539" s="235"/>
      <c r="O539" s="235"/>
      <c r="P539" s="234"/>
    </row>
    <row r="540" spans="6:16">
      <c r="F540" s="235"/>
      <c r="G540" s="235"/>
      <c r="H540" s="235"/>
      <c r="I540" s="235"/>
      <c r="J540" s="235"/>
      <c r="K540" s="235"/>
      <c r="L540" s="235"/>
      <c r="M540" s="235"/>
      <c r="N540" s="235"/>
      <c r="O540" s="235"/>
      <c r="P540" s="234"/>
    </row>
    <row r="541" spans="6:16">
      <c r="F541" s="235"/>
      <c r="G541" s="235"/>
      <c r="H541" s="235"/>
      <c r="I541" s="235"/>
      <c r="J541" s="235"/>
      <c r="K541" s="235"/>
      <c r="L541" s="235"/>
      <c r="M541" s="235"/>
      <c r="N541" s="235"/>
      <c r="O541" s="235"/>
      <c r="P541" s="234"/>
    </row>
    <row r="542" spans="6:16">
      <c r="F542" s="235"/>
      <c r="G542" s="235"/>
      <c r="H542" s="235"/>
      <c r="I542" s="235"/>
      <c r="J542" s="235"/>
      <c r="K542" s="235"/>
      <c r="L542" s="235"/>
      <c r="M542" s="235"/>
      <c r="N542" s="235"/>
      <c r="O542" s="235"/>
      <c r="P542" s="234"/>
    </row>
    <row r="543" spans="6:16">
      <c r="F543" s="235"/>
      <c r="G543" s="235"/>
      <c r="H543" s="235"/>
      <c r="I543" s="235"/>
      <c r="J543" s="235"/>
      <c r="K543" s="235"/>
      <c r="L543" s="235"/>
      <c r="M543" s="235"/>
      <c r="N543" s="235"/>
      <c r="O543" s="235"/>
      <c r="P543" s="234"/>
    </row>
    <row r="544" spans="6:16">
      <c r="F544" s="235"/>
      <c r="G544" s="235"/>
      <c r="H544" s="235"/>
      <c r="I544" s="235"/>
      <c r="J544" s="235"/>
      <c r="K544" s="235"/>
      <c r="L544" s="235"/>
      <c r="M544" s="235"/>
      <c r="N544" s="235"/>
      <c r="O544" s="235"/>
      <c r="P544" s="234"/>
    </row>
    <row r="545" spans="6:16">
      <c r="F545" s="235"/>
      <c r="G545" s="235"/>
      <c r="H545" s="235"/>
      <c r="I545" s="235"/>
      <c r="J545" s="235"/>
      <c r="K545" s="235"/>
      <c r="L545" s="235"/>
      <c r="M545" s="235"/>
      <c r="N545" s="235"/>
      <c r="O545" s="235"/>
      <c r="P545" s="234"/>
    </row>
    <row r="546" spans="6:16">
      <c r="F546" s="235"/>
      <c r="G546" s="235"/>
      <c r="H546" s="235"/>
      <c r="I546" s="235"/>
      <c r="J546" s="235"/>
      <c r="K546" s="235"/>
      <c r="L546" s="235"/>
      <c r="M546" s="235"/>
      <c r="N546" s="235"/>
      <c r="O546" s="235"/>
      <c r="P546" s="234"/>
    </row>
    <row r="547" spans="6:16">
      <c r="F547" s="235"/>
      <c r="G547" s="235"/>
      <c r="H547" s="235"/>
      <c r="I547" s="235"/>
      <c r="J547" s="235"/>
      <c r="K547" s="235"/>
      <c r="L547" s="235"/>
      <c r="M547" s="235"/>
      <c r="N547" s="235"/>
      <c r="O547" s="235"/>
      <c r="P547" s="234"/>
    </row>
    <row r="548" spans="6:16">
      <c r="F548" s="235"/>
      <c r="G548" s="235"/>
      <c r="H548" s="235"/>
      <c r="I548" s="235"/>
      <c r="J548" s="235"/>
      <c r="K548" s="235"/>
      <c r="L548" s="235"/>
      <c r="M548" s="235"/>
      <c r="N548" s="235"/>
      <c r="O548" s="235"/>
      <c r="P548" s="234"/>
    </row>
    <row r="549" spans="6:16">
      <c r="F549" s="235"/>
      <c r="G549" s="235"/>
      <c r="H549" s="235"/>
      <c r="I549" s="235"/>
      <c r="J549" s="235"/>
      <c r="K549" s="235"/>
      <c r="L549" s="235"/>
      <c r="M549" s="235"/>
      <c r="N549" s="235"/>
      <c r="O549" s="235"/>
      <c r="P549" s="234"/>
    </row>
    <row r="550" spans="6:16">
      <c r="F550" s="235"/>
      <c r="G550" s="235"/>
      <c r="H550" s="235"/>
      <c r="I550" s="235"/>
      <c r="J550" s="235"/>
      <c r="K550" s="235"/>
      <c r="L550" s="235"/>
      <c r="M550" s="235"/>
      <c r="N550" s="235"/>
      <c r="O550" s="235"/>
      <c r="P550" s="234"/>
    </row>
    <row r="551" spans="6:16">
      <c r="F551" s="235"/>
      <c r="G551" s="235"/>
      <c r="H551" s="235"/>
      <c r="I551" s="235"/>
      <c r="J551" s="235"/>
      <c r="K551" s="235"/>
      <c r="L551" s="235"/>
      <c r="M551" s="235"/>
      <c r="N551" s="235"/>
      <c r="O551" s="235"/>
      <c r="P551" s="234"/>
    </row>
    <row r="552" spans="6:16">
      <c r="F552" s="235"/>
      <c r="G552" s="235"/>
      <c r="H552" s="235"/>
      <c r="I552" s="235"/>
      <c r="J552" s="235"/>
      <c r="K552" s="235"/>
      <c r="L552" s="235"/>
      <c r="M552" s="235"/>
      <c r="N552" s="235"/>
      <c r="O552" s="235"/>
      <c r="P552" s="234"/>
    </row>
    <row r="553" spans="6:16">
      <c r="F553" s="235"/>
      <c r="G553" s="235"/>
      <c r="H553" s="235"/>
      <c r="I553" s="235"/>
      <c r="J553" s="235"/>
      <c r="K553" s="235"/>
      <c r="L553" s="235"/>
      <c r="M553" s="235"/>
      <c r="N553" s="235"/>
      <c r="O553" s="235"/>
      <c r="P553" s="234"/>
    </row>
    <row r="554" spans="6:16">
      <c r="F554" s="235"/>
      <c r="G554" s="235"/>
      <c r="H554" s="235"/>
      <c r="I554" s="235"/>
      <c r="J554" s="235"/>
      <c r="K554" s="235"/>
      <c r="L554" s="235"/>
      <c r="M554" s="235"/>
      <c r="N554" s="235"/>
      <c r="O554" s="235"/>
      <c r="P554" s="234"/>
    </row>
    <row r="555" spans="6:16">
      <c r="F555" s="235"/>
      <c r="G555" s="235"/>
      <c r="H555" s="235"/>
      <c r="I555" s="235"/>
      <c r="J555" s="235"/>
      <c r="K555" s="235"/>
      <c r="L555" s="235"/>
      <c r="M555" s="235"/>
      <c r="N555" s="235"/>
      <c r="O555" s="235"/>
      <c r="P555" s="234"/>
    </row>
    <row r="556" spans="6:16">
      <c r="F556" s="235"/>
      <c r="G556" s="235"/>
      <c r="H556" s="235"/>
      <c r="I556" s="235"/>
      <c r="J556" s="235"/>
      <c r="K556" s="235"/>
      <c r="L556" s="235"/>
      <c r="M556" s="235"/>
      <c r="N556" s="235"/>
      <c r="O556" s="235"/>
      <c r="P556" s="234"/>
    </row>
    <row r="557" spans="6:16">
      <c r="F557" s="235"/>
      <c r="G557" s="235"/>
      <c r="H557" s="235"/>
      <c r="I557" s="235"/>
      <c r="J557" s="235"/>
      <c r="K557" s="235"/>
      <c r="L557" s="235"/>
      <c r="M557" s="235"/>
      <c r="N557" s="235"/>
      <c r="O557" s="235"/>
      <c r="P557" s="234"/>
    </row>
    <row r="558" spans="6:16">
      <c r="F558" s="235"/>
      <c r="G558" s="235"/>
      <c r="H558" s="235"/>
      <c r="I558" s="235"/>
      <c r="J558" s="235"/>
      <c r="K558" s="235"/>
      <c r="L558" s="235"/>
      <c r="M558" s="235"/>
      <c r="N558" s="235"/>
      <c r="O558" s="235"/>
      <c r="P558" s="234"/>
    </row>
    <row r="559" spans="6:16">
      <c r="F559" s="235"/>
      <c r="G559" s="235"/>
      <c r="H559" s="235"/>
      <c r="I559" s="235"/>
      <c r="J559" s="235"/>
      <c r="K559" s="235"/>
      <c r="L559" s="235"/>
      <c r="M559" s="235"/>
      <c r="N559" s="235"/>
      <c r="O559" s="235"/>
      <c r="P559" s="234"/>
    </row>
    <row r="560" spans="6:16">
      <c r="F560" s="235"/>
      <c r="G560" s="235"/>
      <c r="H560" s="235"/>
      <c r="I560" s="235"/>
      <c r="J560" s="235"/>
      <c r="K560" s="235"/>
      <c r="L560" s="235"/>
      <c r="M560" s="235"/>
      <c r="N560" s="235"/>
      <c r="O560" s="235"/>
      <c r="P560" s="234"/>
    </row>
    <row r="561" spans="6:16">
      <c r="F561" s="235"/>
      <c r="G561" s="235"/>
      <c r="H561" s="235"/>
      <c r="I561" s="235"/>
      <c r="J561" s="235"/>
      <c r="K561" s="235"/>
      <c r="L561" s="235"/>
      <c r="M561" s="235"/>
      <c r="N561" s="235"/>
      <c r="O561" s="235"/>
      <c r="P561" s="234"/>
    </row>
    <row r="562" spans="6:16">
      <c r="F562" s="235"/>
      <c r="G562" s="235"/>
      <c r="H562" s="235"/>
      <c r="I562" s="235"/>
      <c r="J562" s="235"/>
      <c r="K562" s="235"/>
      <c r="L562" s="235"/>
      <c r="M562" s="235"/>
      <c r="N562" s="235"/>
      <c r="O562" s="235"/>
      <c r="P562" s="234"/>
    </row>
    <row r="563" spans="6:16">
      <c r="F563" s="235"/>
      <c r="G563" s="235"/>
      <c r="H563" s="235"/>
      <c r="I563" s="235"/>
      <c r="J563" s="235"/>
      <c r="K563" s="235"/>
      <c r="L563" s="235"/>
      <c r="M563" s="235"/>
      <c r="N563" s="235"/>
      <c r="O563" s="235"/>
      <c r="P563" s="234"/>
    </row>
    <row r="564" spans="6:16">
      <c r="F564" s="235"/>
      <c r="G564" s="235"/>
      <c r="H564" s="235"/>
      <c r="I564" s="235"/>
      <c r="J564" s="235"/>
      <c r="K564" s="235"/>
      <c r="L564" s="235"/>
      <c r="M564" s="235"/>
      <c r="N564" s="235"/>
      <c r="O564" s="235"/>
      <c r="P564" s="234"/>
    </row>
    <row r="565" spans="6:16">
      <c r="F565" s="235"/>
      <c r="G565" s="235"/>
      <c r="H565" s="235"/>
      <c r="I565" s="235"/>
      <c r="J565" s="235"/>
      <c r="K565" s="235"/>
      <c r="L565" s="235"/>
      <c r="M565" s="235"/>
      <c r="N565" s="235"/>
      <c r="O565" s="235"/>
      <c r="P565" s="234"/>
    </row>
    <row r="566" spans="6:16">
      <c r="F566" s="235"/>
      <c r="G566" s="235"/>
      <c r="H566" s="235"/>
      <c r="I566" s="235"/>
      <c r="J566" s="235"/>
      <c r="K566" s="235"/>
      <c r="L566" s="235"/>
      <c r="M566" s="235"/>
      <c r="N566" s="235"/>
      <c r="O566" s="235"/>
      <c r="P566" s="234"/>
    </row>
    <row r="567" spans="6:16">
      <c r="F567" s="235"/>
      <c r="G567" s="235"/>
      <c r="H567" s="235"/>
      <c r="I567" s="235"/>
      <c r="J567" s="235"/>
      <c r="K567" s="235"/>
      <c r="L567" s="235"/>
      <c r="M567" s="235"/>
      <c r="N567" s="235"/>
      <c r="O567" s="235"/>
      <c r="P567" s="234"/>
    </row>
    <row r="568" spans="6:16">
      <c r="F568" s="235"/>
      <c r="G568" s="235"/>
      <c r="H568" s="235"/>
      <c r="I568" s="235"/>
      <c r="J568" s="235"/>
      <c r="K568" s="235"/>
      <c r="L568" s="235"/>
      <c r="M568" s="235"/>
      <c r="N568" s="235"/>
      <c r="O568" s="235"/>
      <c r="P568" s="234"/>
    </row>
    <row r="569" spans="6:16">
      <c r="F569" s="235"/>
      <c r="G569" s="235"/>
      <c r="H569" s="235"/>
      <c r="I569" s="235"/>
      <c r="J569" s="235"/>
      <c r="K569" s="235"/>
      <c r="L569" s="235"/>
      <c r="M569" s="235"/>
      <c r="N569" s="235"/>
      <c r="O569" s="235"/>
      <c r="P569" s="234"/>
    </row>
    <row r="570" spans="6:16">
      <c r="F570" s="235"/>
      <c r="G570" s="235"/>
      <c r="H570" s="235"/>
      <c r="I570" s="235"/>
      <c r="J570" s="235"/>
      <c r="K570" s="235"/>
      <c r="L570" s="235"/>
      <c r="M570" s="235"/>
      <c r="N570" s="235"/>
      <c r="O570" s="235"/>
      <c r="P570" s="234"/>
    </row>
    <row r="571" spans="6:16">
      <c r="F571" s="235"/>
      <c r="G571" s="235"/>
      <c r="H571" s="235"/>
      <c r="I571" s="235"/>
      <c r="J571" s="235"/>
      <c r="K571" s="235"/>
      <c r="L571" s="235"/>
      <c r="M571" s="235"/>
      <c r="N571" s="235"/>
      <c r="O571" s="235"/>
      <c r="P571" s="234"/>
    </row>
    <row r="572" spans="6:16">
      <c r="F572" s="235"/>
      <c r="G572" s="235"/>
      <c r="H572" s="235"/>
      <c r="I572" s="235"/>
      <c r="J572" s="235"/>
      <c r="K572" s="235"/>
      <c r="L572" s="235"/>
      <c r="M572" s="235"/>
      <c r="N572" s="235"/>
      <c r="O572" s="235"/>
      <c r="P572" s="234"/>
    </row>
    <row r="573" spans="6:16">
      <c r="F573" s="235"/>
      <c r="G573" s="235"/>
      <c r="H573" s="235"/>
      <c r="I573" s="235"/>
      <c r="J573" s="235"/>
      <c r="K573" s="235"/>
      <c r="L573" s="235"/>
      <c r="M573" s="235"/>
      <c r="N573" s="235"/>
      <c r="O573" s="235"/>
      <c r="P573" s="234"/>
    </row>
    <row r="574" spans="6:16">
      <c r="F574" s="235"/>
      <c r="G574" s="235"/>
      <c r="H574" s="235"/>
      <c r="I574" s="235"/>
      <c r="J574" s="235"/>
      <c r="K574" s="235"/>
      <c r="L574" s="235"/>
      <c r="M574" s="235"/>
      <c r="N574" s="235"/>
      <c r="O574" s="235"/>
      <c r="P574" s="234"/>
    </row>
    <row r="575" spans="6:16">
      <c r="F575" s="235"/>
      <c r="G575" s="235"/>
      <c r="H575" s="235"/>
      <c r="I575" s="235"/>
      <c r="J575" s="235"/>
      <c r="K575" s="235"/>
      <c r="L575" s="235"/>
      <c r="M575" s="235"/>
      <c r="N575" s="235"/>
      <c r="O575" s="235"/>
      <c r="P575" s="234"/>
    </row>
    <row r="576" spans="6:16">
      <c r="F576" s="235"/>
      <c r="G576" s="235"/>
      <c r="H576" s="235"/>
      <c r="I576" s="235"/>
      <c r="J576" s="235"/>
      <c r="K576" s="235"/>
      <c r="L576" s="235"/>
      <c r="M576" s="235"/>
      <c r="N576" s="235"/>
      <c r="O576" s="235"/>
      <c r="P576" s="234"/>
    </row>
    <row r="577" spans="6:16">
      <c r="F577" s="235"/>
      <c r="G577" s="235"/>
      <c r="H577" s="235"/>
      <c r="I577" s="235"/>
      <c r="J577" s="235"/>
      <c r="K577" s="235"/>
      <c r="L577" s="235"/>
      <c r="M577" s="235"/>
      <c r="N577" s="235"/>
      <c r="O577" s="235"/>
      <c r="P577" s="234"/>
    </row>
    <row r="578" spans="6:16">
      <c r="F578" s="235"/>
      <c r="G578" s="235"/>
      <c r="H578" s="235"/>
      <c r="I578" s="235"/>
      <c r="J578" s="235"/>
      <c r="K578" s="235"/>
      <c r="L578" s="235"/>
      <c r="M578" s="235"/>
      <c r="N578" s="235"/>
      <c r="O578" s="235"/>
      <c r="P578" s="234"/>
    </row>
    <row r="579" spans="6:16">
      <c r="F579" s="235"/>
      <c r="G579" s="235"/>
      <c r="H579" s="235"/>
      <c r="I579" s="235"/>
      <c r="J579" s="235"/>
      <c r="K579" s="235"/>
      <c r="L579" s="235"/>
      <c r="M579" s="235"/>
      <c r="N579" s="235"/>
      <c r="O579" s="235"/>
      <c r="P579" s="234"/>
    </row>
    <row r="580" spans="6:16">
      <c r="F580" s="235"/>
      <c r="G580" s="235"/>
      <c r="H580" s="235"/>
      <c r="I580" s="235"/>
      <c r="J580" s="235"/>
      <c r="K580" s="235"/>
      <c r="L580" s="235"/>
      <c r="M580" s="235"/>
      <c r="N580" s="235"/>
      <c r="O580" s="235"/>
      <c r="P580" s="234"/>
    </row>
    <row r="581" spans="6:16">
      <c r="F581" s="235"/>
      <c r="G581" s="235"/>
      <c r="H581" s="235"/>
      <c r="I581" s="235"/>
      <c r="J581" s="235"/>
      <c r="K581" s="235"/>
      <c r="L581" s="235"/>
      <c r="M581" s="235"/>
      <c r="N581" s="235"/>
      <c r="O581" s="235"/>
      <c r="P581" s="234"/>
    </row>
    <row r="582" spans="6:16">
      <c r="F582" s="235"/>
      <c r="G582" s="235"/>
      <c r="H582" s="235"/>
      <c r="I582" s="235"/>
      <c r="J582" s="235"/>
      <c r="K582" s="235"/>
      <c r="L582" s="235"/>
      <c r="M582" s="235"/>
      <c r="N582" s="235"/>
      <c r="O582" s="235"/>
      <c r="P582" s="234"/>
    </row>
    <row r="583" spans="6:16">
      <c r="F583" s="235"/>
      <c r="G583" s="235"/>
      <c r="H583" s="235"/>
      <c r="I583" s="235"/>
      <c r="J583" s="235"/>
      <c r="K583" s="235"/>
      <c r="L583" s="235"/>
      <c r="M583" s="235"/>
      <c r="N583" s="235"/>
      <c r="O583" s="235"/>
      <c r="P583" s="234"/>
    </row>
    <row r="584" spans="6:16">
      <c r="F584" s="235"/>
      <c r="G584" s="235"/>
      <c r="H584" s="235"/>
      <c r="I584" s="235"/>
      <c r="J584" s="235"/>
      <c r="K584" s="235"/>
      <c r="L584" s="235"/>
      <c r="M584" s="235"/>
      <c r="N584" s="235"/>
      <c r="O584" s="235"/>
      <c r="P584" s="234"/>
    </row>
    <row r="585" spans="6:16">
      <c r="F585" s="235"/>
      <c r="G585" s="235"/>
      <c r="H585" s="235"/>
      <c r="I585" s="235"/>
      <c r="J585" s="235"/>
      <c r="K585" s="235"/>
      <c r="L585" s="235"/>
      <c r="M585" s="235"/>
      <c r="N585" s="235"/>
      <c r="O585" s="235"/>
      <c r="P585" s="234"/>
    </row>
    <row r="586" spans="6:16">
      <c r="F586" s="235"/>
      <c r="G586" s="235"/>
      <c r="H586" s="235"/>
      <c r="I586" s="235"/>
      <c r="J586" s="235"/>
      <c r="K586" s="235"/>
      <c r="L586" s="235"/>
      <c r="M586" s="235"/>
      <c r="N586" s="235"/>
      <c r="O586" s="235"/>
      <c r="P586" s="234"/>
    </row>
    <row r="587" spans="6:16">
      <c r="F587" s="235"/>
      <c r="G587" s="235"/>
      <c r="H587" s="235"/>
      <c r="I587" s="235"/>
      <c r="J587" s="235"/>
      <c r="K587" s="235"/>
      <c r="L587" s="235"/>
      <c r="M587" s="235"/>
      <c r="N587" s="235"/>
      <c r="O587" s="235"/>
      <c r="P587" s="234"/>
    </row>
    <row r="588" spans="6:16">
      <c r="F588" s="235"/>
      <c r="G588" s="235"/>
      <c r="H588" s="235"/>
      <c r="I588" s="235"/>
      <c r="J588" s="235"/>
      <c r="K588" s="235"/>
      <c r="L588" s="235"/>
      <c r="M588" s="235"/>
      <c r="N588" s="235"/>
      <c r="O588" s="235"/>
      <c r="P588" s="234"/>
    </row>
    <row r="589" spans="6:16">
      <c r="F589" s="235"/>
      <c r="G589" s="235"/>
      <c r="H589" s="235"/>
      <c r="I589" s="235"/>
      <c r="J589" s="235"/>
      <c r="K589" s="235"/>
      <c r="L589" s="235"/>
      <c r="M589" s="235"/>
      <c r="N589" s="235"/>
      <c r="O589" s="235"/>
      <c r="P589" s="234"/>
    </row>
    <row r="590" spans="6:16">
      <c r="F590" s="235"/>
      <c r="G590" s="235"/>
      <c r="H590" s="235"/>
      <c r="I590" s="235"/>
      <c r="J590" s="235"/>
      <c r="K590" s="235"/>
      <c r="L590" s="235"/>
      <c r="M590" s="235"/>
      <c r="N590" s="235"/>
      <c r="O590" s="235"/>
      <c r="P590" s="234"/>
    </row>
    <row r="591" spans="6:16">
      <c r="F591" s="235"/>
      <c r="G591" s="235"/>
      <c r="H591" s="235"/>
      <c r="I591" s="235"/>
      <c r="J591" s="235"/>
      <c r="K591" s="235"/>
      <c r="L591" s="235"/>
      <c r="M591" s="235"/>
      <c r="N591" s="235"/>
      <c r="O591" s="235"/>
      <c r="P591" s="234"/>
    </row>
    <row r="592" spans="6:16">
      <c r="F592" s="235"/>
      <c r="G592" s="235"/>
      <c r="H592" s="235"/>
      <c r="I592" s="235"/>
      <c r="J592" s="235"/>
      <c r="K592" s="235"/>
      <c r="L592" s="235"/>
      <c r="M592" s="235"/>
      <c r="N592" s="235"/>
      <c r="O592" s="235"/>
      <c r="P592" s="234"/>
    </row>
    <row r="593" spans="6:16">
      <c r="F593" s="235"/>
      <c r="G593" s="235"/>
      <c r="H593" s="235"/>
      <c r="I593" s="235"/>
      <c r="J593" s="235"/>
      <c r="K593" s="235"/>
      <c r="L593" s="235"/>
      <c r="M593" s="235"/>
      <c r="N593" s="235"/>
      <c r="O593" s="235"/>
      <c r="P593" s="234"/>
    </row>
    <row r="594" spans="6:16">
      <c r="F594" s="235"/>
      <c r="G594" s="235"/>
      <c r="H594" s="235"/>
      <c r="I594" s="235"/>
      <c r="J594" s="235"/>
      <c r="K594" s="235"/>
      <c r="L594" s="235"/>
      <c r="M594" s="235"/>
      <c r="N594" s="235"/>
      <c r="O594" s="235"/>
      <c r="P594" s="234"/>
    </row>
    <row r="595" spans="6:16">
      <c r="F595" s="235"/>
      <c r="G595" s="235"/>
      <c r="H595" s="235"/>
      <c r="I595" s="235"/>
      <c r="J595" s="235"/>
      <c r="K595" s="235"/>
      <c r="L595" s="235"/>
      <c r="M595" s="235"/>
      <c r="N595" s="235"/>
      <c r="O595" s="235"/>
      <c r="P595" s="234"/>
    </row>
    <row r="596" spans="6:16">
      <c r="F596" s="235"/>
      <c r="G596" s="235"/>
      <c r="H596" s="235"/>
      <c r="I596" s="235"/>
      <c r="J596" s="235"/>
      <c r="K596" s="235"/>
      <c r="L596" s="235"/>
      <c r="M596" s="235"/>
      <c r="N596" s="235"/>
      <c r="O596" s="235"/>
      <c r="P596" s="234"/>
    </row>
    <row r="597" spans="6:16">
      <c r="F597" s="235"/>
      <c r="G597" s="235"/>
      <c r="H597" s="235"/>
      <c r="I597" s="235"/>
      <c r="J597" s="235"/>
      <c r="K597" s="235"/>
      <c r="L597" s="235"/>
      <c r="M597" s="235"/>
      <c r="N597" s="235"/>
      <c r="O597" s="235"/>
      <c r="P597" s="234"/>
    </row>
    <row r="598" spans="6:16">
      <c r="F598" s="235"/>
      <c r="G598" s="235"/>
      <c r="H598" s="235"/>
      <c r="I598" s="235"/>
      <c r="J598" s="235"/>
      <c r="K598" s="235"/>
      <c r="L598" s="235"/>
      <c r="M598" s="235"/>
      <c r="N598" s="235"/>
      <c r="O598" s="235"/>
      <c r="P598" s="234"/>
    </row>
    <row r="599" spans="6:16">
      <c r="F599" s="235"/>
      <c r="G599" s="235"/>
      <c r="H599" s="235"/>
      <c r="I599" s="235"/>
      <c r="J599" s="235"/>
      <c r="K599" s="235"/>
      <c r="L599" s="235"/>
      <c r="M599" s="235"/>
      <c r="N599" s="235"/>
      <c r="O599" s="235"/>
      <c r="P599" s="234"/>
    </row>
    <row r="600" spans="6:16">
      <c r="F600" s="235"/>
      <c r="G600" s="235"/>
      <c r="H600" s="235"/>
      <c r="I600" s="235"/>
      <c r="J600" s="235"/>
      <c r="K600" s="235"/>
      <c r="L600" s="235"/>
      <c r="M600" s="235"/>
      <c r="N600" s="235"/>
      <c r="O600" s="235"/>
      <c r="P600" s="234"/>
    </row>
    <row r="601" spans="6:16">
      <c r="F601" s="235"/>
      <c r="G601" s="235"/>
      <c r="H601" s="235"/>
      <c r="I601" s="235"/>
      <c r="J601" s="235"/>
      <c r="K601" s="235"/>
      <c r="L601" s="235"/>
      <c r="M601" s="235"/>
      <c r="N601" s="235"/>
      <c r="O601" s="235"/>
      <c r="P601" s="234"/>
    </row>
    <row r="602" spans="6:16">
      <c r="F602" s="235"/>
      <c r="G602" s="235"/>
      <c r="H602" s="235"/>
      <c r="I602" s="235"/>
      <c r="J602" s="235"/>
      <c r="K602" s="235"/>
      <c r="L602" s="235"/>
      <c r="M602" s="235"/>
      <c r="N602" s="235"/>
      <c r="O602" s="235"/>
      <c r="P602" s="234"/>
    </row>
    <row r="603" spans="6:16">
      <c r="F603" s="235"/>
      <c r="G603" s="235"/>
      <c r="H603" s="235"/>
      <c r="I603" s="235"/>
      <c r="J603" s="235"/>
      <c r="K603" s="235"/>
      <c r="L603" s="235"/>
      <c r="M603" s="235"/>
      <c r="N603" s="235"/>
      <c r="O603" s="235"/>
      <c r="P603" s="234"/>
    </row>
    <row r="604" spans="6:16">
      <c r="F604" s="235"/>
      <c r="G604" s="235"/>
      <c r="H604" s="235"/>
      <c r="I604" s="235"/>
      <c r="J604" s="235"/>
      <c r="K604" s="235"/>
      <c r="L604" s="235"/>
      <c r="M604" s="235"/>
      <c r="N604" s="235"/>
      <c r="O604" s="235"/>
      <c r="P604" s="234"/>
    </row>
    <row r="605" spans="6:16">
      <c r="F605" s="235"/>
      <c r="G605" s="235"/>
      <c r="H605" s="235"/>
      <c r="I605" s="235"/>
      <c r="J605" s="235"/>
      <c r="K605" s="235"/>
      <c r="L605" s="235"/>
      <c r="M605" s="235"/>
      <c r="N605" s="235"/>
      <c r="O605" s="235"/>
      <c r="P605" s="234"/>
    </row>
    <row r="606" spans="6:16">
      <c r="F606" s="235"/>
      <c r="G606" s="235"/>
      <c r="H606" s="235"/>
      <c r="I606" s="235"/>
      <c r="J606" s="235"/>
      <c r="K606" s="235"/>
      <c r="L606" s="235"/>
      <c r="M606" s="235"/>
      <c r="N606" s="235"/>
      <c r="O606" s="235"/>
      <c r="P606" s="234"/>
    </row>
    <row r="607" spans="6:16">
      <c r="F607" s="235"/>
      <c r="G607" s="235"/>
      <c r="H607" s="235"/>
      <c r="I607" s="235"/>
      <c r="J607" s="235"/>
      <c r="K607" s="235"/>
      <c r="L607" s="235"/>
      <c r="M607" s="235"/>
      <c r="N607" s="235"/>
      <c r="O607" s="235"/>
      <c r="P607" s="234"/>
    </row>
    <row r="608" spans="6:16">
      <c r="F608" s="235"/>
      <c r="G608" s="235"/>
      <c r="H608" s="235"/>
      <c r="I608" s="235"/>
      <c r="J608" s="235"/>
      <c r="K608" s="235"/>
      <c r="L608" s="235"/>
      <c r="M608" s="235"/>
      <c r="N608" s="235"/>
      <c r="O608" s="235"/>
      <c r="P608" s="234"/>
    </row>
    <row r="609" spans="6:16">
      <c r="F609" s="235"/>
      <c r="G609" s="235"/>
      <c r="H609" s="235"/>
      <c r="I609" s="235"/>
      <c r="J609" s="235"/>
      <c r="K609" s="235"/>
      <c r="L609" s="235"/>
      <c r="M609" s="235"/>
      <c r="N609" s="235"/>
      <c r="O609" s="235"/>
      <c r="P609" s="234"/>
    </row>
    <row r="610" spans="6:16">
      <c r="F610" s="235"/>
      <c r="G610" s="235"/>
      <c r="H610" s="235"/>
      <c r="I610" s="235"/>
      <c r="J610" s="235"/>
      <c r="K610" s="235"/>
      <c r="L610" s="235"/>
      <c r="M610" s="235"/>
      <c r="N610" s="235"/>
      <c r="O610" s="235"/>
      <c r="P610" s="234"/>
    </row>
    <row r="611" spans="6:16">
      <c r="F611" s="235"/>
      <c r="G611" s="235"/>
      <c r="H611" s="235"/>
      <c r="I611" s="235"/>
      <c r="J611" s="235"/>
      <c r="K611" s="235"/>
      <c r="L611" s="235"/>
      <c r="M611" s="235"/>
      <c r="N611" s="235"/>
      <c r="O611" s="235"/>
      <c r="P611" s="234"/>
    </row>
    <row r="612" spans="6:16">
      <c r="F612" s="235"/>
      <c r="G612" s="235"/>
      <c r="H612" s="235"/>
      <c r="I612" s="235"/>
      <c r="J612" s="235"/>
      <c r="K612" s="235"/>
      <c r="L612" s="235"/>
      <c r="M612" s="235"/>
      <c r="N612" s="235"/>
      <c r="O612" s="235"/>
      <c r="P612" s="234"/>
    </row>
    <row r="613" spans="6:16">
      <c r="F613" s="235"/>
      <c r="G613" s="235"/>
      <c r="H613" s="235"/>
      <c r="I613" s="235"/>
      <c r="J613" s="235"/>
      <c r="K613" s="235"/>
      <c r="L613" s="235"/>
      <c r="M613" s="235"/>
      <c r="N613" s="235"/>
      <c r="O613" s="235"/>
      <c r="P613" s="234"/>
    </row>
    <row r="614" spans="6:16">
      <c r="F614" s="235"/>
      <c r="G614" s="235"/>
      <c r="H614" s="235"/>
      <c r="I614" s="235"/>
      <c r="J614" s="235"/>
      <c r="K614" s="235"/>
      <c r="L614" s="235"/>
      <c r="M614" s="235"/>
      <c r="N614" s="235"/>
      <c r="O614" s="235"/>
      <c r="P614" s="234"/>
    </row>
    <row r="615" spans="6:16">
      <c r="F615" s="235"/>
      <c r="G615" s="235"/>
      <c r="H615" s="235"/>
      <c r="I615" s="235"/>
      <c r="J615" s="235"/>
      <c r="K615" s="235"/>
      <c r="L615" s="235"/>
      <c r="M615" s="235"/>
      <c r="N615" s="235"/>
      <c r="O615" s="235"/>
      <c r="P615" s="234"/>
    </row>
    <row r="616" spans="6:16">
      <c r="F616" s="235"/>
      <c r="G616" s="235"/>
      <c r="H616" s="235"/>
      <c r="I616" s="235"/>
      <c r="J616" s="235"/>
      <c r="K616" s="235"/>
      <c r="L616" s="235"/>
      <c r="M616" s="235"/>
      <c r="N616" s="235"/>
      <c r="O616" s="235"/>
      <c r="P616" s="234"/>
    </row>
    <row r="617" spans="6:16">
      <c r="F617" s="235"/>
      <c r="G617" s="235"/>
      <c r="H617" s="235"/>
      <c r="I617" s="235"/>
      <c r="J617" s="235"/>
      <c r="K617" s="235"/>
      <c r="L617" s="235"/>
      <c r="M617" s="235"/>
      <c r="N617" s="235"/>
      <c r="O617" s="235"/>
      <c r="P617" s="234"/>
    </row>
    <row r="618" spans="6:16">
      <c r="F618" s="235"/>
      <c r="G618" s="235"/>
      <c r="H618" s="235"/>
      <c r="I618" s="235"/>
      <c r="J618" s="235"/>
      <c r="K618" s="235"/>
      <c r="L618" s="235"/>
      <c r="M618" s="235"/>
      <c r="N618" s="235"/>
      <c r="O618" s="235"/>
      <c r="P618" s="234"/>
    </row>
    <row r="619" spans="6:16">
      <c r="F619" s="235"/>
      <c r="G619" s="235"/>
      <c r="H619" s="235"/>
      <c r="I619" s="235"/>
      <c r="J619" s="235"/>
      <c r="K619" s="235"/>
      <c r="L619" s="235"/>
      <c r="M619" s="235"/>
      <c r="N619" s="235"/>
      <c r="O619" s="235"/>
      <c r="P619" s="234"/>
    </row>
    <row r="620" spans="6:16">
      <c r="F620" s="235"/>
      <c r="G620" s="235"/>
      <c r="H620" s="235"/>
      <c r="I620" s="235"/>
      <c r="J620" s="235"/>
      <c r="K620" s="235"/>
      <c r="L620" s="235"/>
      <c r="M620" s="235"/>
      <c r="N620" s="235"/>
      <c r="O620" s="235"/>
      <c r="P620" s="234"/>
    </row>
    <row r="621" spans="6:16">
      <c r="F621" s="235"/>
      <c r="G621" s="235"/>
      <c r="H621" s="235"/>
      <c r="I621" s="235"/>
      <c r="J621" s="235"/>
      <c r="K621" s="235"/>
      <c r="L621" s="235"/>
      <c r="M621" s="235"/>
      <c r="N621" s="235"/>
      <c r="O621" s="235"/>
      <c r="P621" s="234"/>
    </row>
    <row r="622" spans="6:16">
      <c r="F622" s="235"/>
      <c r="G622" s="235"/>
      <c r="H622" s="235"/>
      <c r="I622" s="235"/>
      <c r="J622" s="235"/>
      <c r="K622" s="235"/>
      <c r="L622" s="235"/>
      <c r="M622" s="235"/>
      <c r="N622" s="235"/>
      <c r="O622" s="235"/>
      <c r="P622" s="234"/>
    </row>
    <row r="623" spans="6:16">
      <c r="F623" s="235"/>
      <c r="G623" s="235"/>
      <c r="H623" s="235"/>
      <c r="I623" s="235"/>
      <c r="J623" s="235"/>
      <c r="K623" s="235"/>
      <c r="L623" s="235"/>
      <c r="M623" s="235"/>
      <c r="N623" s="235"/>
      <c r="O623" s="235"/>
      <c r="P623" s="234"/>
    </row>
    <row r="624" spans="6:16">
      <c r="F624" s="235"/>
      <c r="G624" s="235"/>
      <c r="H624" s="235"/>
      <c r="I624" s="235"/>
      <c r="J624" s="235"/>
      <c r="K624" s="235"/>
      <c r="L624" s="235"/>
      <c r="M624" s="235"/>
      <c r="N624" s="235"/>
      <c r="O624" s="235"/>
      <c r="P624" s="234"/>
    </row>
    <row r="625" spans="6:16">
      <c r="F625" s="235"/>
      <c r="G625" s="235"/>
      <c r="H625" s="235"/>
      <c r="I625" s="235"/>
      <c r="J625" s="235"/>
      <c r="K625" s="235"/>
      <c r="L625" s="235"/>
      <c r="M625" s="235"/>
      <c r="N625" s="235"/>
      <c r="O625" s="235"/>
      <c r="P625" s="234"/>
    </row>
    <row r="626" spans="6:16">
      <c r="F626" s="235"/>
      <c r="G626" s="235"/>
      <c r="H626" s="235"/>
      <c r="I626" s="235"/>
      <c r="J626" s="235"/>
      <c r="K626" s="235"/>
      <c r="L626" s="235"/>
      <c r="M626" s="235"/>
      <c r="N626" s="235"/>
      <c r="O626" s="235"/>
      <c r="P626" s="234"/>
    </row>
    <row r="627" spans="6:16">
      <c r="F627" s="235"/>
      <c r="G627" s="235"/>
      <c r="H627" s="235"/>
      <c r="I627" s="235"/>
      <c r="J627" s="235"/>
      <c r="K627" s="235"/>
      <c r="L627" s="235"/>
      <c r="M627" s="235"/>
      <c r="N627" s="235"/>
      <c r="O627" s="235"/>
      <c r="P627" s="234"/>
    </row>
    <row r="628" spans="6:16">
      <c r="F628" s="235"/>
      <c r="G628" s="235"/>
      <c r="H628" s="235"/>
      <c r="I628" s="235"/>
      <c r="J628" s="235"/>
      <c r="K628" s="235"/>
      <c r="L628" s="235"/>
      <c r="M628" s="235"/>
      <c r="N628" s="235"/>
      <c r="O628" s="235"/>
      <c r="P628" s="234"/>
    </row>
    <row r="629" spans="6:16">
      <c r="F629" s="235"/>
      <c r="G629" s="235"/>
      <c r="H629" s="235"/>
      <c r="I629" s="235"/>
      <c r="J629" s="235"/>
      <c r="K629" s="235"/>
      <c r="L629" s="235"/>
      <c r="M629" s="235"/>
      <c r="N629" s="235"/>
      <c r="O629" s="235"/>
      <c r="P629" s="234"/>
    </row>
    <row r="630" spans="6:16">
      <c r="F630" s="235"/>
      <c r="G630" s="235"/>
      <c r="H630" s="235"/>
      <c r="I630" s="235"/>
      <c r="J630" s="235"/>
      <c r="K630" s="235"/>
      <c r="L630" s="235"/>
      <c r="M630" s="235"/>
      <c r="N630" s="235"/>
      <c r="O630" s="235"/>
      <c r="P630" s="234"/>
    </row>
    <row r="631" spans="6:16">
      <c r="F631" s="235"/>
      <c r="G631" s="235"/>
      <c r="H631" s="235"/>
      <c r="I631" s="235"/>
      <c r="J631" s="235"/>
      <c r="K631" s="235"/>
      <c r="L631" s="235"/>
      <c r="M631" s="235"/>
      <c r="N631" s="235"/>
      <c r="O631" s="235"/>
      <c r="P631" s="234"/>
    </row>
    <row r="632" spans="6:16">
      <c r="F632" s="235"/>
      <c r="G632" s="235"/>
      <c r="H632" s="235"/>
      <c r="I632" s="235"/>
      <c r="J632" s="235"/>
      <c r="K632" s="235"/>
      <c r="L632" s="235"/>
      <c r="M632" s="235"/>
      <c r="N632" s="235"/>
      <c r="O632" s="235"/>
      <c r="P632" s="234"/>
    </row>
    <row r="633" spans="6:16">
      <c r="F633" s="235"/>
      <c r="G633" s="235"/>
      <c r="H633" s="235"/>
      <c r="I633" s="235"/>
      <c r="J633" s="235"/>
      <c r="K633" s="235"/>
      <c r="L633" s="235"/>
      <c r="M633" s="235"/>
      <c r="N633" s="235"/>
      <c r="O633" s="235"/>
      <c r="P633" s="234"/>
    </row>
    <row r="634" spans="6:16">
      <c r="F634" s="235"/>
      <c r="G634" s="235"/>
      <c r="H634" s="235"/>
      <c r="I634" s="235"/>
      <c r="J634" s="235"/>
      <c r="K634" s="235"/>
      <c r="L634" s="235"/>
      <c r="M634" s="235"/>
      <c r="N634" s="235"/>
      <c r="O634" s="235"/>
      <c r="P634" s="234"/>
    </row>
    <row r="635" spans="6:16">
      <c r="F635" s="235"/>
      <c r="G635" s="235"/>
      <c r="H635" s="235"/>
      <c r="I635" s="235"/>
      <c r="J635" s="235"/>
      <c r="K635" s="235"/>
      <c r="L635" s="235"/>
      <c r="M635" s="235"/>
      <c r="N635" s="235"/>
      <c r="O635" s="235"/>
      <c r="P635" s="234"/>
    </row>
    <row r="636" spans="6:16">
      <c r="F636" s="235"/>
      <c r="G636" s="235"/>
      <c r="H636" s="235"/>
      <c r="I636" s="235"/>
      <c r="J636" s="235"/>
      <c r="K636" s="235"/>
      <c r="L636" s="235"/>
      <c r="M636" s="235"/>
      <c r="N636" s="235"/>
      <c r="O636" s="235"/>
      <c r="P636" s="234"/>
    </row>
    <row r="637" spans="6:16">
      <c r="F637" s="235"/>
      <c r="G637" s="235"/>
      <c r="H637" s="235"/>
      <c r="I637" s="235"/>
      <c r="J637" s="235"/>
      <c r="K637" s="235"/>
      <c r="L637" s="235"/>
      <c r="M637" s="235"/>
      <c r="N637" s="235"/>
      <c r="O637" s="235"/>
      <c r="P637" s="234"/>
    </row>
    <row r="638" spans="6:16">
      <c r="F638" s="235"/>
      <c r="G638" s="235"/>
      <c r="H638" s="235"/>
      <c r="I638" s="235"/>
      <c r="J638" s="235"/>
      <c r="K638" s="235"/>
      <c r="L638" s="235"/>
      <c r="M638" s="235"/>
      <c r="N638" s="235"/>
      <c r="O638" s="235"/>
      <c r="P638" s="234"/>
    </row>
    <row r="639" spans="6:16">
      <c r="F639" s="235"/>
      <c r="G639" s="235"/>
      <c r="H639" s="235"/>
      <c r="I639" s="235"/>
      <c r="J639" s="235"/>
      <c r="K639" s="235"/>
      <c r="L639" s="235"/>
      <c r="M639" s="235"/>
      <c r="N639" s="235"/>
      <c r="O639" s="235"/>
      <c r="P639" s="234"/>
    </row>
    <row r="640" spans="6:16">
      <c r="F640" s="235"/>
      <c r="G640" s="235"/>
      <c r="H640" s="235"/>
      <c r="I640" s="235"/>
      <c r="J640" s="235"/>
      <c r="K640" s="235"/>
      <c r="L640" s="235"/>
      <c r="M640" s="235"/>
      <c r="N640" s="235"/>
      <c r="O640" s="235"/>
      <c r="P640" s="234"/>
    </row>
    <row r="641" spans="6:16">
      <c r="F641" s="235"/>
      <c r="G641" s="235"/>
      <c r="H641" s="235"/>
      <c r="I641" s="235"/>
      <c r="J641" s="235"/>
      <c r="K641" s="235"/>
      <c r="L641" s="235"/>
      <c r="M641" s="235"/>
      <c r="N641" s="235"/>
      <c r="O641" s="235"/>
      <c r="P641" s="234"/>
    </row>
    <row r="642" spans="6:16">
      <c r="F642" s="235"/>
      <c r="G642" s="235"/>
      <c r="H642" s="235"/>
      <c r="I642" s="235"/>
      <c r="J642" s="235"/>
      <c r="K642" s="235"/>
      <c r="L642" s="235"/>
      <c r="M642" s="235"/>
      <c r="N642" s="235"/>
      <c r="O642" s="235"/>
      <c r="P642" s="234"/>
    </row>
    <row r="643" spans="6:16">
      <c r="F643" s="235"/>
      <c r="G643" s="235"/>
      <c r="H643" s="235"/>
      <c r="I643" s="235"/>
      <c r="J643" s="235"/>
      <c r="K643" s="235"/>
      <c r="L643" s="235"/>
      <c r="M643" s="235"/>
      <c r="N643" s="235"/>
      <c r="O643" s="235"/>
      <c r="P643" s="234"/>
    </row>
    <row r="644" spans="6:16">
      <c r="F644" s="235"/>
      <c r="G644" s="235"/>
      <c r="H644" s="235"/>
      <c r="I644" s="235"/>
      <c r="J644" s="235"/>
      <c r="K644" s="235"/>
      <c r="L644" s="235"/>
      <c r="M644" s="235"/>
      <c r="N644" s="235"/>
      <c r="O644" s="235"/>
      <c r="P644" s="234"/>
    </row>
    <row r="645" spans="6:16">
      <c r="F645" s="235"/>
      <c r="G645" s="235"/>
      <c r="H645" s="235"/>
      <c r="I645" s="235"/>
      <c r="J645" s="235"/>
      <c r="K645" s="235"/>
      <c r="L645" s="235"/>
      <c r="M645" s="235"/>
      <c r="N645" s="235"/>
      <c r="O645" s="235"/>
      <c r="P645" s="234"/>
    </row>
    <row r="646" spans="6:16">
      <c r="F646" s="235"/>
      <c r="G646" s="235"/>
      <c r="H646" s="235"/>
      <c r="I646" s="235"/>
      <c r="J646" s="235"/>
      <c r="K646" s="235"/>
      <c r="L646" s="235"/>
      <c r="M646" s="235"/>
      <c r="N646" s="235"/>
      <c r="O646" s="235"/>
      <c r="P646" s="234"/>
    </row>
    <row r="647" spans="6:16">
      <c r="F647" s="235"/>
      <c r="G647" s="235"/>
      <c r="H647" s="235"/>
      <c r="I647" s="235"/>
      <c r="J647" s="235"/>
      <c r="K647" s="235"/>
      <c r="L647" s="235"/>
      <c r="M647" s="235"/>
      <c r="N647" s="235"/>
      <c r="O647" s="235"/>
      <c r="P647" s="234"/>
    </row>
    <row r="648" spans="6:16">
      <c r="F648" s="235"/>
      <c r="G648" s="235"/>
      <c r="H648" s="235"/>
      <c r="I648" s="235"/>
      <c r="J648" s="235"/>
      <c r="K648" s="235"/>
      <c r="L648" s="235"/>
      <c r="M648" s="235"/>
      <c r="N648" s="235"/>
      <c r="O648" s="235"/>
      <c r="P648" s="234"/>
    </row>
    <row r="649" spans="6:16">
      <c r="F649" s="235"/>
      <c r="G649" s="235"/>
      <c r="H649" s="235"/>
      <c r="I649" s="235"/>
      <c r="J649" s="235"/>
      <c r="K649" s="235"/>
      <c r="L649" s="235"/>
      <c r="M649" s="235"/>
      <c r="N649" s="235"/>
      <c r="O649" s="235"/>
      <c r="P649" s="234"/>
    </row>
    <row r="650" spans="6:16">
      <c r="F650" s="235"/>
      <c r="G650" s="235"/>
      <c r="H650" s="235"/>
      <c r="I650" s="235"/>
      <c r="J650" s="235"/>
      <c r="K650" s="235"/>
      <c r="L650" s="235"/>
      <c r="M650" s="235"/>
      <c r="N650" s="235"/>
      <c r="O650" s="235"/>
      <c r="P650" s="234"/>
    </row>
    <row r="651" spans="6:16">
      <c r="F651" s="235"/>
      <c r="G651" s="235"/>
      <c r="H651" s="235"/>
      <c r="I651" s="235"/>
      <c r="J651" s="235"/>
      <c r="K651" s="235"/>
      <c r="L651" s="235"/>
      <c r="M651" s="235"/>
      <c r="N651" s="235"/>
      <c r="O651" s="235"/>
      <c r="P651" s="234"/>
    </row>
    <row r="652" spans="6:16">
      <c r="F652" s="235"/>
      <c r="G652" s="235"/>
      <c r="H652" s="235"/>
      <c r="I652" s="235"/>
      <c r="J652" s="235"/>
      <c r="K652" s="235"/>
      <c r="L652" s="235"/>
      <c r="M652" s="235"/>
      <c r="N652" s="235"/>
      <c r="O652" s="235"/>
      <c r="P652" s="234"/>
    </row>
    <row r="653" spans="6:16">
      <c r="F653" s="235"/>
      <c r="G653" s="235"/>
      <c r="H653" s="235"/>
      <c r="I653" s="235"/>
      <c r="J653" s="235"/>
      <c r="K653" s="235"/>
      <c r="L653" s="235"/>
      <c r="M653" s="235"/>
      <c r="N653" s="235"/>
      <c r="O653" s="235"/>
      <c r="P653" s="234"/>
    </row>
    <row r="654" spans="6:16">
      <c r="F654" s="235"/>
      <c r="G654" s="235"/>
      <c r="H654" s="235"/>
      <c r="I654" s="235"/>
      <c r="J654" s="235"/>
      <c r="K654" s="235"/>
      <c r="L654" s="235"/>
      <c r="M654" s="235"/>
      <c r="N654" s="235"/>
      <c r="O654" s="235"/>
      <c r="P654" s="234"/>
    </row>
    <row r="655" spans="6:16">
      <c r="F655" s="235"/>
      <c r="G655" s="235"/>
      <c r="H655" s="235"/>
      <c r="I655" s="235"/>
      <c r="J655" s="235"/>
      <c r="K655" s="235"/>
      <c r="L655" s="235"/>
      <c r="M655" s="235"/>
      <c r="N655" s="235"/>
      <c r="O655" s="235"/>
      <c r="P655" s="234"/>
    </row>
    <row r="656" spans="6:16">
      <c r="F656" s="235"/>
      <c r="G656" s="235"/>
      <c r="H656" s="235"/>
      <c r="I656" s="235"/>
      <c r="J656" s="235"/>
      <c r="K656" s="235"/>
      <c r="L656" s="235"/>
      <c r="M656" s="235"/>
      <c r="N656" s="235"/>
      <c r="O656" s="235"/>
      <c r="P656" s="234"/>
    </row>
    <row r="657" spans="6:16">
      <c r="F657" s="235"/>
      <c r="G657" s="235"/>
      <c r="H657" s="235"/>
      <c r="I657" s="235"/>
      <c r="J657" s="235"/>
      <c r="K657" s="235"/>
      <c r="L657" s="235"/>
      <c r="M657" s="235"/>
      <c r="N657" s="235"/>
      <c r="O657" s="235"/>
      <c r="P657" s="234"/>
    </row>
    <row r="658" spans="6:16">
      <c r="F658" s="235"/>
      <c r="G658" s="235"/>
      <c r="H658" s="235"/>
      <c r="I658" s="235"/>
      <c r="J658" s="235"/>
      <c r="K658" s="235"/>
      <c r="L658" s="235"/>
      <c r="M658" s="235"/>
      <c r="N658" s="235"/>
      <c r="O658" s="235"/>
      <c r="P658" s="234"/>
    </row>
    <row r="659" spans="6:16">
      <c r="F659" s="235"/>
      <c r="G659" s="235"/>
      <c r="H659" s="235"/>
      <c r="I659" s="235"/>
      <c r="J659" s="235"/>
      <c r="K659" s="235"/>
      <c r="L659" s="235"/>
      <c r="M659" s="235"/>
      <c r="N659" s="235"/>
      <c r="O659" s="235"/>
      <c r="P659" s="234"/>
    </row>
    <row r="660" spans="6:16">
      <c r="F660" s="235"/>
      <c r="G660" s="235"/>
      <c r="H660" s="235"/>
      <c r="I660" s="235"/>
      <c r="J660" s="235"/>
      <c r="K660" s="235"/>
      <c r="L660" s="235"/>
      <c r="M660" s="235"/>
      <c r="N660" s="235"/>
      <c r="O660" s="235"/>
      <c r="P660" s="234"/>
    </row>
    <row r="661" spans="6:16">
      <c r="F661" s="235"/>
      <c r="G661" s="235"/>
      <c r="H661" s="235"/>
      <c r="I661" s="235"/>
      <c r="J661" s="235"/>
      <c r="K661" s="235"/>
      <c r="L661" s="235"/>
      <c r="M661" s="235"/>
      <c r="N661" s="235"/>
      <c r="O661" s="235"/>
      <c r="P661" s="234"/>
    </row>
    <row r="662" spans="6:16">
      <c r="F662" s="235"/>
      <c r="G662" s="235"/>
      <c r="H662" s="235"/>
      <c r="I662" s="235"/>
      <c r="J662" s="235"/>
      <c r="K662" s="235"/>
      <c r="L662" s="235"/>
      <c r="M662" s="235"/>
      <c r="N662" s="235"/>
      <c r="O662" s="235"/>
      <c r="P662" s="234"/>
    </row>
    <row r="663" spans="6:16">
      <c r="F663" s="235"/>
      <c r="G663" s="235"/>
      <c r="H663" s="235"/>
      <c r="I663" s="235"/>
      <c r="J663" s="235"/>
      <c r="K663" s="235"/>
      <c r="L663" s="235"/>
      <c r="M663" s="235"/>
      <c r="N663" s="235"/>
      <c r="O663" s="235"/>
      <c r="P663" s="234"/>
    </row>
    <row r="664" spans="6:16">
      <c r="F664" s="235"/>
      <c r="G664" s="235"/>
      <c r="H664" s="235"/>
      <c r="I664" s="235"/>
      <c r="J664" s="235"/>
      <c r="K664" s="235"/>
      <c r="L664" s="235"/>
      <c r="M664" s="235"/>
      <c r="N664" s="235"/>
      <c r="O664" s="235"/>
      <c r="P664" s="234"/>
    </row>
    <row r="665" spans="6:16">
      <c r="F665" s="235"/>
      <c r="G665" s="235"/>
      <c r="H665" s="235"/>
      <c r="I665" s="235"/>
      <c r="J665" s="235"/>
      <c r="K665" s="235"/>
      <c r="L665" s="235"/>
      <c r="M665" s="235"/>
      <c r="N665" s="235"/>
      <c r="O665" s="235"/>
      <c r="P665" s="234"/>
    </row>
    <row r="666" spans="6:16">
      <c r="F666" s="235"/>
      <c r="G666" s="235"/>
      <c r="H666" s="235"/>
      <c r="I666" s="235"/>
      <c r="J666" s="235"/>
      <c r="K666" s="235"/>
      <c r="L666" s="235"/>
      <c r="M666" s="235"/>
      <c r="N666" s="235"/>
      <c r="O666" s="235"/>
      <c r="P666" s="234"/>
    </row>
    <row r="667" spans="6:16">
      <c r="F667" s="235"/>
      <c r="G667" s="235"/>
      <c r="H667" s="235"/>
      <c r="I667" s="235"/>
      <c r="J667" s="235"/>
      <c r="K667" s="235"/>
      <c r="L667" s="235"/>
      <c r="M667" s="235"/>
      <c r="N667" s="235"/>
      <c r="O667" s="235"/>
      <c r="P667" s="234"/>
    </row>
    <row r="668" spans="6:16">
      <c r="F668" s="235"/>
      <c r="G668" s="235"/>
      <c r="H668" s="235"/>
      <c r="I668" s="235"/>
      <c r="J668" s="235"/>
      <c r="K668" s="235"/>
      <c r="L668" s="235"/>
      <c r="M668" s="235"/>
      <c r="N668" s="235"/>
      <c r="O668" s="235"/>
      <c r="P668" s="234"/>
    </row>
    <row r="669" spans="6:16">
      <c r="F669" s="235"/>
      <c r="G669" s="235"/>
      <c r="H669" s="235"/>
      <c r="I669" s="235"/>
      <c r="J669" s="235"/>
      <c r="K669" s="235"/>
      <c r="L669" s="235"/>
      <c r="M669" s="235"/>
      <c r="N669" s="235"/>
      <c r="O669" s="235"/>
      <c r="P669" s="234"/>
    </row>
    <row r="670" spans="6:16">
      <c r="F670" s="235"/>
      <c r="G670" s="235"/>
      <c r="H670" s="235"/>
      <c r="I670" s="235"/>
      <c r="J670" s="235"/>
      <c r="K670" s="235"/>
      <c r="L670" s="235"/>
      <c r="M670" s="235"/>
      <c r="N670" s="235"/>
      <c r="O670" s="235"/>
      <c r="P670" s="234"/>
    </row>
    <row r="671" spans="6:16">
      <c r="F671" s="235"/>
      <c r="G671" s="235"/>
      <c r="H671" s="235"/>
      <c r="I671" s="235"/>
      <c r="J671" s="235"/>
      <c r="K671" s="235"/>
      <c r="L671" s="235"/>
      <c r="M671" s="235"/>
      <c r="N671" s="235"/>
      <c r="O671" s="235"/>
      <c r="P671" s="234"/>
    </row>
    <row r="672" spans="6:16">
      <c r="F672" s="235"/>
      <c r="G672" s="235"/>
      <c r="H672" s="235"/>
      <c r="I672" s="235"/>
      <c r="J672" s="235"/>
      <c r="K672" s="235"/>
      <c r="L672" s="235"/>
      <c r="M672" s="235"/>
      <c r="N672" s="235"/>
      <c r="O672" s="235"/>
      <c r="P672" s="234"/>
    </row>
    <row r="673" spans="6:16">
      <c r="F673" s="235"/>
      <c r="G673" s="235"/>
      <c r="H673" s="235"/>
      <c r="I673" s="235"/>
      <c r="J673" s="235"/>
      <c r="K673" s="235"/>
      <c r="L673" s="235"/>
      <c r="M673" s="235"/>
      <c r="N673" s="235"/>
      <c r="O673" s="235"/>
      <c r="P673" s="234"/>
    </row>
    <row r="674" spans="6:16">
      <c r="F674" s="235"/>
      <c r="G674" s="235"/>
      <c r="H674" s="235"/>
      <c r="I674" s="235"/>
      <c r="J674" s="235"/>
      <c r="K674" s="235"/>
      <c r="L674" s="235"/>
      <c r="M674" s="235"/>
      <c r="N674" s="235"/>
      <c r="O674" s="235"/>
      <c r="P674" s="234"/>
    </row>
    <row r="675" spans="6:16">
      <c r="F675" s="235"/>
      <c r="G675" s="235"/>
      <c r="H675" s="235"/>
      <c r="I675" s="235"/>
      <c r="J675" s="235"/>
      <c r="K675" s="235"/>
      <c r="L675" s="235"/>
      <c r="M675" s="235"/>
      <c r="N675" s="235"/>
      <c r="O675" s="235"/>
      <c r="P675" s="234"/>
    </row>
    <row r="676" spans="6:16">
      <c r="F676" s="235"/>
      <c r="G676" s="235"/>
      <c r="H676" s="235"/>
      <c r="I676" s="235"/>
      <c r="J676" s="235"/>
      <c r="K676" s="235"/>
      <c r="L676" s="235"/>
      <c r="M676" s="235"/>
      <c r="N676" s="235"/>
      <c r="O676" s="235"/>
      <c r="P676" s="234"/>
    </row>
    <row r="677" spans="6:16">
      <c r="F677" s="235"/>
      <c r="G677" s="235"/>
      <c r="H677" s="235"/>
      <c r="I677" s="235"/>
      <c r="J677" s="235"/>
      <c r="K677" s="235"/>
      <c r="L677" s="235"/>
      <c r="M677" s="235"/>
      <c r="N677" s="235"/>
      <c r="O677" s="235"/>
      <c r="P677" s="234"/>
    </row>
    <row r="678" spans="6:16">
      <c r="F678" s="235"/>
      <c r="G678" s="235"/>
      <c r="H678" s="235"/>
      <c r="I678" s="235"/>
      <c r="J678" s="235"/>
      <c r="K678" s="235"/>
      <c r="L678" s="235"/>
      <c r="M678" s="235"/>
      <c r="N678" s="235"/>
      <c r="O678" s="235"/>
      <c r="P678" s="234"/>
    </row>
    <row r="679" spans="6:16">
      <c r="F679" s="235"/>
      <c r="G679" s="235"/>
      <c r="H679" s="235"/>
      <c r="I679" s="235"/>
      <c r="J679" s="235"/>
      <c r="K679" s="235"/>
      <c r="L679" s="235"/>
      <c r="M679" s="235"/>
      <c r="N679" s="235"/>
      <c r="O679" s="235"/>
      <c r="P679" s="234"/>
    </row>
    <row r="680" spans="6:16">
      <c r="F680" s="235"/>
      <c r="G680" s="235"/>
      <c r="H680" s="235"/>
      <c r="I680" s="235"/>
      <c r="J680" s="235"/>
      <c r="K680" s="235"/>
      <c r="L680" s="235"/>
      <c r="M680" s="235"/>
      <c r="N680" s="235"/>
      <c r="O680" s="235"/>
      <c r="P680" s="234"/>
    </row>
    <row r="681" spans="6:16">
      <c r="F681" s="235"/>
      <c r="G681" s="235"/>
      <c r="H681" s="235"/>
      <c r="I681" s="235"/>
      <c r="J681" s="235"/>
      <c r="K681" s="235"/>
      <c r="L681" s="235"/>
      <c r="M681" s="235"/>
      <c r="N681" s="235"/>
      <c r="O681" s="235"/>
      <c r="P681" s="234"/>
    </row>
    <row r="682" spans="6:16">
      <c r="F682" s="235"/>
      <c r="G682" s="235"/>
      <c r="H682" s="235"/>
      <c r="I682" s="235"/>
      <c r="J682" s="235"/>
      <c r="K682" s="235"/>
      <c r="L682" s="235"/>
      <c r="M682" s="235"/>
      <c r="N682" s="235"/>
      <c r="O682" s="235"/>
      <c r="P682" s="234"/>
    </row>
    <row r="683" spans="6:16">
      <c r="F683" s="235"/>
      <c r="G683" s="235"/>
      <c r="H683" s="235"/>
      <c r="I683" s="235"/>
      <c r="J683" s="235"/>
      <c r="K683" s="235"/>
      <c r="L683" s="235"/>
      <c r="M683" s="235"/>
      <c r="N683" s="235"/>
      <c r="O683" s="235"/>
      <c r="P683" s="234"/>
    </row>
    <row r="684" spans="6:16">
      <c r="F684" s="235"/>
      <c r="G684" s="235"/>
      <c r="H684" s="235"/>
      <c r="I684" s="235"/>
      <c r="J684" s="235"/>
      <c r="K684" s="235"/>
      <c r="L684" s="235"/>
      <c r="M684" s="235"/>
      <c r="N684" s="235"/>
      <c r="O684" s="235"/>
      <c r="P684" s="234"/>
    </row>
    <row r="685" spans="6:16">
      <c r="F685" s="235"/>
      <c r="G685" s="235"/>
      <c r="H685" s="235"/>
      <c r="I685" s="235"/>
      <c r="J685" s="235"/>
      <c r="K685" s="235"/>
      <c r="L685" s="235"/>
      <c r="M685" s="235"/>
      <c r="N685" s="235"/>
      <c r="O685" s="235"/>
      <c r="P685" s="234"/>
    </row>
    <row r="686" spans="6:16">
      <c r="F686" s="235"/>
      <c r="G686" s="235"/>
      <c r="H686" s="235"/>
      <c r="I686" s="235"/>
      <c r="J686" s="235"/>
      <c r="K686" s="235"/>
      <c r="L686" s="235"/>
      <c r="M686" s="235"/>
      <c r="N686" s="235"/>
      <c r="O686" s="235"/>
      <c r="P686" s="234"/>
    </row>
    <row r="687" spans="6:16">
      <c r="F687" s="235"/>
      <c r="G687" s="235"/>
      <c r="H687" s="235"/>
      <c r="I687" s="235"/>
      <c r="J687" s="235"/>
      <c r="K687" s="235"/>
      <c r="L687" s="235"/>
      <c r="M687" s="235"/>
      <c r="N687" s="235"/>
      <c r="O687" s="235"/>
      <c r="P687" s="234"/>
    </row>
    <row r="688" spans="6:16">
      <c r="F688" s="235"/>
      <c r="G688" s="235"/>
      <c r="H688" s="235"/>
      <c r="I688" s="235"/>
      <c r="J688" s="235"/>
      <c r="K688" s="235"/>
      <c r="L688" s="235"/>
      <c r="M688" s="235"/>
      <c r="N688" s="235"/>
      <c r="O688" s="235"/>
      <c r="P688" s="234"/>
    </row>
    <row r="689" spans="6:16">
      <c r="F689" s="235"/>
      <c r="G689" s="235"/>
      <c r="H689" s="235"/>
      <c r="I689" s="235"/>
      <c r="J689" s="235"/>
      <c r="K689" s="235"/>
      <c r="L689" s="235"/>
      <c r="M689" s="235"/>
      <c r="N689" s="235"/>
      <c r="O689" s="235"/>
      <c r="P689" s="234"/>
    </row>
    <row r="690" spans="6:16">
      <c r="F690" s="235"/>
      <c r="G690" s="235"/>
      <c r="H690" s="235"/>
      <c r="I690" s="235"/>
      <c r="J690" s="235"/>
      <c r="K690" s="235"/>
      <c r="L690" s="235"/>
      <c r="M690" s="235"/>
      <c r="N690" s="235"/>
      <c r="O690" s="235"/>
      <c r="P690" s="234"/>
    </row>
    <row r="691" spans="6:16">
      <c r="F691" s="235"/>
      <c r="G691" s="235"/>
      <c r="H691" s="235"/>
      <c r="I691" s="235"/>
      <c r="J691" s="235"/>
      <c r="K691" s="235"/>
      <c r="L691" s="235"/>
      <c r="M691" s="235"/>
      <c r="N691" s="235"/>
      <c r="O691" s="235"/>
      <c r="P691" s="234"/>
    </row>
    <row r="692" spans="6:16">
      <c r="F692" s="235"/>
      <c r="G692" s="235"/>
      <c r="H692" s="235"/>
      <c r="I692" s="235"/>
      <c r="J692" s="235"/>
      <c r="K692" s="235"/>
      <c r="L692" s="235"/>
      <c r="M692" s="235"/>
      <c r="N692" s="235"/>
      <c r="O692" s="235"/>
      <c r="P692" s="234"/>
    </row>
    <row r="693" spans="6:16">
      <c r="F693" s="235"/>
      <c r="G693" s="235"/>
      <c r="H693" s="235"/>
      <c r="I693" s="235"/>
      <c r="J693" s="235"/>
      <c r="K693" s="235"/>
      <c r="L693" s="235"/>
      <c r="M693" s="235"/>
      <c r="N693" s="235"/>
      <c r="O693" s="235"/>
      <c r="P693" s="234"/>
    </row>
    <row r="694" spans="6:16">
      <c r="F694" s="235"/>
      <c r="G694" s="235"/>
      <c r="H694" s="235"/>
      <c r="I694" s="235"/>
      <c r="J694" s="235"/>
      <c r="K694" s="235"/>
      <c r="L694" s="235"/>
      <c r="M694" s="235"/>
      <c r="N694" s="235"/>
      <c r="O694" s="235"/>
      <c r="P694" s="234"/>
    </row>
    <row r="695" spans="6:16">
      <c r="F695" s="235"/>
      <c r="G695" s="235"/>
      <c r="H695" s="235"/>
      <c r="I695" s="235"/>
      <c r="J695" s="235"/>
      <c r="K695" s="235"/>
      <c r="L695" s="235"/>
      <c r="M695" s="235"/>
      <c r="N695" s="235"/>
      <c r="O695" s="235"/>
      <c r="P695" s="234"/>
    </row>
    <row r="696" spans="6:16">
      <c r="F696" s="235"/>
      <c r="G696" s="235"/>
      <c r="H696" s="235"/>
      <c r="I696" s="235"/>
      <c r="J696" s="235"/>
      <c r="K696" s="235"/>
      <c r="L696" s="235"/>
      <c r="M696" s="235"/>
      <c r="N696" s="235"/>
      <c r="O696" s="235"/>
      <c r="P696" s="234"/>
    </row>
    <row r="697" spans="6:16">
      <c r="F697" s="235"/>
      <c r="G697" s="235"/>
      <c r="H697" s="235"/>
      <c r="I697" s="235"/>
      <c r="J697" s="235"/>
      <c r="K697" s="235"/>
      <c r="L697" s="235"/>
      <c r="M697" s="235"/>
      <c r="N697" s="235"/>
      <c r="O697" s="235"/>
      <c r="P697" s="234"/>
    </row>
    <row r="698" spans="6:16">
      <c r="F698" s="235"/>
      <c r="G698" s="235"/>
      <c r="H698" s="235"/>
      <c r="I698" s="235"/>
      <c r="J698" s="235"/>
      <c r="K698" s="235"/>
      <c r="L698" s="235"/>
      <c r="M698" s="235"/>
      <c r="N698" s="235"/>
      <c r="O698" s="235"/>
      <c r="P698" s="234"/>
    </row>
    <row r="699" spans="6:16">
      <c r="F699" s="235"/>
      <c r="G699" s="235"/>
      <c r="H699" s="235"/>
      <c r="I699" s="235"/>
      <c r="J699" s="235"/>
      <c r="K699" s="235"/>
      <c r="L699" s="235"/>
      <c r="M699" s="235"/>
      <c r="N699" s="235"/>
      <c r="O699" s="235"/>
      <c r="P699" s="234"/>
    </row>
    <row r="700" spans="6:16">
      <c r="F700" s="235"/>
      <c r="G700" s="235"/>
      <c r="H700" s="235"/>
      <c r="I700" s="235"/>
      <c r="J700" s="235"/>
      <c r="K700" s="235"/>
      <c r="L700" s="235"/>
      <c r="M700" s="235"/>
      <c r="N700" s="235"/>
      <c r="O700" s="235"/>
      <c r="P700" s="234"/>
    </row>
    <row r="701" spans="6:16">
      <c r="F701" s="235"/>
      <c r="G701" s="235"/>
      <c r="H701" s="235"/>
      <c r="I701" s="235"/>
      <c r="J701" s="235"/>
      <c r="K701" s="235"/>
      <c r="L701" s="235"/>
      <c r="M701" s="235"/>
      <c r="N701" s="235"/>
      <c r="O701" s="235"/>
      <c r="P701" s="234"/>
    </row>
    <row r="702" spans="6:16">
      <c r="F702" s="235"/>
      <c r="G702" s="235"/>
      <c r="H702" s="235"/>
      <c r="I702" s="235"/>
      <c r="J702" s="235"/>
      <c r="K702" s="235"/>
      <c r="L702" s="235"/>
      <c r="M702" s="235"/>
      <c r="N702" s="235"/>
      <c r="O702" s="235"/>
      <c r="P702" s="234"/>
    </row>
    <row r="703" spans="6:16">
      <c r="F703" s="235"/>
      <c r="G703" s="235"/>
      <c r="H703" s="235"/>
      <c r="I703" s="235"/>
      <c r="J703" s="235"/>
      <c r="K703" s="235"/>
      <c r="L703" s="235"/>
      <c r="M703" s="235"/>
      <c r="N703" s="235"/>
      <c r="O703" s="235"/>
      <c r="P703" s="234"/>
    </row>
    <row r="704" spans="6:16">
      <c r="F704" s="235"/>
      <c r="G704" s="235"/>
      <c r="H704" s="235"/>
      <c r="I704" s="235"/>
      <c r="J704" s="235"/>
      <c r="K704" s="235"/>
      <c r="L704" s="235"/>
      <c r="M704" s="235"/>
      <c r="N704" s="235"/>
      <c r="O704" s="235"/>
      <c r="P704" s="234"/>
    </row>
    <row r="705" spans="6:16">
      <c r="F705" s="235"/>
      <c r="G705" s="235"/>
      <c r="H705" s="235"/>
      <c r="I705" s="235"/>
      <c r="J705" s="235"/>
      <c r="K705" s="235"/>
      <c r="L705" s="235"/>
      <c r="M705" s="235"/>
      <c r="N705" s="235"/>
      <c r="O705" s="235"/>
      <c r="P705" s="234"/>
    </row>
    <row r="706" spans="6:16">
      <c r="F706" s="235"/>
      <c r="G706" s="235"/>
      <c r="H706" s="235"/>
      <c r="I706" s="235"/>
      <c r="J706" s="235"/>
      <c r="K706" s="235"/>
      <c r="L706" s="235"/>
      <c r="M706" s="235"/>
      <c r="N706" s="235"/>
      <c r="O706" s="235"/>
      <c r="P706" s="234"/>
    </row>
    <row r="707" spans="6:16">
      <c r="F707" s="235"/>
      <c r="G707" s="235"/>
      <c r="H707" s="235"/>
      <c r="I707" s="235"/>
      <c r="J707" s="235"/>
      <c r="K707" s="235"/>
      <c r="L707" s="235"/>
      <c r="M707" s="235"/>
      <c r="N707" s="235"/>
      <c r="O707" s="235"/>
      <c r="P707" s="234"/>
    </row>
    <row r="708" spans="6:16">
      <c r="F708" s="235"/>
      <c r="G708" s="235"/>
      <c r="H708" s="235"/>
      <c r="I708" s="235"/>
      <c r="J708" s="235"/>
      <c r="K708" s="235"/>
      <c r="L708" s="235"/>
      <c r="M708" s="235"/>
      <c r="N708" s="235"/>
      <c r="O708" s="235"/>
      <c r="P708" s="234"/>
    </row>
    <row r="709" spans="6:16">
      <c r="F709" s="235"/>
      <c r="G709" s="235"/>
      <c r="H709" s="235"/>
      <c r="I709" s="235"/>
      <c r="J709" s="235"/>
      <c r="K709" s="235"/>
      <c r="L709" s="235"/>
      <c r="M709" s="235"/>
      <c r="N709" s="235"/>
      <c r="O709" s="235"/>
      <c r="P709" s="234"/>
    </row>
    <row r="710" spans="6:16">
      <c r="F710" s="235"/>
      <c r="G710" s="235"/>
      <c r="H710" s="235"/>
      <c r="I710" s="235"/>
      <c r="J710" s="235"/>
      <c r="K710" s="235"/>
      <c r="L710" s="235"/>
      <c r="M710" s="235"/>
      <c r="N710" s="235"/>
      <c r="O710" s="235"/>
      <c r="P710" s="234"/>
    </row>
    <row r="711" spans="6:16">
      <c r="F711" s="235"/>
      <c r="G711" s="235"/>
      <c r="H711" s="235"/>
      <c r="I711" s="235"/>
      <c r="J711" s="235"/>
      <c r="K711" s="235"/>
      <c r="L711" s="235"/>
      <c r="M711" s="235"/>
      <c r="N711" s="235"/>
      <c r="O711" s="235"/>
      <c r="P711" s="234"/>
    </row>
    <row r="712" spans="6:16">
      <c r="F712" s="235"/>
      <c r="G712" s="235"/>
      <c r="H712" s="235"/>
      <c r="I712" s="235"/>
      <c r="J712" s="235"/>
      <c r="K712" s="235"/>
      <c r="L712" s="235"/>
      <c r="M712" s="235"/>
      <c r="N712" s="235"/>
      <c r="O712" s="235"/>
      <c r="P712" s="234"/>
    </row>
    <row r="713" spans="6:16">
      <c r="F713" s="235"/>
      <c r="G713" s="235"/>
      <c r="H713" s="235"/>
      <c r="I713" s="235"/>
      <c r="J713" s="235"/>
      <c r="K713" s="235"/>
      <c r="L713" s="235"/>
      <c r="M713" s="235"/>
      <c r="N713" s="235"/>
      <c r="O713" s="235"/>
      <c r="P713" s="234"/>
    </row>
    <row r="714" spans="6:16">
      <c r="F714" s="235"/>
      <c r="G714" s="235"/>
      <c r="H714" s="235"/>
      <c r="I714" s="235"/>
      <c r="J714" s="235"/>
      <c r="K714" s="235"/>
      <c r="L714" s="235"/>
      <c r="M714" s="235"/>
      <c r="N714" s="235"/>
      <c r="O714" s="235"/>
      <c r="P714" s="234"/>
    </row>
    <row r="715" spans="6:16">
      <c r="F715" s="235"/>
      <c r="G715" s="235"/>
      <c r="H715" s="235"/>
      <c r="I715" s="235"/>
      <c r="J715" s="235"/>
      <c r="K715" s="235"/>
      <c r="L715" s="235"/>
      <c r="M715" s="235"/>
      <c r="N715" s="235"/>
      <c r="O715" s="235"/>
      <c r="P715" s="234"/>
    </row>
    <row r="716" spans="6:16">
      <c r="F716" s="235"/>
      <c r="G716" s="235"/>
      <c r="H716" s="235"/>
      <c r="I716" s="235"/>
      <c r="J716" s="235"/>
      <c r="K716" s="235"/>
      <c r="L716" s="235"/>
      <c r="M716" s="235"/>
      <c r="N716" s="235"/>
      <c r="O716" s="235"/>
      <c r="P716" s="234"/>
    </row>
  </sheetData>
  <mergeCells count="1">
    <mergeCell ref="A6:P6"/>
  </mergeCells>
  <pageMargins left="0.70866141732283505" right="0.70866141732283505" top="0.74803149606299202" bottom="0.74803149606299202" header="0.31496062992126" footer="0.31496062992126"/>
  <pageSetup paperSize="9" firstPageNumber="45" orientation="landscape" useFirstPageNumber="1" r:id="rId1"/>
  <headerFooter>
    <oddFooter>&amp;C&amp;P</oddFooter>
  </headerFooter>
  <rowBreaks count="3" manualBreakCount="3">
    <brk id="31" max="15" man="1"/>
    <brk id="63" max="15" man="1"/>
    <brk id="95"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F218"/>
  <sheetViews>
    <sheetView view="pageBreakPreview" zoomScaleNormal="100" zoomScaleSheetLayoutView="100" workbookViewId="0">
      <selection sqref="A1:XFD82"/>
    </sheetView>
  </sheetViews>
  <sheetFormatPr defaultColWidth="9.1796875" defaultRowHeight="13.5"/>
  <cols>
    <col min="1" max="1" width="5" style="484" customWidth="1"/>
    <col min="2" max="2" width="4.81640625" style="484" customWidth="1"/>
    <col min="3" max="3" width="34" style="484" customWidth="1"/>
    <col min="4" max="4" width="16.453125" style="484" customWidth="1"/>
    <col min="5" max="5" width="0.81640625" style="484" customWidth="1"/>
    <col min="6" max="6" width="15.81640625" style="484" customWidth="1"/>
    <col min="7" max="7" width="1.453125" style="484" customWidth="1"/>
    <col min="8" max="8" width="16.81640625" style="484" customWidth="1"/>
    <col min="9" max="9" width="1.54296875" style="484" customWidth="1"/>
    <col min="10" max="10" width="17.1796875" style="484" customWidth="1"/>
    <col min="11" max="11" width="1.54296875" style="484" customWidth="1"/>
    <col min="12" max="12" width="16.7265625" style="484" customWidth="1"/>
    <col min="13" max="13" width="2.1796875" style="484" customWidth="1"/>
    <col min="14" max="14" width="16.54296875" style="484" customWidth="1"/>
    <col min="15" max="15" width="17.453125" style="561" bestFit="1" customWidth="1"/>
    <col min="16" max="16" width="22" style="561" customWidth="1"/>
    <col min="17" max="17" width="14.1796875" style="561" bestFit="1" customWidth="1"/>
    <col min="18" max="19" width="14.81640625" style="561" bestFit="1" customWidth="1"/>
    <col min="20" max="20" width="13.7265625" style="561" bestFit="1" customWidth="1"/>
    <col min="21" max="58" width="9.1796875" style="561"/>
    <col min="59" max="16384" width="9.1796875" style="484"/>
  </cols>
  <sheetData>
    <row r="1" spans="1:14">
      <c r="A1" s="488" t="s">
        <v>422</v>
      </c>
      <c r="B1" s="489"/>
      <c r="C1" s="489"/>
      <c r="D1" s="489"/>
      <c r="E1" s="489"/>
      <c r="F1" s="489"/>
      <c r="G1" s="489"/>
      <c r="H1" s="490"/>
      <c r="I1" s="490"/>
      <c r="J1" s="490"/>
      <c r="K1" s="490"/>
      <c r="L1" s="491"/>
      <c r="M1" s="491"/>
      <c r="N1" s="490"/>
    </row>
    <row r="2" spans="1:14" ht="12" customHeight="1">
      <c r="A2" s="492"/>
      <c r="B2" s="486"/>
      <c r="C2" s="486"/>
      <c r="D2" s="486"/>
      <c r="E2" s="486"/>
      <c r="F2" s="486"/>
      <c r="G2" s="486"/>
      <c r="H2" s="490"/>
      <c r="I2" s="490"/>
      <c r="J2" s="490"/>
      <c r="K2" s="490"/>
      <c r="L2" s="491"/>
      <c r="M2" s="491"/>
      <c r="N2" s="490"/>
    </row>
    <row r="3" spans="1:14">
      <c r="A3" s="492" t="s">
        <v>3039</v>
      </c>
      <c r="B3" s="489"/>
      <c r="C3" s="489"/>
      <c r="D3" s="489"/>
      <c r="E3" s="489"/>
      <c r="F3" s="489"/>
      <c r="G3" s="489"/>
      <c r="H3" s="490"/>
      <c r="I3" s="490"/>
      <c r="J3" s="490"/>
      <c r="K3" s="490"/>
      <c r="L3" s="491"/>
      <c r="M3" s="491"/>
      <c r="N3" s="490"/>
    </row>
    <row r="4" spans="1:14">
      <c r="A4" s="494" t="s">
        <v>3407</v>
      </c>
      <c r="B4" s="494"/>
      <c r="C4" s="494"/>
      <c r="D4" s="494"/>
      <c r="E4" s="494"/>
      <c r="F4" s="494"/>
      <c r="G4" s="494"/>
      <c r="H4" s="495"/>
      <c r="I4" s="495"/>
      <c r="J4" s="495"/>
      <c r="K4" s="495"/>
      <c r="L4" s="496"/>
      <c r="M4" s="496"/>
      <c r="N4" s="495"/>
    </row>
    <row r="5" spans="1:14" ht="14.25" customHeight="1">
      <c r="A5" s="486"/>
      <c r="B5" s="487"/>
      <c r="C5" s="487"/>
      <c r="D5" s="487"/>
      <c r="E5" s="487"/>
      <c r="F5" s="487"/>
      <c r="G5" s="487"/>
      <c r="H5" s="487"/>
      <c r="I5" s="487"/>
      <c r="J5" s="487"/>
      <c r="K5" s="487"/>
      <c r="L5" s="677"/>
      <c r="M5" s="677"/>
      <c r="N5" s="487"/>
    </row>
    <row r="6" spans="1:14">
      <c r="A6" s="519" t="s">
        <v>3400</v>
      </c>
      <c r="B6" s="493" t="s">
        <v>3040</v>
      </c>
      <c r="C6" s="493"/>
      <c r="D6" s="489"/>
      <c r="E6" s="489"/>
      <c r="F6" s="489"/>
      <c r="G6" s="489"/>
      <c r="H6" s="489"/>
    </row>
    <row r="7" spans="1:14" ht="8.25" customHeight="1">
      <c r="A7" s="486"/>
      <c r="B7" s="486"/>
      <c r="C7" s="486"/>
      <c r="D7" s="486"/>
      <c r="E7" s="486"/>
      <c r="F7" s="486"/>
      <c r="G7" s="486"/>
      <c r="H7" s="486"/>
      <c r="I7" s="486"/>
      <c r="J7" s="486"/>
      <c r="K7" s="486"/>
      <c r="L7" s="497"/>
      <c r="M7" s="497"/>
      <c r="N7" s="486"/>
    </row>
    <row r="8" spans="1:14">
      <c r="A8" s="486"/>
      <c r="B8" s="493" t="s">
        <v>464</v>
      </c>
      <c r="C8" s="493"/>
      <c r="D8" s="486"/>
      <c r="E8" s="486"/>
      <c r="F8" s="486"/>
      <c r="G8" s="486"/>
      <c r="H8" s="486"/>
      <c r="I8" s="486"/>
      <c r="J8" s="486"/>
      <c r="K8" s="486"/>
      <c r="L8" s="486"/>
      <c r="M8" s="486"/>
      <c r="N8" s="501"/>
    </row>
    <row r="9" spans="1:14" ht="6.75" customHeight="1">
      <c r="A9" s="486"/>
      <c r="B9" s="486"/>
      <c r="C9" s="486"/>
      <c r="D9" s="486"/>
      <c r="E9" s="486"/>
      <c r="F9" s="486"/>
      <c r="G9" s="486"/>
      <c r="H9" s="486"/>
      <c r="I9" s="486"/>
      <c r="J9" s="486"/>
      <c r="K9" s="486"/>
      <c r="L9" s="486"/>
      <c r="M9" s="486"/>
      <c r="N9" s="501"/>
    </row>
    <row r="10" spans="1:14" ht="65.25" customHeight="1">
      <c r="A10" s="486"/>
      <c r="B10" s="934" t="s">
        <v>465</v>
      </c>
      <c r="C10" s="934"/>
      <c r="D10" s="934"/>
      <c r="E10" s="934"/>
      <c r="F10" s="934"/>
      <c r="G10" s="934"/>
      <c r="H10" s="934"/>
      <c r="I10" s="934"/>
      <c r="J10" s="934"/>
      <c r="K10" s="934"/>
      <c r="L10" s="934"/>
      <c r="M10" s="934"/>
      <c r="N10" s="934"/>
    </row>
    <row r="11" spans="1:14" ht="6.75" customHeight="1">
      <c r="A11" s="486"/>
      <c r="B11" s="487"/>
      <c r="C11" s="487"/>
      <c r="D11" s="487"/>
      <c r="E11" s="487"/>
      <c r="F11" s="487"/>
      <c r="G11" s="487"/>
      <c r="H11" s="487"/>
      <c r="I11" s="487"/>
      <c r="J11" s="487"/>
      <c r="K11" s="487"/>
      <c r="L11" s="487"/>
      <c r="M11" s="487"/>
      <c r="N11" s="487"/>
    </row>
    <row r="12" spans="1:14">
      <c r="A12" s="486"/>
      <c r="B12" s="493" t="s">
        <v>49</v>
      </c>
      <c r="C12" s="493"/>
      <c r="D12" s="529"/>
      <c r="E12" s="529"/>
      <c r="F12" s="529"/>
      <c r="G12" s="529"/>
      <c r="H12" s="529"/>
      <c r="I12" s="529"/>
      <c r="J12" s="529"/>
      <c r="K12" s="529"/>
      <c r="L12" s="498"/>
      <c r="M12" s="498"/>
      <c r="N12" s="529"/>
    </row>
    <row r="13" spans="1:14" ht="3" customHeight="1">
      <c r="A13" s="486"/>
      <c r="B13" s="493"/>
      <c r="C13" s="493"/>
      <c r="D13" s="529"/>
      <c r="E13" s="529"/>
      <c r="F13" s="529"/>
      <c r="G13" s="529"/>
      <c r="H13" s="529"/>
      <c r="I13" s="529"/>
      <c r="J13" s="529"/>
      <c r="K13" s="529"/>
      <c r="L13" s="498"/>
      <c r="M13" s="498"/>
      <c r="N13" s="529"/>
    </row>
    <row r="14" spans="1:14" ht="39.75" customHeight="1">
      <c r="A14" s="486"/>
      <c r="B14" s="934" t="s">
        <v>1940</v>
      </c>
      <c r="C14" s="934"/>
      <c r="D14" s="934"/>
      <c r="E14" s="934"/>
      <c r="F14" s="934"/>
      <c r="G14" s="934"/>
      <c r="H14" s="934"/>
      <c r="I14" s="934"/>
      <c r="J14" s="934"/>
      <c r="K14" s="934"/>
      <c r="L14" s="934"/>
      <c r="M14" s="934"/>
      <c r="N14" s="934"/>
    </row>
    <row r="15" spans="1:14" ht="7.5" customHeight="1">
      <c r="A15" s="486"/>
      <c r="B15" s="972"/>
      <c r="C15" s="972"/>
      <c r="D15" s="972"/>
      <c r="E15" s="972"/>
      <c r="F15" s="972"/>
      <c r="G15" s="972"/>
      <c r="H15" s="972"/>
      <c r="I15" s="972"/>
      <c r="J15" s="972"/>
      <c r="K15" s="972"/>
      <c r="L15" s="972"/>
      <c r="M15" s="972"/>
      <c r="N15" s="972"/>
    </row>
    <row r="16" spans="1:14" ht="27.75" customHeight="1">
      <c r="A16" s="486"/>
      <c r="B16" s="968" t="s">
        <v>1941</v>
      </c>
      <c r="C16" s="968"/>
      <c r="D16" s="968"/>
      <c r="E16" s="968"/>
      <c r="F16" s="968"/>
      <c r="G16" s="968"/>
      <c r="H16" s="968"/>
      <c r="I16" s="968"/>
      <c r="J16" s="968"/>
      <c r="K16" s="968"/>
      <c r="L16" s="968"/>
      <c r="M16" s="968"/>
      <c r="N16" s="968"/>
    </row>
    <row r="17" spans="1:16" ht="9.75" customHeight="1">
      <c r="A17" s="498"/>
      <c r="B17" s="493"/>
      <c r="C17" s="493"/>
      <c r="D17" s="529"/>
      <c r="E17" s="486"/>
      <c r="F17" s="486"/>
      <c r="G17" s="486"/>
      <c r="H17" s="486"/>
      <c r="I17" s="486"/>
      <c r="J17" s="486"/>
      <c r="K17" s="486"/>
      <c r="L17" s="486"/>
      <c r="M17" s="486"/>
      <c r="N17" s="486"/>
    </row>
    <row r="18" spans="1:16">
      <c r="A18" s="498"/>
      <c r="B18" s="562" t="s">
        <v>3553</v>
      </c>
      <c r="C18" s="562"/>
      <c r="D18" s="563"/>
      <c r="E18" s="563"/>
      <c r="F18" s="563"/>
      <c r="G18" s="563"/>
      <c r="H18" s="564"/>
      <c r="I18" s="564"/>
      <c r="J18" s="564"/>
      <c r="K18" s="564"/>
      <c r="L18" s="564"/>
      <c r="M18" s="564"/>
      <c r="N18" s="565"/>
    </row>
    <row r="19" spans="1:16" ht="9" customHeight="1">
      <c r="A19" s="498"/>
      <c r="B19" s="486"/>
      <c r="C19" s="486"/>
      <c r="D19" s="486"/>
      <c r="E19" s="486"/>
      <c r="F19" s="486"/>
      <c r="G19" s="486"/>
      <c r="H19" s="486"/>
      <c r="I19" s="486"/>
      <c r="J19" s="514"/>
      <c r="K19" s="514"/>
      <c r="L19" s="514"/>
      <c r="M19" s="514"/>
      <c r="N19" s="514"/>
    </row>
    <row r="20" spans="1:16">
      <c r="A20" s="498"/>
      <c r="B20" s="501"/>
      <c r="C20" s="501"/>
      <c r="D20" s="524" t="s">
        <v>98</v>
      </c>
      <c r="E20" s="524"/>
      <c r="F20" s="524" t="s">
        <v>99</v>
      </c>
      <c r="G20" s="524"/>
      <c r="H20" s="524" t="s">
        <v>66</v>
      </c>
      <c r="I20" s="665"/>
      <c r="J20" s="524" t="s">
        <v>450</v>
      </c>
      <c r="K20" s="524"/>
      <c r="L20" s="524" t="s">
        <v>451</v>
      </c>
      <c r="M20" s="665"/>
      <c r="N20" s="665"/>
    </row>
    <row r="21" spans="1:16">
      <c r="A21" s="498"/>
      <c r="B21" s="492"/>
      <c r="C21" s="492"/>
      <c r="D21" s="524" t="s">
        <v>65</v>
      </c>
      <c r="E21" s="524"/>
      <c r="F21" s="524" t="s">
        <v>100</v>
      </c>
      <c r="G21" s="524"/>
      <c r="H21" s="524" t="s">
        <v>452</v>
      </c>
      <c r="I21" s="524"/>
      <c r="J21" s="524" t="s">
        <v>453</v>
      </c>
      <c r="K21" s="524"/>
      <c r="L21" s="524" t="s">
        <v>453</v>
      </c>
      <c r="M21" s="524"/>
      <c r="N21" s="524" t="s">
        <v>12</v>
      </c>
    </row>
    <row r="22" spans="1:16">
      <c r="A22" s="498"/>
      <c r="B22" s="501" t="s">
        <v>108</v>
      </c>
      <c r="C22" s="501"/>
      <c r="D22" s="524" t="s">
        <v>1921</v>
      </c>
      <c r="E22" s="529"/>
      <c r="F22" s="524" t="s">
        <v>1921</v>
      </c>
      <c r="G22" s="518"/>
      <c r="H22" s="524" t="s">
        <v>1921</v>
      </c>
      <c r="I22" s="518"/>
      <c r="J22" s="524" t="s">
        <v>1921</v>
      </c>
      <c r="K22" s="518"/>
      <c r="L22" s="524" t="s">
        <v>1921</v>
      </c>
      <c r="M22" s="518"/>
      <c r="N22" s="524" t="s">
        <v>1921</v>
      </c>
    </row>
    <row r="23" spans="1:16" ht="10.5" customHeight="1">
      <c r="A23" s="498"/>
      <c r="B23" s="501"/>
      <c r="C23" s="501"/>
      <c r="D23" s="529"/>
      <c r="E23" s="529"/>
      <c r="F23" s="518"/>
      <c r="G23" s="518"/>
      <c r="H23" s="518"/>
      <c r="I23" s="518"/>
      <c r="J23" s="518"/>
      <c r="K23" s="518"/>
      <c r="L23" s="518"/>
      <c r="M23" s="518"/>
      <c r="N23" s="518"/>
    </row>
    <row r="24" spans="1:16">
      <c r="A24" s="498"/>
      <c r="B24" s="486" t="s">
        <v>3376</v>
      </c>
      <c r="C24" s="486"/>
      <c r="D24" s="530" t="e">
        <f>#REF!</f>
        <v>#REF!</v>
      </c>
      <c r="E24" s="627"/>
      <c r="F24" s="566" t="s">
        <v>31</v>
      </c>
      <c r="G24" s="511"/>
      <c r="H24" s="566" t="s">
        <v>31</v>
      </c>
      <c r="I24" s="511"/>
      <c r="J24" s="566" t="s">
        <v>31</v>
      </c>
      <c r="K24" s="511"/>
      <c r="L24" s="566" t="s">
        <v>31</v>
      </c>
      <c r="M24" s="511"/>
      <c r="N24" s="504" t="e">
        <f>SUM(D24:L24)</f>
        <v>#REF!</v>
      </c>
    </row>
    <row r="25" spans="1:16">
      <c r="A25" s="498"/>
      <c r="B25" s="666" t="s">
        <v>444</v>
      </c>
      <c r="C25" s="486"/>
      <c r="D25" s="530" t="e">
        <f>#REF!</f>
        <v>#REF!</v>
      </c>
      <c r="E25" s="511"/>
      <c r="F25" s="566" t="s">
        <v>31</v>
      </c>
      <c r="G25" s="511"/>
      <c r="H25" s="566" t="s">
        <v>31</v>
      </c>
      <c r="I25" s="567"/>
      <c r="J25" s="530">
        <v>10611112.059999999</v>
      </c>
      <c r="K25" s="511"/>
      <c r="L25" s="566" t="s">
        <v>31</v>
      </c>
      <c r="M25" s="511"/>
      <c r="N25" s="525" t="e">
        <f>SUM(D25:L25)</f>
        <v>#REF!</v>
      </c>
    </row>
    <row r="26" spans="1:16">
      <c r="A26" s="498"/>
      <c r="B26" s="666" t="s">
        <v>3399</v>
      </c>
      <c r="C26" s="486"/>
      <c r="D26" s="566" t="s">
        <v>31</v>
      </c>
      <c r="E26" s="511"/>
      <c r="F26" s="566" t="s">
        <v>31</v>
      </c>
      <c r="G26" s="511"/>
      <c r="H26" s="566" t="s">
        <v>31</v>
      </c>
      <c r="I26" s="567"/>
      <c r="J26" s="530" t="e">
        <f>#REF!</f>
        <v>#REF!</v>
      </c>
      <c r="K26" s="511"/>
      <c r="L26" s="566" t="s">
        <v>31</v>
      </c>
      <c r="M26" s="511"/>
      <c r="N26" s="525" t="e">
        <f>SUM(D26:L26)</f>
        <v>#REF!</v>
      </c>
    </row>
    <row r="27" spans="1:16">
      <c r="A27" s="498"/>
      <c r="B27" s="486" t="s">
        <v>58</v>
      </c>
      <c r="C27" s="486"/>
      <c r="D27" s="530">
        <v>3067064.1599999941</v>
      </c>
      <c r="E27" s="627"/>
      <c r="F27" s="567">
        <v>12256608.880000155</v>
      </c>
      <c r="G27" s="567"/>
      <c r="H27" s="567">
        <v>77316049.549999669</v>
      </c>
      <c r="I27" s="567"/>
      <c r="J27" s="567">
        <v>41192189.130000174</v>
      </c>
      <c r="K27" s="567"/>
      <c r="L27" s="566" t="s">
        <v>31</v>
      </c>
      <c r="M27" s="511"/>
      <c r="N27" s="506">
        <f>SUM(D27:L27)</f>
        <v>133831911.72</v>
      </c>
      <c r="P27" s="672"/>
    </row>
    <row r="28" spans="1:16" ht="5.25" customHeight="1">
      <c r="A28" s="498"/>
      <c r="B28" s="666"/>
      <c r="C28" s="666"/>
      <c r="D28" s="568"/>
      <c r="E28" s="627"/>
      <c r="F28" s="569"/>
      <c r="G28" s="567"/>
      <c r="H28" s="569"/>
      <c r="I28" s="567"/>
      <c r="J28" s="569"/>
      <c r="K28" s="567"/>
      <c r="L28" s="569"/>
      <c r="M28" s="567"/>
      <c r="N28" s="570"/>
    </row>
    <row r="29" spans="1:16">
      <c r="A29" s="498"/>
      <c r="B29" s="667" t="s">
        <v>27</v>
      </c>
      <c r="C29" s="501"/>
      <c r="D29" s="571" t="e">
        <f>SUM(D24:D27)</f>
        <v>#REF!</v>
      </c>
      <c r="E29" s="572"/>
      <c r="F29" s="571">
        <f>SUM(F24:F27)</f>
        <v>12256608.880000155</v>
      </c>
      <c r="G29" s="572"/>
      <c r="H29" s="571">
        <f>SUM(H24:H27)</f>
        <v>77316049.549999669</v>
      </c>
      <c r="I29" s="572"/>
      <c r="J29" s="571" t="e">
        <f>SUM(J24:J27)</f>
        <v>#REF!</v>
      </c>
      <c r="K29" s="572"/>
      <c r="L29" s="673" t="s">
        <v>31</v>
      </c>
      <c r="M29" s="511"/>
      <c r="N29" s="571" t="e">
        <f>SUM(N24:N27)</f>
        <v>#REF!</v>
      </c>
    </row>
    <row r="30" spans="1:16" ht="9" customHeight="1">
      <c r="A30" s="498"/>
      <c r="B30" s="667"/>
      <c r="C30" s="501"/>
      <c r="D30" s="572"/>
      <c r="E30" s="572"/>
      <c r="F30" s="572"/>
      <c r="G30" s="572"/>
      <c r="H30" s="572"/>
      <c r="I30" s="572"/>
      <c r="J30" s="572"/>
      <c r="K30" s="572"/>
      <c r="L30" s="511"/>
      <c r="M30" s="511"/>
      <c r="N30" s="572"/>
    </row>
    <row r="31" spans="1:16">
      <c r="A31" s="498"/>
      <c r="B31" s="501" t="s">
        <v>107</v>
      </c>
      <c r="C31" s="501"/>
      <c r="D31" s="529"/>
      <c r="E31" s="529"/>
      <c r="F31" s="518"/>
      <c r="G31" s="518"/>
      <c r="H31" s="518"/>
      <c r="I31" s="518"/>
      <c r="J31" s="518"/>
      <c r="K31" s="518"/>
      <c r="L31" s="518"/>
      <c r="M31" s="518"/>
      <c r="N31" s="518"/>
    </row>
    <row r="32" spans="1:16" ht="3" customHeight="1">
      <c r="A32" s="498"/>
      <c r="B32" s="666"/>
      <c r="C32" s="666"/>
      <c r="D32" s="529"/>
      <c r="E32" s="529"/>
      <c r="F32" s="518"/>
      <c r="G32" s="518"/>
      <c r="H32" s="518"/>
      <c r="I32" s="518"/>
      <c r="J32" s="518"/>
      <c r="K32" s="518"/>
      <c r="L32" s="518"/>
      <c r="M32" s="518"/>
      <c r="N32" s="518"/>
    </row>
    <row r="33" spans="1:18">
      <c r="A33" s="498"/>
      <c r="B33" s="668" t="s">
        <v>3382</v>
      </c>
      <c r="C33" s="666"/>
      <c r="D33" s="530">
        <v>10111623.599999931</v>
      </c>
      <c r="E33" s="573"/>
      <c r="F33" s="627">
        <v>20107323.020000067</v>
      </c>
      <c r="G33" s="511"/>
      <c r="H33" s="627">
        <v>7041036</v>
      </c>
      <c r="I33" s="511"/>
      <c r="J33" s="627">
        <v>3200</v>
      </c>
      <c r="K33" s="511"/>
      <c r="L33" s="574">
        <v>0</v>
      </c>
      <c r="M33" s="511"/>
      <c r="N33" s="525">
        <f>SUM(D33:J33)</f>
        <v>37263182.619999997</v>
      </c>
      <c r="R33" s="575"/>
    </row>
    <row r="34" spans="1:18">
      <c r="A34" s="498"/>
      <c r="B34" s="666" t="s">
        <v>3383</v>
      </c>
      <c r="C34" s="666"/>
      <c r="D34" s="530">
        <v>1475264.75</v>
      </c>
      <c r="E34" s="573"/>
      <c r="F34" s="627">
        <v>8022162.75</v>
      </c>
      <c r="G34" s="511"/>
      <c r="H34" s="627">
        <v>5475100.6699999981</v>
      </c>
      <c r="I34" s="511"/>
      <c r="J34" s="627">
        <v>6499514.75</v>
      </c>
      <c r="K34" s="511"/>
      <c r="L34" s="574">
        <v>0</v>
      </c>
      <c r="M34" s="511"/>
      <c r="N34" s="525">
        <f>SUM(D34:J34)</f>
        <v>21472042.919999998</v>
      </c>
      <c r="P34" s="672"/>
    </row>
    <row r="35" spans="1:18">
      <c r="A35" s="498"/>
      <c r="B35" s="666" t="s">
        <v>3391</v>
      </c>
      <c r="C35" s="666"/>
      <c r="D35" s="574">
        <v>0</v>
      </c>
      <c r="E35" s="573"/>
      <c r="F35" s="627">
        <v>1095323</v>
      </c>
      <c r="G35" s="511"/>
      <c r="H35" s="627">
        <v>1362572</v>
      </c>
      <c r="I35" s="574"/>
      <c r="J35" s="627">
        <f>672000+239804</f>
        <v>911804</v>
      </c>
      <c r="K35" s="574"/>
      <c r="L35" s="574">
        <v>0</v>
      </c>
      <c r="M35" s="511"/>
      <c r="N35" s="525">
        <f>SUM(D35:J35)</f>
        <v>3369699</v>
      </c>
      <c r="P35" s="672"/>
    </row>
    <row r="36" spans="1:18">
      <c r="A36" s="498"/>
      <c r="B36" s="666" t="s">
        <v>455</v>
      </c>
      <c r="C36" s="666"/>
      <c r="D36" s="576">
        <v>0</v>
      </c>
      <c r="E36" s="573"/>
      <c r="F36" s="628">
        <v>4193817</v>
      </c>
      <c r="G36" s="511"/>
      <c r="H36" s="628">
        <v>43087100</v>
      </c>
      <c r="I36" s="511"/>
      <c r="J36" s="628">
        <v>32962273</v>
      </c>
      <c r="K36" s="511"/>
      <c r="L36" s="576">
        <v>0</v>
      </c>
      <c r="M36" s="511"/>
      <c r="N36" s="525">
        <f>SUM(D36:J36)</f>
        <v>80243190</v>
      </c>
      <c r="P36" s="672"/>
    </row>
    <row r="37" spans="1:18" ht="11.25" customHeight="1">
      <c r="A37" s="498"/>
      <c r="B37" s="666"/>
      <c r="C37" s="666"/>
      <c r="D37" s="577"/>
      <c r="E37" s="529"/>
      <c r="F37" s="570"/>
      <c r="G37" s="518"/>
      <c r="H37" s="570"/>
      <c r="I37" s="518"/>
      <c r="J37" s="570"/>
      <c r="K37" s="518"/>
      <c r="L37" s="570"/>
      <c r="M37" s="518"/>
      <c r="N37" s="570"/>
    </row>
    <row r="38" spans="1:18">
      <c r="A38" s="498"/>
      <c r="B38" s="667" t="s">
        <v>52</v>
      </c>
      <c r="C38" s="501"/>
      <c r="D38" s="506">
        <f>SUM(D33:D36)</f>
        <v>11586888.349999931</v>
      </c>
      <c r="E38" s="578"/>
      <c r="F38" s="506">
        <f>SUM(F33:F36)</f>
        <v>33418625.770000067</v>
      </c>
      <c r="G38" s="578"/>
      <c r="H38" s="506">
        <f>SUM(H33:H36)</f>
        <v>56965808.670000002</v>
      </c>
      <c r="I38" s="578"/>
      <c r="J38" s="506">
        <f>SUM(J33:J36)</f>
        <v>40376791.75</v>
      </c>
      <c r="K38" s="578"/>
      <c r="L38" s="582">
        <v>0</v>
      </c>
      <c r="M38" s="578"/>
      <c r="N38" s="506">
        <f>SUM(N33:N36)</f>
        <v>142348114.53999999</v>
      </c>
    </row>
    <row r="39" spans="1:18" ht="15" customHeight="1">
      <c r="B39" s="667"/>
      <c r="C39" s="501"/>
      <c r="D39" s="228"/>
      <c r="E39" s="573"/>
      <c r="F39" s="228"/>
      <c r="G39" s="581"/>
      <c r="H39" s="228"/>
      <c r="I39" s="581"/>
      <c r="J39" s="228"/>
      <c r="K39" s="573"/>
      <c r="L39" s="525"/>
      <c r="M39" s="511"/>
      <c r="N39" s="525"/>
    </row>
    <row r="40" spans="1:18">
      <c r="A40" s="488" t="s">
        <v>422</v>
      </c>
      <c r="B40" s="489"/>
      <c r="C40" s="489"/>
      <c r="D40" s="489"/>
      <c r="E40" s="489"/>
      <c r="F40" s="489"/>
      <c r="G40" s="489"/>
      <c r="H40" s="490"/>
      <c r="I40" s="490"/>
      <c r="J40" s="490"/>
      <c r="K40" s="490"/>
      <c r="L40" s="524"/>
      <c r="M40" s="491"/>
      <c r="N40" s="490"/>
      <c r="O40" s="661"/>
    </row>
    <row r="41" spans="1:18" ht="7.5" customHeight="1">
      <c r="A41" s="492"/>
      <c r="B41" s="486"/>
      <c r="C41" s="486"/>
      <c r="D41" s="486"/>
      <c r="E41" s="486"/>
      <c r="F41" s="486"/>
      <c r="G41" s="486"/>
      <c r="H41" s="490"/>
      <c r="I41" s="490"/>
      <c r="J41" s="490"/>
      <c r="K41" s="490"/>
      <c r="L41" s="524"/>
      <c r="M41" s="491"/>
      <c r="N41" s="490"/>
    </row>
    <row r="42" spans="1:18">
      <c r="A42" s="492" t="s">
        <v>3039</v>
      </c>
      <c r="B42" s="489"/>
      <c r="C42" s="489"/>
      <c r="D42" s="489"/>
      <c r="E42" s="489"/>
      <c r="F42" s="489"/>
      <c r="G42" s="489"/>
      <c r="H42" s="490"/>
      <c r="I42" s="490"/>
      <c r="J42" s="490"/>
      <c r="K42" s="490"/>
      <c r="L42" s="491"/>
      <c r="M42" s="491"/>
      <c r="N42" s="490"/>
    </row>
    <row r="43" spans="1:18">
      <c r="A43" s="494" t="s">
        <v>3407</v>
      </c>
      <c r="B43" s="494"/>
      <c r="C43" s="494"/>
      <c r="D43" s="494"/>
      <c r="E43" s="494"/>
      <c r="F43" s="494"/>
      <c r="G43" s="494"/>
      <c r="H43" s="495"/>
      <c r="I43" s="495"/>
      <c r="J43" s="495"/>
      <c r="K43" s="495"/>
      <c r="L43" s="496"/>
      <c r="M43" s="496"/>
      <c r="N43" s="495"/>
    </row>
    <row r="44" spans="1:18" ht="3.75" customHeight="1">
      <c r="A44" s="486"/>
      <c r="B44" s="487"/>
      <c r="C44" s="487"/>
      <c r="D44" s="487"/>
      <c r="E44" s="487"/>
      <c r="F44" s="487"/>
      <c r="G44" s="487"/>
      <c r="H44" s="487"/>
      <c r="I44" s="487"/>
      <c r="J44" s="487"/>
      <c r="K44" s="487"/>
      <c r="L44" s="677"/>
      <c r="M44" s="677"/>
      <c r="N44" s="487"/>
    </row>
    <row r="45" spans="1:18">
      <c r="A45" s="519" t="s">
        <v>26</v>
      </c>
      <c r="B45" s="487"/>
      <c r="C45" s="487"/>
      <c r="D45" s="487"/>
      <c r="E45" s="487"/>
      <c r="F45" s="487"/>
      <c r="G45" s="487"/>
      <c r="H45" s="487"/>
      <c r="I45" s="487"/>
      <c r="J45" s="487"/>
      <c r="K45" s="487"/>
      <c r="L45" s="677"/>
      <c r="M45" s="677"/>
      <c r="N45" s="487"/>
    </row>
    <row r="46" spans="1:18" ht="7.5" customHeight="1">
      <c r="A46" s="486"/>
      <c r="B46" s="487"/>
      <c r="C46" s="487"/>
      <c r="D46" s="487"/>
      <c r="E46" s="487"/>
      <c r="F46" s="487"/>
      <c r="G46" s="487"/>
      <c r="H46" s="487"/>
      <c r="I46" s="487"/>
      <c r="J46" s="487"/>
      <c r="K46" s="487"/>
      <c r="L46" s="677"/>
      <c r="M46" s="677"/>
      <c r="N46" s="487"/>
    </row>
    <row r="47" spans="1:18">
      <c r="A47" s="519" t="s">
        <v>3041</v>
      </c>
      <c r="B47" s="493" t="s">
        <v>3040</v>
      </c>
      <c r="C47" s="493"/>
      <c r="D47" s="489"/>
      <c r="E47" s="489"/>
      <c r="F47" s="489"/>
      <c r="G47" s="489"/>
      <c r="H47" s="489"/>
    </row>
    <row r="48" spans="1:18" ht="5.25" customHeight="1">
      <c r="A48" s="519"/>
      <c r="B48" s="493"/>
      <c r="C48" s="493"/>
      <c r="D48" s="489"/>
      <c r="E48" s="489"/>
      <c r="F48" s="489"/>
      <c r="G48" s="489"/>
      <c r="H48" s="489"/>
      <c r="I48" s="489"/>
      <c r="J48" s="487"/>
      <c r="K48" s="487"/>
      <c r="L48" s="497"/>
      <c r="M48" s="497"/>
      <c r="N48" s="498"/>
    </row>
    <row r="49" spans="1:14">
      <c r="B49" s="493" t="s">
        <v>3375</v>
      </c>
      <c r="C49" s="493"/>
      <c r="D49" s="529"/>
      <c r="E49" s="529"/>
    </row>
    <row r="50" spans="1:14" ht="4.5" customHeight="1">
      <c r="A50" s="498"/>
      <c r="B50" s="493"/>
      <c r="C50" s="493"/>
      <c r="D50" s="529"/>
      <c r="E50" s="486"/>
      <c r="F50" s="486"/>
      <c r="G50" s="486"/>
      <c r="H50" s="486"/>
      <c r="I50" s="486"/>
      <c r="J50" s="486"/>
      <c r="K50" s="486"/>
      <c r="L50" s="486"/>
      <c r="M50" s="486"/>
      <c r="N50" s="486"/>
    </row>
    <row r="51" spans="1:14">
      <c r="A51" s="498"/>
      <c r="B51" s="562" t="s">
        <v>3553</v>
      </c>
      <c r="C51" s="562"/>
      <c r="D51" s="563"/>
      <c r="E51" s="563"/>
      <c r="F51" s="563"/>
      <c r="G51" s="563"/>
      <c r="H51" s="564"/>
      <c r="I51" s="564"/>
      <c r="J51" s="564"/>
      <c r="K51" s="564"/>
      <c r="L51" s="564"/>
      <c r="M51" s="564"/>
      <c r="N51" s="565"/>
    </row>
    <row r="52" spans="1:14" ht="5.25" customHeight="1">
      <c r="A52" s="498"/>
      <c r="B52" s="486"/>
      <c r="C52" s="486"/>
      <c r="D52" s="486"/>
      <c r="E52" s="486"/>
      <c r="F52" s="486"/>
      <c r="G52" s="486"/>
      <c r="H52" s="486"/>
      <c r="I52" s="486"/>
      <c r="J52" s="514"/>
      <c r="K52" s="514"/>
      <c r="L52" s="514"/>
      <c r="M52" s="514"/>
      <c r="N52" s="514"/>
    </row>
    <row r="53" spans="1:14">
      <c r="A53" s="498"/>
      <c r="B53" s="501"/>
      <c r="C53" s="501"/>
      <c r="D53" s="524" t="s">
        <v>98</v>
      </c>
      <c r="E53" s="524"/>
      <c r="F53" s="524" t="s">
        <v>99</v>
      </c>
      <c r="G53" s="524"/>
      <c r="H53" s="524" t="s">
        <v>66</v>
      </c>
      <c r="I53" s="665"/>
      <c r="J53" s="524" t="s">
        <v>450</v>
      </c>
      <c r="K53" s="524"/>
      <c r="L53" s="524" t="s">
        <v>451</v>
      </c>
      <c r="M53" s="665"/>
      <c r="N53" s="665"/>
    </row>
    <row r="54" spans="1:14">
      <c r="A54" s="498"/>
      <c r="B54" s="492"/>
      <c r="C54" s="492"/>
      <c r="D54" s="524" t="s">
        <v>65</v>
      </c>
      <c r="E54" s="524"/>
      <c r="F54" s="524" t="s">
        <v>100</v>
      </c>
      <c r="G54" s="524"/>
      <c r="H54" s="524" t="s">
        <v>452</v>
      </c>
      <c r="I54" s="524"/>
      <c r="J54" s="524" t="s">
        <v>453</v>
      </c>
      <c r="K54" s="524"/>
      <c r="L54" s="524" t="s">
        <v>453</v>
      </c>
      <c r="M54" s="524"/>
      <c r="N54" s="524" t="s">
        <v>12</v>
      </c>
    </row>
    <row r="55" spans="1:14" ht="6" customHeight="1">
      <c r="B55" s="667"/>
      <c r="C55" s="667"/>
      <c r="D55" s="529"/>
      <c r="E55" s="529"/>
    </row>
    <row r="56" spans="1:14">
      <c r="B56" s="667" t="s">
        <v>93</v>
      </c>
      <c r="C56" s="501"/>
      <c r="D56" s="628">
        <f>D38</f>
        <v>11586888.349999931</v>
      </c>
      <c r="E56" s="561"/>
      <c r="F56" s="628">
        <f>F38</f>
        <v>33418625.770000067</v>
      </c>
      <c r="G56" s="561"/>
      <c r="H56" s="628">
        <f>H38</f>
        <v>56965808.670000002</v>
      </c>
      <c r="I56" s="561"/>
      <c r="J56" s="628">
        <f>J38</f>
        <v>40376791.75</v>
      </c>
      <c r="K56" s="561"/>
      <c r="L56" s="628">
        <f>L39</f>
        <v>0</v>
      </c>
      <c r="M56" s="561"/>
      <c r="N56" s="628">
        <f>N38</f>
        <v>142348114.53999999</v>
      </c>
    </row>
    <row r="57" spans="1:14" ht="3.75" customHeight="1">
      <c r="B57" s="529"/>
      <c r="C57" s="529"/>
    </row>
    <row r="58" spans="1:14" ht="14" thickBot="1">
      <c r="B58" s="667" t="s">
        <v>454</v>
      </c>
      <c r="C58" s="501"/>
      <c r="D58" s="674" t="e">
        <f>D29-D56</f>
        <v>#REF!</v>
      </c>
      <c r="E58" s="525"/>
      <c r="F58" s="678">
        <f>F29-F56</f>
        <v>-21162016.889999911</v>
      </c>
      <c r="G58" s="525">
        <v>0</v>
      </c>
      <c r="H58" s="674">
        <f>H29-H56</f>
        <v>20350240.879999667</v>
      </c>
      <c r="I58" s="525">
        <v>0</v>
      </c>
      <c r="J58" s="674" t="e">
        <f>J29-J56</f>
        <v>#REF!</v>
      </c>
      <c r="K58" s="525">
        <v>0</v>
      </c>
      <c r="L58" s="674">
        <f>L56</f>
        <v>0</v>
      </c>
      <c r="M58" s="525"/>
      <c r="N58" s="674" t="e">
        <f>N29-N56</f>
        <v>#REF!</v>
      </c>
    </row>
    <row r="59" spans="1:14" ht="6.75" customHeight="1" thickTop="1">
      <c r="B59" s="667"/>
    </row>
    <row r="60" spans="1:14">
      <c r="B60" s="562" t="s">
        <v>3325</v>
      </c>
      <c r="C60" s="562"/>
      <c r="D60" s="529"/>
      <c r="E60" s="529"/>
    </row>
    <row r="61" spans="1:14" ht="6.75" customHeight="1">
      <c r="B61" s="562"/>
      <c r="C61" s="562"/>
      <c r="D61" s="529"/>
      <c r="E61" s="529"/>
    </row>
    <row r="62" spans="1:14">
      <c r="B62" s="486" t="s">
        <v>3377</v>
      </c>
      <c r="C62" s="486"/>
      <c r="D62" s="627">
        <v>5398425</v>
      </c>
      <c r="E62" s="511"/>
      <c r="F62" s="581">
        <v>0</v>
      </c>
      <c r="G62" s="511"/>
      <c r="H62" s="581">
        <v>0</v>
      </c>
      <c r="I62" s="511"/>
      <c r="J62" s="581">
        <v>0</v>
      </c>
      <c r="K62" s="511"/>
      <c r="L62" s="581">
        <v>0</v>
      </c>
      <c r="M62" s="511"/>
      <c r="N62" s="627">
        <f>SUM(D62:L62)</f>
        <v>5398425</v>
      </c>
    </row>
    <row r="63" spans="1:14">
      <c r="B63" s="486" t="s">
        <v>468</v>
      </c>
      <c r="C63" s="486"/>
      <c r="D63" s="627">
        <v>1000000</v>
      </c>
      <c r="E63" s="511"/>
      <c r="F63" s="581" t="s">
        <v>31</v>
      </c>
      <c r="G63" s="511"/>
      <c r="H63" s="581" t="s">
        <v>31</v>
      </c>
      <c r="I63" s="511"/>
      <c r="J63" s="581">
        <v>0</v>
      </c>
      <c r="K63" s="511"/>
      <c r="L63" s="581">
        <v>0</v>
      </c>
      <c r="M63" s="511"/>
      <c r="N63" s="627">
        <f>SUM(D63:L63)</f>
        <v>1000000</v>
      </c>
    </row>
    <row r="64" spans="1:14">
      <c r="B64" s="666" t="s">
        <v>444</v>
      </c>
      <c r="C64" s="666"/>
      <c r="D64" s="627">
        <v>6691887</v>
      </c>
      <c r="E64" s="511"/>
      <c r="F64" s="581" t="s">
        <v>31</v>
      </c>
      <c r="G64" s="511"/>
      <c r="H64" s="581" t="s">
        <v>31</v>
      </c>
      <c r="I64" s="511"/>
      <c r="J64" s="581">
        <v>0</v>
      </c>
      <c r="K64" s="511"/>
      <c r="L64" s="581">
        <v>0</v>
      </c>
      <c r="M64" s="511"/>
      <c r="N64" s="627">
        <f>SUM(D64:L64)</f>
        <v>6691887</v>
      </c>
    </row>
    <row r="65" spans="2:14">
      <c r="B65" s="666" t="s">
        <v>3399</v>
      </c>
      <c r="C65" s="666"/>
      <c r="D65" s="581">
        <v>0</v>
      </c>
      <c r="E65" s="511"/>
      <c r="F65" s="581">
        <v>0</v>
      </c>
      <c r="G65" s="511"/>
      <c r="H65" s="581">
        <v>0</v>
      </c>
      <c r="I65" s="511"/>
      <c r="J65" s="627">
        <v>15277023</v>
      </c>
      <c r="K65" s="511"/>
      <c r="L65" s="581">
        <v>0</v>
      </c>
      <c r="M65" s="511"/>
      <c r="N65" s="627">
        <f>SUM(D65:L65)</f>
        <v>15277023</v>
      </c>
    </row>
    <row r="66" spans="2:14">
      <c r="B66" s="666" t="s">
        <v>58</v>
      </c>
      <c r="D66" s="628">
        <v>122135060</v>
      </c>
      <c r="F66" s="628">
        <v>2226385</v>
      </c>
      <c r="H66" s="628">
        <v>1749099</v>
      </c>
      <c r="I66" s="511"/>
      <c r="J66" s="628">
        <v>2618161</v>
      </c>
      <c r="L66" s="580">
        <v>0</v>
      </c>
      <c r="N66" s="628">
        <f>SUM(D66:L66)</f>
        <v>128728705</v>
      </c>
    </row>
    <row r="67" spans="2:14" ht="3.75" customHeight="1">
      <c r="B67" s="669"/>
      <c r="C67" s="669"/>
      <c r="D67" s="670"/>
      <c r="E67" s="669"/>
      <c r="F67" s="485"/>
      <c r="H67" s="485"/>
      <c r="J67" s="485"/>
      <c r="L67" s="485"/>
      <c r="N67" s="485"/>
    </row>
    <row r="68" spans="2:14">
      <c r="B68" s="562" t="s">
        <v>27</v>
      </c>
      <c r="C68" s="562"/>
      <c r="D68" s="506">
        <f>SUM(D62:D66)</f>
        <v>135225372</v>
      </c>
      <c r="E68" s="525"/>
      <c r="F68" s="506">
        <f>SUM(F62:F66)</f>
        <v>2226385</v>
      </c>
      <c r="G68" s="525"/>
      <c r="H68" s="506">
        <f>SUM(H62:H66)</f>
        <v>1749099</v>
      </c>
      <c r="I68" s="525"/>
      <c r="J68" s="506">
        <f>SUM(J62:J66)</f>
        <v>17895184</v>
      </c>
      <c r="K68" s="525"/>
      <c r="L68" s="582">
        <v>0</v>
      </c>
      <c r="M68" s="525"/>
      <c r="N68" s="506">
        <f>SUM(N62:N66)</f>
        <v>157096040</v>
      </c>
    </row>
    <row r="69" spans="2:14" ht="5.25" customHeight="1">
      <c r="B69" s="562"/>
      <c r="C69" s="562"/>
      <c r="D69" s="529"/>
      <c r="E69" s="529"/>
    </row>
    <row r="70" spans="2:14">
      <c r="B70" s="501" t="s">
        <v>107</v>
      </c>
      <c r="C70" s="501"/>
      <c r="D70" s="529"/>
      <c r="E70" s="529"/>
    </row>
    <row r="71" spans="2:14" ht="1.5" customHeight="1">
      <c r="B71" s="666"/>
      <c r="C71" s="666"/>
      <c r="D71" s="529"/>
      <c r="E71" s="529"/>
    </row>
    <row r="72" spans="2:14">
      <c r="B72" s="668" t="s">
        <v>3382</v>
      </c>
      <c r="C72" s="666"/>
      <c r="D72" s="627">
        <v>17690781.959999394</v>
      </c>
      <c r="E72" s="511"/>
      <c r="F72" s="627">
        <v>5685048.0800000001</v>
      </c>
      <c r="G72" s="511"/>
      <c r="H72" s="627">
        <v>7000246.8500000006</v>
      </c>
      <c r="I72" s="511"/>
      <c r="J72" s="627">
        <v>4550.12</v>
      </c>
      <c r="K72" s="511"/>
      <c r="L72" s="574">
        <v>0</v>
      </c>
      <c r="M72" s="511"/>
      <c r="N72" s="627">
        <f t="shared" ref="N72:N77" si="0">SUM(D72:L72)</f>
        <v>30380627.009999398</v>
      </c>
    </row>
    <row r="73" spans="2:14">
      <c r="B73" s="666" t="s">
        <v>3383</v>
      </c>
      <c r="C73" s="666"/>
      <c r="D73" s="627">
        <v>573176</v>
      </c>
      <c r="E73" s="511"/>
      <c r="F73" s="627">
        <v>7120074</v>
      </c>
      <c r="G73" s="511"/>
      <c r="H73" s="627">
        <v>6442305</v>
      </c>
      <c r="I73" s="574"/>
      <c r="J73" s="627">
        <v>5597426</v>
      </c>
      <c r="K73" s="511"/>
      <c r="L73" s="581">
        <v>0</v>
      </c>
      <c r="M73" s="511"/>
      <c r="N73" s="627">
        <f t="shared" si="0"/>
        <v>19732981</v>
      </c>
    </row>
    <row r="74" spans="2:14">
      <c r="B74" s="666" t="s">
        <v>25</v>
      </c>
      <c r="C74" s="666"/>
      <c r="D74" s="581">
        <v>0</v>
      </c>
      <c r="E74" s="511"/>
      <c r="F74" s="627">
        <v>2095323.57</v>
      </c>
      <c r="G74" s="511"/>
      <c r="H74" s="627">
        <v>362572.16000000003</v>
      </c>
      <c r="I74" s="511"/>
      <c r="J74" s="627">
        <v>672000</v>
      </c>
      <c r="K74" s="511">
        <v>0</v>
      </c>
      <c r="L74" s="581">
        <v>0</v>
      </c>
      <c r="M74" s="511"/>
      <c r="N74" s="627">
        <f t="shared" si="0"/>
        <v>3129895.73</v>
      </c>
    </row>
    <row r="75" spans="2:14">
      <c r="B75" s="666" t="s">
        <v>455</v>
      </c>
      <c r="C75" s="666"/>
      <c r="D75" s="580">
        <v>0</v>
      </c>
      <c r="E75" s="511"/>
      <c r="F75" s="628">
        <v>20063078.129999999</v>
      </c>
      <c r="G75" s="511"/>
      <c r="H75" s="628">
        <v>12503300</v>
      </c>
      <c r="I75" s="511"/>
      <c r="J75" s="628">
        <v>58367554</v>
      </c>
      <c r="K75" s="511"/>
      <c r="L75" s="580">
        <v>0</v>
      </c>
      <c r="M75" s="511"/>
      <c r="N75" s="628">
        <f t="shared" si="0"/>
        <v>90933932.129999995</v>
      </c>
    </row>
    <row r="76" spans="2:14" ht="6.75" customHeight="1">
      <c r="B76" s="666"/>
      <c r="C76" s="666"/>
      <c r="D76" s="583"/>
      <c r="E76" s="511"/>
      <c r="F76" s="583"/>
      <c r="G76" s="511"/>
      <c r="H76" s="583"/>
      <c r="I76" s="511"/>
      <c r="J76" s="511"/>
      <c r="K76" s="511"/>
      <c r="L76" s="574"/>
      <c r="M76" s="511"/>
      <c r="N76" s="583"/>
    </row>
    <row r="77" spans="2:14">
      <c r="B77" s="667" t="s">
        <v>52</v>
      </c>
      <c r="C77" s="501"/>
      <c r="D77" s="627">
        <f>SUM(D72:D75)</f>
        <v>18263957.959999394</v>
      </c>
      <c r="E77" s="511"/>
      <c r="F77" s="627">
        <f>SUM(F72:F75)</f>
        <v>34963523.780000001</v>
      </c>
      <c r="G77" s="511">
        <v>0</v>
      </c>
      <c r="H77" s="627">
        <f>SUM(H72:H75)</f>
        <v>26308424.010000002</v>
      </c>
      <c r="I77" s="511">
        <v>0</v>
      </c>
      <c r="J77" s="627">
        <f>SUM(J72:J75)</f>
        <v>64641530.119999997</v>
      </c>
      <c r="K77" s="511">
        <v>0</v>
      </c>
      <c r="L77" s="581">
        <v>0</v>
      </c>
      <c r="M77" s="511"/>
      <c r="N77" s="627">
        <f t="shared" si="0"/>
        <v>144177435.86999941</v>
      </c>
    </row>
    <row r="78" spans="2:14">
      <c r="B78" s="667" t="s">
        <v>92</v>
      </c>
      <c r="C78" s="486"/>
      <c r="D78" s="580">
        <v>0</v>
      </c>
      <c r="E78" s="511"/>
      <c r="F78" s="580" t="s">
        <v>31</v>
      </c>
      <c r="G78" s="511"/>
      <c r="H78" s="580" t="s">
        <v>31</v>
      </c>
      <c r="I78" s="511"/>
      <c r="J78" s="580" t="s">
        <v>31</v>
      </c>
      <c r="K78" s="511"/>
      <c r="L78" s="628" t="e">
        <f>#REF!</f>
        <v>#REF!</v>
      </c>
      <c r="M78" s="511"/>
      <c r="N78" s="628" t="e">
        <f>L78</f>
        <v>#REF!</v>
      </c>
    </row>
    <row r="79" spans="2:14" ht="12.75" customHeight="1">
      <c r="B79" s="529"/>
      <c r="C79" s="529"/>
      <c r="D79" s="583"/>
      <c r="E79" s="511"/>
      <c r="F79" s="583"/>
      <c r="G79" s="511"/>
      <c r="H79" s="583"/>
      <c r="I79" s="511"/>
      <c r="J79" s="583"/>
      <c r="K79" s="511"/>
      <c r="L79" s="583"/>
      <c r="M79" s="511"/>
      <c r="N79" s="583"/>
    </row>
    <row r="80" spans="2:14">
      <c r="B80" s="667" t="s">
        <v>3372</v>
      </c>
      <c r="C80" s="501"/>
      <c r="D80" s="506">
        <f>SUM(D77:D78)</f>
        <v>18263957.959999394</v>
      </c>
      <c r="E80" s="518"/>
      <c r="F80" s="506">
        <f>SUM(F77:F78)</f>
        <v>34963523.780000001</v>
      </c>
      <c r="G80" s="518"/>
      <c r="H80" s="506">
        <f>SUM(H77:H78)</f>
        <v>26308424.010000002</v>
      </c>
      <c r="I80" s="518"/>
      <c r="J80" s="506">
        <f>SUM(J77:J78)</f>
        <v>64641530.119999997</v>
      </c>
      <c r="K80" s="518"/>
      <c r="L80" s="506" t="e">
        <f>SUM(L77:L78)</f>
        <v>#REF!</v>
      </c>
      <c r="M80" s="518"/>
      <c r="N80" s="506" t="e">
        <f>SUM(N77:N78)</f>
        <v>#REF!</v>
      </c>
    </row>
    <row r="81" spans="1:14" ht="10.5" customHeight="1">
      <c r="B81" s="529"/>
      <c r="C81" s="529"/>
      <c r="D81" s="511"/>
      <c r="E81" s="511"/>
      <c r="F81" s="511"/>
      <c r="G81" s="511"/>
      <c r="H81" s="511"/>
      <c r="I81" s="511"/>
      <c r="J81" s="511"/>
      <c r="K81" s="511"/>
      <c r="L81" s="511"/>
      <c r="M81" s="511"/>
      <c r="N81" s="511"/>
    </row>
    <row r="82" spans="1:14" ht="14" thickBot="1">
      <c r="B82" s="667" t="s">
        <v>454</v>
      </c>
      <c r="C82" s="501"/>
      <c r="D82" s="628">
        <f>D68-D80</f>
        <v>116961414.0400006</v>
      </c>
      <c r="E82" s="511"/>
      <c r="F82" s="584">
        <f>F68-F80</f>
        <v>-32737138.780000001</v>
      </c>
      <c r="G82" s="511"/>
      <c r="H82" s="584">
        <f>H68-H80</f>
        <v>-24559325.010000002</v>
      </c>
      <c r="I82" s="511"/>
      <c r="J82" s="584">
        <f>J68-J80</f>
        <v>-46746346.119999997</v>
      </c>
      <c r="K82" s="511"/>
      <c r="L82" s="584" t="e">
        <f>L80</f>
        <v>#REF!</v>
      </c>
      <c r="M82" s="511"/>
      <c r="N82" s="584" t="e">
        <f>N68-N80</f>
        <v>#REF!</v>
      </c>
    </row>
    <row r="83" spans="1:14" ht="14" thickTop="1">
      <c r="A83" s="488" t="s">
        <v>422</v>
      </c>
      <c r="B83" s="489"/>
      <c r="C83" s="489"/>
      <c r="D83" s="489"/>
      <c r="E83" s="489"/>
      <c r="F83" s="489"/>
      <c r="G83" s="489"/>
      <c r="H83" s="490"/>
      <c r="I83" s="490"/>
      <c r="J83" s="490"/>
      <c r="K83" s="490"/>
      <c r="L83" s="524"/>
      <c r="M83" s="491"/>
      <c r="N83" s="490"/>
    </row>
    <row r="84" spans="1:14" ht="7.5" customHeight="1">
      <c r="A84" s="492"/>
      <c r="B84" s="486"/>
      <c r="C84" s="486"/>
      <c r="D84" s="486"/>
      <c r="E84" s="486"/>
      <c r="F84" s="486"/>
      <c r="G84" s="486"/>
      <c r="H84" s="490"/>
      <c r="I84" s="490"/>
      <c r="J84" s="490"/>
      <c r="K84" s="490"/>
      <c r="L84" s="524"/>
      <c r="M84" s="491"/>
      <c r="N84" s="490"/>
    </row>
    <row r="85" spans="1:14">
      <c r="A85" s="492" t="s">
        <v>3039</v>
      </c>
      <c r="B85" s="489"/>
      <c r="C85" s="489"/>
      <c r="D85" s="489"/>
      <c r="E85" s="489"/>
      <c r="F85" s="489"/>
      <c r="G85" s="489"/>
      <c r="H85" s="490"/>
      <c r="I85" s="490"/>
      <c r="J85" s="490"/>
      <c r="K85" s="490"/>
      <c r="L85" s="491"/>
      <c r="M85" s="491"/>
      <c r="N85" s="490"/>
    </row>
    <row r="86" spans="1:14">
      <c r="A86" s="494" t="s">
        <v>3407</v>
      </c>
      <c r="B86" s="494"/>
      <c r="C86" s="494"/>
      <c r="D86" s="494"/>
      <c r="E86" s="494"/>
      <c r="F86" s="494"/>
      <c r="G86" s="494"/>
      <c r="H86" s="495"/>
      <c r="I86" s="495"/>
      <c r="J86" s="495"/>
      <c r="K86" s="495"/>
      <c r="L86" s="496"/>
      <c r="M86" s="496"/>
      <c r="N86" s="495"/>
    </row>
    <row r="87" spans="1:14" ht="8.25" customHeight="1">
      <c r="A87" s="486"/>
      <c r="B87" s="487"/>
      <c r="C87" s="487"/>
      <c r="D87" s="487"/>
      <c r="E87" s="487"/>
      <c r="F87" s="487"/>
      <c r="G87" s="487"/>
      <c r="H87" s="487"/>
      <c r="I87" s="487"/>
      <c r="J87" s="487"/>
      <c r="K87" s="487"/>
      <c r="L87" s="677"/>
      <c r="M87" s="677"/>
      <c r="N87" s="487"/>
    </row>
    <row r="88" spans="1:14">
      <c r="A88" s="519" t="s">
        <v>26</v>
      </c>
      <c r="B88" s="487"/>
      <c r="C88" s="487"/>
      <c r="D88" s="487"/>
      <c r="E88" s="487"/>
      <c r="F88" s="487"/>
      <c r="G88" s="487"/>
      <c r="H88" s="487"/>
      <c r="I88" s="487"/>
      <c r="J88" s="487"/>
      <c r="K88" s="487"/>
      <c r="L88" s="677"/>
      <c r="M88" s="677"/>
      <c r="N88" s="487"/>
    </row>
    <row r="89" spans="1:14" ht="7.5" customHeight="1">
      <c r="A89" s="486"/>
      <c r="B89" s="487"/>
      <c r="C89" s="487"/>
      <c r="D89" s="487"/>
      <c r="E89" s="487"/>
      <c r="F89" s="487"/>
      <c r="G89" s="487"/>
      <c r="H89" s="487"/>
      <c r="I89" s="487"/>
      <c r="J89" s="487"/>
      <c r="K89" s="487"/>
      <c r="L89" s="677"/>
      <c r="M89" s="677"/>
      <c r="N89" s="487"/>
    </row>
    <row r="90" spans="1:14">
      <c r="A90" s="519" t="s">
        <v>3041</v>
      </c>
      <c r="B90" s="493" t="s">
        <v>3040</v>
      </c>
      <c r="C90" s="493"/>
      <c r="D90" s="489"/>
      <c r="E90" s="489"/>
      <c r="F90" s="489"/>
      <c r="G90" s="489"/>
      <c r="H90" s="489"/>
    </row>
    <row r="91" spans="1:14" ht="10.5" customHeight="1">
      <c r="B91" s="493"/>
      <c r="C91" s="501"/>
      <c r="D91" s="511"/>
      <c r="E91" s="511"/>
      <c r="F91" s="511"/>
      <c r="G91" s="511"/>
      <c r="H91" s="511"/>
      <c r="I91" s="511"/>
      <c r="J91" s="511"/>
      <c r="K91" s="511"/>
      <c r="L91" s="511"/>
      <c r="M91" s="511"/>
      <c r="N91" s="511"/>
    </row>
    <row r="92" spans="1:14">
      <c r="B92" s="493" t="s">
        <v>318</v>
      </c>
      <c r="C92" s="493"/>
      <c r="D92" s="511"/>
      <c r="E92" s="511"/>
      <c r="F92" s="511"/>
      <c r="G92" s="511"/>
      <c r="H92" s="511"/>
      <c r="I92" s="511"/>
      <c r="J92" s="511"/>
      <c r="K92" s="511"/>
      <c r="L92" s="511"/>
      <c r="M92" s="511"/>
      <c r="N92" s="511"/>
    </row>
    <row r="93" spans="1:14" ht="7.5" customHeight="1">
      <c r="B93" s="501"/>
      <c r="C93" s="501"/>
      <c r="D93" s="511"/>
      <c r="E93" s="511"/>
      <c r="F93" s="511"/>
      <c r="G93" s="511"/>
      <c r="H93" s="511"/>
      <c r="I93" s="511"/>
      <c r="J93" s="511"/>
      <c r="K93" s="511"/>
      <c r="L93" s="511"/>
      <c r="M93" s="511"/>
      <c r="N93" s="511"/>
    </row>
    <row r="94" spans="1:14" ht="33.75" customHeight="1">
      <c r="B94" s="968" t="s">
        <v>456</v>
      </c>
      <c r="C94" s="968"/>
      <c r="D94" s="968"/>
      <c r="E94" s="968"/>
      <c r="F94" s="968"/>
      <c r="G94" s="968"/>
      <c r="H94" s="968"/>
      <c r="I94" s="968"/>
      <c r="J94" s="1016"/>
      <c r="K94" s="1016"/>
      <c r="L94" s="1016"/>
      <c r="M94" s="1016"/>
      <c r="N94" s="1016"/>
    </row>
    <row r="95" spans="1:14" ht="0.75" customHeight="1">
      <c r="B95" s="501"/>
      <c r="C95" s="501"/>
      <c r="D95" s="511"/>
      <c r="E95" s="511"/>
      <c r="F95" s="511"/>
      <c r="G95" s="511"/>
      <c r="H95" s="511"/>
      <c r="I95" s="511"/>
      <c r="J95" s="511"/>
      <c r="K95" s="511"/>
      <c r="L95" s="511"/>
      <c r="M95" s="511"/>
      <c r="N95" s="511"/>
    </row>
    <row r="96" spans="1:14" ht="29.25" customHeight="1">
      <c r="B96" s="968" t="s">
        <v>457</v>
      </c>
      <c r="C96" s="968"/>
      <c r="D96" s="968"/>
      <c r="E96" s="968"/>
      <c r="F96" s="968"/>
      <c r="G96" s="968"/>
      <c r="H96" s="968"/>
      <c r="I96" s="968"/>
      <c r="J96" s="1016"/>
      <c r="K96" s="1016"/>
      <c r="L96" s="1016"/>
      <c r="M96" s="1016"/>
      <c r="N96" s="1016"/>
    </row>
    <row r="97" spans="2:16" ht="7.5" customHeight="1">
      <c r="B97" s="521"/>
      <c r="C97" s="521"/>
      <c r="D97" s="521"/>
      <c r="E97" s="521"/>
      <c r="F97" s="521"/>
      <c r="G97" s="521"/>
      <c r="H97" s="521"/>
      <c r="I97" s="521"/>
      <c r="J97" s="521"/>
      <c r="K97" s="521"/>
      <c r="L97" s="521"/>
      <c r="M97" s="521"/>
      <c r="N97" s="521"/>
    </row>
    <row r="98" spans="2:16" ht="42.75" customHeight="1">
      <c r="B98" s="968" t="s">
        <v>458</v>
      </c>
      <c r="C98" s="968"/>
      <c r="D98" s="968"/>
      <c r="E98" s="968"/>
      <c r="F98" s="968"/>
      <c r="G98" s="968"/>
      <c r="H98" s="968"/>
      <c r="I98" s="968"/>
      <c r="J98" s="1016"/>
      <c r="K98" s="1016"/>
      <c r="L98" s="1016"/>
      <c r="M98" s="1016"/>
      <c r="N98" s="1016"/>
    </row>
    <row r="99" spans="2:16" ht="4.5" customHeight="1">
      <c r="B99" s="521"/>
      <c r="C99" s="521"/>
      <c r="D99" s="521"/>
      <c r="E99" s="521"/>
      <c r="F99" s="521"/>
      <c r="G99" s="521"/>
      <c r="H99" s="521"/>
      <c r="I99" s="521"/>
      <c r="J99" s="608"/>
      <c r="K99" s="608"/>
      <c r="L99" s="608"/>
      <c r="M99" s="608"/>
      <c r="N99" s="608"/>
    </row>
    <row r="100" spans="2:16">
      <c r="B100" s="493" t="s">
        <v>459</v>
      </c>
      <c r="C100" s="589"/>
      <c r="D100" s="589"/>
      <c r="E100" s="589"/>
      <c r="F100" s="589"/>
      <c r="G100" s="589"/>
      <c r="H100" s="589"/>
      <c r="I100" s="589"/>
      <c r="J100" s="589"/>
      <c r="K100" s="589"/>
      <c r="L100" s="589"/>
      <c r="M100" s="589"/>
      <c r="N100" s="589"/>
    </row>
    <row r="101" spans="2:16" ht="8.25" customHeight="1">
      <c r="B101" s="486"/>
      <c r="C101" s="486"/>
      <c r="D101" s="486"/>
      <c r="E101" s="486"/>
      <c r="F101" s="486"/>
      <c r="G101" s="486"/>
      <c r="H101" s="486"/>
      <c r="I101" s="486"/>
      <c r="J101" s="486"/>
      <c r="K101" s="486"/>
      <c r="L101" s="486"/>
      <c r="M101" s="486"/>
      <c r="N101" s="501"/>
    </row>
    <row r="102" spans="2:16" ht="33" customHeight="1">
      <c r="B102" s="968" t="s">
        <v>460</v>
      </c>
      <c r="C102" s="968"/>
      <c r="D102" s="968"/>
      <c r="E102" s="968"/>
      <c r="F102" s="968"/>
      <c r="G102" s="968"/>
      <c r="H102" s="968"/>
      <c r="I102" s="968"/>
      <c r="J102" s="1016"/>
      <c r="K102" s="1016"/>
      <c r="L102" s="1016"/>
      <c r="M102" s="1016"/>
      <c r="N102" s="1016"/>
    </row>
    <row r="103" spans="2:16" ht="6.75" customHeight="1">
      <c r="B103" s="585"/>
      <c r="C103" s="585"/>
      <c r="D103" s="521"/>
      <c r="E103" s="521"/>
      <c r="F103" s="521"/>
      <c r="G103" s="521"/>
      <c r="H103" s="521"/>
      <c r="I103" s="521"/>
      <c r="J103" s="521"/>
      <c r="K103" s="521"/>
      <c r="L103" s="521"/>
      <c r="M103" s="521"/>
      <c r="N103" s="521"/>
    </row>
    <row r="104" spans="2:16" ht="29.25" customHeight="1">
      <c r="B104" s="968" t="s">
        <v>3554</v>
      </c>
      <c r="C104" s="968"/>
      <c r="D104" s="968"/>
      <c r="E104" s="968"/>
      <c r="F104" s="968"/>
      <c r="G104" s="968"/>
      <c r="H104" s="968"/>
      <c r="I104" s="968"/>
      <c r="J104" s="1016"/>
      <c r="K104" s="1016"/>
      <c r="L104" s="1016"/>
      <c r="M104" s="1016"/>
      <c r="N104" s="1016"/>
    </row>
    <row r="105" spans="2:16" ht="5.25" customHeight="1">
      <c r="B105" s="585"/>
      <c r="C105" s="585"/>
      <c r="D105" s="521"/>
      <c r="E105" s="521"/>
      <c r="F105" s="521"/>
      <c r="G105" s="521"/>
      <c r="H105" s="521"/>
      <c r="I105" s="521"/>
      <c r="J105" s="521"/>
      <c r="K105" s="521"/>
      <c r="L105" s="521"/>
      <c r="M105" s="521"/>
      <c r="N105" s="521"/>
    </row>
    <row r="106" spans="2:16" ht="15.75" customHeight="1">
      <c r="B106" s="1017"/>
      <c r="C106" s="1017"/>
      <c r="D106" s="1017"/>
      <c r="E106" s="643"/>
      <c r="F106" s="521"/>
      <c r="G106" s="521"/>
      <c r="H106" s="586"/>
      <c r="I106" s="586"/>
      <c r="J106" s="587" t="s">
        <v>319</v>
      </c>
      <c r="K106" s="587"/>
      <c r="L106" s="521"/>
      <c r="M106" s="521"/>
      <c r="N106" s="587" t="s">
        <v>319</v>
      </c>
    </row>
    <row r="107" spans="2:16">
      <c r="B107" s="493" t="s">
        <v>1922</v>
      </c>
      <c r="C107" s="493"/>
      <c r="D107" s="521"/>
      <c r="E107" s="521"/>
      <c r="F107" s="588"/>
      <c r="G107" s="521"/>
      <c r="H107" s="589"/>
      <c r="I107" s="589"/>
      <c r="J107" s="587" t="s">
        <v>461</v>
      </c>
      <c r="K107" s="587"/>
      <c r="L107" s="589"/>
      <c r="M107" s="589"/>
      <c r="N107" s="587" t="s">
        <v>462</v>
      </c>
    </row>
    <row r="108" spans="2:16">
      <c r="B108" s="521"/>
      <c r="C108" s="521"/>
      <c r="D108" s="521"/>
      <c r="E108" s="521"/>
      <c r="F108" s="521"/>
      <c r="G108" s="521"/>
      <c r="H108" s="590"/>
      <c r="I108" s="590"/>
      <c r="J108" s="587" t="s">
        <v>424</v>
      </c>
      <c r="K108" s="587"/>
      <c r="L108" s="591"/>
      <c r="M108" s="591"/>
      <c r="N108" s="587" t="s">
        <v>424</v>
      </c>
      <c r="P108" s="561">
        <v>10.990600000000001</v>
      </c>
    </row>
    <row r="109" spans="2:16" ht="14.25" customHeight="1">
      <c r="B109" s="521"/>
      <c r="C109" s="521"/>
      <c r="D109" s="521"/>
      <c r="E109" s="521"/>
      <c r="F109" s="588"/>
      <c r="G109" s="521"/>
      <c r="H109" s="589"/>
      <c r="I109" s="589"/>
      <c r="J109" s="587" t="s">
        <v>463</v>
      </c>
      <c r="K109" s="587"/>
      <c r="L109" s="622"/>
      <c r="M109" s="622"/>
      <c r="N109" s="587" t="s">
        <v>463</v>
      </c>
      <c r="P109" s="561">
        <v>9.9207999999999998</v>
      </c>
    </row>
    <row r="110" spans="2:16" ht="11.25" customHeight="1">
      <c r="B110" s="643"/>
      <c r="C110" s="643"/>
      <c r="D110" s="643"/>
      <c r="E110" s="643"/>
      <c r="F110" s="521"/>
      <c r="G110" s="521"/>
      <c r="H110" s="521"/>
      <c r="I110" s="521"/>
      <c r="J110" s="587"/>
      <c r="K110" s="587"/>
      <c r="L110" s="587"/>
      <c r="M110" s="587"/>
      <c r="N110" s="622"/>
      <c r="P110" s="561">
        <f>P108-P109</f>
        <v>1.0698000000000008</v>
      </c>
    </row>
    <row r="111" spans="2:16" ht="14" thickBot="1">
      <c r="B111" s="493" t="s">
        <v>3555</v>
      </c>
      <c r="C111" s="493"/>
      <c r="D111" s="608"/>
      <c r="E111" s="608"/>
      <c r="F111" s="680" t="e">
        <f>#REF!</f>
        <v>#REF!</v>
      </c>
      <c r="G111" s="592"/>
      <c r="H111" s="608"/>
      <c r="I111" s="608"/>
      <c r="J111" s="680" t="e">
        <f>F111+(10%*#REF!)</f>
        <v>#REF!</v>
      </c>
      <c r="K111" s="542"/>
      <c r="L111" s="676"/>
      <c r="M111" s="676"/>
      <c r="N111" s="680" t="e">
        <f>F111+2487550.52</f>
        <v>#REF!</v>
      </c>
      <c r="O111" s="561" t="e">
        <f>F111-J111</f>
        <v>#REF!</v>
      </c>
      <c r="P111" s="679">
        <f>P110/P108</f>
        <v>9.7337724964970132E-2</v>
      </c>
    </row>
    <row r="112" spans="2:16" ht="8.25" customHeight="1" thickTop="1">
      <c r="B112" s="493"/>
      <c r="C112" s="493"/>
      <c r="D112" s="608"/>
      <c r="E112" s="608"/>
      <c r="F112" s="561"/>
      <c r="G112" s="592"/>
      <c r="H112" s="608"/>
      <c r="I112" s="608"/>
      <c r="J112" s="561"/>
      <c r="K112" s="542"/>
      <c r="L112" s="676"/>
      <c r="M112" s="676"/>
      <c r="N112" s="561"/>
    </row>
    <row r="113" spans="1:14" ht="33" customHeight="1">
      <c r="B113" s="968" t="s">
        <v>3563</v>
      </c>
      <c r="C113" s="968"/>
      <c r="D113" s="968"/>
      <c r="E113" s="968"/>
      <c r="F113" s="968"/>
      <c r="G113" s="968"/>
      <c r="H113" s="968"/>
      <c r="I113" s="968"/>
      <c r="J113" s="1016"/>
      <c r="K113" s="1016"/>
      <c r="L113" s="1016"/>
      <c r="M113" s="1016"/>
      <c r="N113" s="1016"/>
    </row>
    <row r="114" spans="1:14" ht="2.25" customHeight="1">
      <c r="B114" s="589"/>
      <c r="C114" s="589"/>
      <c r="D114" s="608"/>
      <c r="E114" s="608"/>
      <c r="F114" s="608"/>
      <c r="G114" s="608"/>
      <c r="H114" s="608"/>
      <c r="I114" s="608"/>
      <c r="J114" s="542"/>
      <c r="K114" s="542"/>
      <c r="L114" s="676"/>
      <c r="M114" s="676"/>
      <c r="N114" s="542"/>
    </row>
    <row r="115" spans="1:14" ht="15" customHeight="1">
      <c r="B115" s="493" t="s">
        <v>3560</v>
      </c>
      <c r="C115" s="493"/>
      <c r="D115" s="493"/>
      <c r="E115" s="493"/>
      <c r="F115" s="493"/>
      <c r="G115" s="493"/>
      <c r="H115" s="493"/>
      <c r="I115" s="493"/>
      <c r="J115" s="493"/>
      <c r="K115" s="493"/>
      <c r="L115" s="493"/>
      <c r="M115" s="493"/>
      <c r="N115" s="493"/>
    </row>
    <row r="116" spans="1:14" ht="10.5" customHeight="1">
      <c r="B116" s="589"/>
      <c r="C116" s="589"/>
      <c r="D116" s="608"/>
      <c r="E116" s="608"/>
      <c r="F116" s="608"/>
      <c r="G116" s="608"/>
      <c r="H116" s="608"/>
      <c r="I116" s="608"/>
      <c r="J116" s="542"/>
      <c r="K116" s="542"/>
      <c r="L116" s="676"/>
      <c r="M116" s="676"/>
      <c r="N116" s="542"/>
    </row>
    <row r="117" spans="1:14" ht="31.5" customHeight="1">
      <c r="B117" s="968" t="s">
        <v>3561</v>
      </c>
      <c r="C117" s="968"/>
      <c r="D117" s="968"/>
      <c r="E117" s="968"/>
      <c r="F117" s="968"/>
      <c r="G117" s="968"/>
      <c r="H117" s="968"/>
      <c r="I117" s="968"/>
      <c r="J117" s="1016"/>
      <c r="K117" s="1016"/>
      <c r="L117" s="1016"/>
      <c r="M117" s="1016"/>
      <c r="N117" s="1016"/>
    </row>
    <row r="118" spans="1:14">
      <c r="A118" s="488" t="s">
        <v>422</v>
      </c>
      <c r="B118" s="489"/>
      <c r="C118" s="489"/>
      <c r="D118" s="489"/>
      <c r="E118" s="489"/>
      <c r="F118" s="489"/>
      <c r="G118" s="489"/>
      <c r="H118" s="490"/>
      <c r="I118" s="490"/>
      <c r="J118" s="490"/>
      <c r="K118" s="490"/>
      <c r="L118" s="524"/>
      <c r="M118" s="491"/>
      <c r="N118" s="490"/>
    </row>
    <row r="119" spans="1:14" ht="7.5" customHeight="1">
      <c r="A119" s="492"/>
      <c r="B119" s="486"/>
      <c r="C119" s="486"/>
      <c r="D119" s="486"/>
      <c r="E119" s="486"/>
      <c r="F119" s="486"/>
      <c r="G119" s="486"/>
      <c r="H119" s="490"/>
      <c r="I119" s="490"/>
      <c r="J119" s="490"/>
      <c r="K119" s="490"/>
      <c r="L119" s="524"/>
      <c r="M119" s="491"/>
      <c r="N119" s="490"/>
    </row>
    <row r="120" spans="1:14">
      <c r="A120" s="492" t="s">
        <v>3039</v>
      </c>
      <c r="B120" s="489"/>
      <c r="C120" s="489"/>
      <c r="D120" s="489"/>
      <c r="E120" s="489"/>
      <c r="F120" s="489"/>
      <c r="G120" s="489"/>
      <c r="H120" s="490"/>
      <c r="I120" s="490"/>
      <c r="J120" s="490"/>
      <c r="K120" s="490"/>
      <c r="L120" s="491"/>
      <c r="M120" s="491"/>
      <c r="N120" s="490"/>
    </row>
    <row r="121" spans="1:14">
      <c r="A121" s="494" t="s">
        <v>3407</v>
      </c>
      <c r="B121" s="494"/>
      <c r="C121" s="494"/>
      <c r="D121" s="494"/>
      <c r="E121" s="486"/>
      <c r="F121" s="494"/>
      <c r="G121" s="494"/>
      <c r="H121" s="495"/>
      <c r="I121" s="495"/>
      <c r="J121" s="495"/>
      <c r="K121" s="495"/>
      <c r="L121" s="496"/>
      <c r="M121" s="496"/>
      <c r="N121" s="495"/>
    </row>
    <row r="122" spans="1:14" ht="8.25" customHeight="1">
      <c r="A122" s="486"/>
      <c r="B122" s="487"/>
      <c r="C122" s="487"/>
      <c r="D122" s="487"/>
      <c r="E122" s="487"/>
      <c r="F122" s="487"/>
      <c r="G122" s="487"/>
      <c r="H122" s="487"/>
      <c r="I122" s="487"/>
      <c r="J122" s="487"/>
      <c r="K122" s="487"/>
      <c r="L122" s="677"/>
      <c r="M122" s="677"/>
      <c r="N122" s="487"/>
    </row>
    <row r="123" spans="1:14">
      <c r="A123" s="519" t="s">
        <v>26</v>
      </c>
      <c r="B123" s="487"/>
      <c r="C123" s="487"/>
      <c r="D123" s="487"/>
      <c r="E123" s="487"/>
      <c r="F123" s="487"/>
      <c r="G123" s="487"/>
      <c r="H123" s="487"/>
      <c r="I123" s="487"/>
      <c r="J123" s="487"/>
      <c r="K123" s="487"/>
      <c r="L123" s="677"/>
      <c r="M123" s="677"/>
      <c r="N123" s="487"/>
    </row>
    <row r="124" spans="1:14" ht="7.5" customHeight="1">
      <c r="A124" s="486"/>
      <c r="B124" s="487"/>
      <c r="C124" s="487"/>
      <c r="D124" s="487"/>
      <c r="E124" s="487"/>
      <c r="F124" s="487"/>
      <c r="G124" s="487"/>
      <c r="H124" s="487"/>
      <c r="I124" s="487"/>
      <c r="J124" s="487"/>
      <c r="K124" s="487"/>
      <c r="L124" s="677"/>
      <c r="M124" s="677"/>
      <c r="N124" s="487"/>
    </row>
    <row r="125" spans="1:14">
      <c r="A125" s="519" t="s">
        <v>3041</v>
      </c>
      <c r="B125" s="493" t="s">
        <v>3040</v>
      </c>
      <c r="C125" s="493"/>
      <c r="D125" s="489"/>
      <c r="E125" s="489"/>
      <c r="F125" s="489"/>
      <c r="G125" s="489"/>
      <c r="H125" s="489"/>
    </row>
    <row r="126" spans="1:14" ht="11.25" customHeight="1">
      <c r="A126" s="519"/>
      <c r="B126" s="493"/>
      <c r="C126" s="493"/>
      <c r="D126" s="489"/>
      <c r="E126" s="489"/>
      <c r="F126" s="489"/>
      <c r="G126" s="489"/>
      <c r="H126" s="489"/>
    </row>
    <row r="127" spans="1:14">
      <c r="A127" s="519"/>
      <c r="B127" s="493" t="s">
        <v>3373</v>
      </c>
      <c r="C127" s="493"/>
      <c r="D127" s="493"/>
      <c r="E127" s="493"/>
      <c r="F127" s="493"/>
      <c r="G127" s="493"/>
      <c r="H127" s="493"/>
      <c r="I127" s="493"/>
      <c r="J127" s="493"/>
      <c r="K127" s="493"/>
      <c r="L127" s="493"/>
      <c r="M127" s="493"/>
      <c r="N127" s="493"/>
    </row>
    <row r="128" spans="1:14" ht="12" customHeight="1">
      <c r="A128" s="519"/>
      <c r="B128" s="493"/>
      <c r="C128" s="493"/>
      <c r="D128" s="511"/>
      <c r="E128" s="489"/>
      <c r="F128" s="489"/>
      <c r="G128" s="489"/>
      <c r="H128" s="489"/>
    </row>
    <row r="129" spans="2:20" ht="15" customHeight="1">
      <c r="B129" s="493" t="s">
        <v>3562</v>
      </c>
      <c r="C129" s="493"/>
      <c r="D129" s="493"/>
      <c r="E129" s="493"/>
      <c r="F129" s="493"/>
      <c r="G129" s="493"/>
      <c r="H129" s="493"/>
      <c r="I129" s="493"/>
      <c r="J129" s="544"/>
      <c r="K129" s="493"/>
      <c r="L129" s="493"/>
      <c r="M129" s="493"/>
      <c r="N129" s="493"/>
    </row>
    <row r="130" spans="2:20" ht="12.75" customHeight="1">
      <c r="B130" s="598"/>
      <c r="C130" s="598"/>
      <c r="D130" s="598"/>
      <c r="E130" s="598"/>
      <c r="F130" s="598"/>
      <c r="G130" s="598"/>
      <c r="H130" s="598"/>
      <c r="I130" s="598"/>
      <c r="J130" s="598"/>
      <c r="K130" s="598"/>
      <c r="L130" s="598"/>
      <c r="M130" s="598"/>
      <c r="N130" s="598"/>
    </row>
    <row r="131" spans="2:20">
      <c r="B131" s="589"/>
      <c r="C131" s="589"/>
      <c r="D131" s="608"/>
      <c r="E131" s="608"/>
      <c r="F131" s="586"/>
      <c r="G131" s="586"/>
      <c r="H131" s="586"/>
      <c r="I131" s="586"/>
      <c r="J131" s="587" t="s">
        <v>319</v>
      </c>
      <c r="K131" s="586"/>
      <c r="L131" s="587"/>
      <c r="M131" s="587"/>
      <c r="N131" s="676" t="s">
        <v>319</v>
      </c>
    </row>
    <row r="132" spans="2:20">
      <c r="B132" s="589"/>
      <c r="C132" s="589"/>
      <c r="D132" s="608"/>
      <c r="E132" s="608"/>
      <c r="F132" s="1018" t="s">
        <v>3564</v>
      </c>
      <c r="G132" s="1018"/>
      <c r="H132" s="1018"/>
      <c r="I132" s="1018"/>
      <c r="J132" s="1018"/>
      <c r="K132" s="676"/>
      <c r="L132" s="1019" t="s">
        <v>3565</v>
      </c>
      <c r="M132" s="1019"/>
      <c r="N132" s="1019"/>
      <c r="P132" s="593"/>
    </row>
    <row r="133" spans="2:20">
      <c r="B133" s="589"/>
      <c r="C133" s="589"/>
      <c r="D133" s="608"/>
      <c r="E133" s="608"/>
      <c r="F133" s="587"/>
      <c r="G133" s="587"/>
      <c r="H133" s="676"/>
      <c r="I133" s="676"/>
      <c r="J133" s="587" t="s">
        <v>2994</v>
      </c>
      <c r="K133" s="587"/>
      <c r="L133" s="586"/>
      <c r="M133" s="586"/>
      <c r="N133" s="676" t="s">
        <v>2994</v>
      </c>
    </row>
    <row r="134" spans="2:20" ht="15" customHeight="1">
      <c r="B134" s="589"/>
      <c r="C134" s="589"/>
      <c r="E134" s="608"/>
      <c r="F134" s="1020" t="s">
        <v>425</v>
      </c>
      <c r="G134" s="1020"/>
      <c r="H134" s="1020"/>
      <c r="I134" s="1020"/>
      <c r="J134" s="1020"/>
      <c r="K134" s="490"/>
      <c r="L134" s="1021" t="s">
        <v>425</v>
      </c>
      <c r="M134" s="1021"/>
      <c r="N134" s="1019"/>
    </row>
    <row r="135" spans="2:20">
      <c r="B135" s="493"/>
      <c r="C135" s="589"/>
      <c r="E135" s="643"/>
      <c r="G135" s="608"/>
      <c r="H135" s="608"/>
      <c r="I135" s="608"/>
      <c r="J135" s="542"/>
      <c r="K135" s="542"/>
      <c r="L135" s="676"/>
      <c r="M135" s="676"/>
      <c r="N135" s="542"/>
    </row>
    <row r="136" spans="2:20" ht="11.25" customHeight="1">
      <c r="B136" s="493"/>
      <c r="C136" s="643"/>
      <c r="D136" s="643"/>
      <c r="E136" s="643"/>
      <c r="F136" s="593"/>
      <c r="G136" s="608"/>
      <c r="H136" s="593"/>
      <c r="I136" s="608"/>
      <c r="J136" s="542"/>
      <c r="K136" s="542"/>
      <c r="L136" s="594"/>
      <c r="M136" s="676"/>
      <c r="N136" s="542"/>
      <c r="R136" s="561">
        <v>2672742</v>
      </c>
      <c r="S136" s="561">
        <v>2807651</v>
      </c>
      <c r="T136" s="561">
        <v>-134909</v>
      </c>
    </row>
    <row r="137" spans="2:20" ht="14" thickBot="1">
      <c r="B137" s="493" t="s">
        <v>3555</v>
      </c>
      <c r="C137" s="589"/>
      <c r="D137" s="608"/>
      <c r="E137" s="608"/>
      <c r="F137" s="680" t="e">
        <f>F111</f>
        <v>#REF!</v>
      </c>
      <c r="G137" s="557"/>
      <c r="H137" s="608"/>
      <c r="I137" s="608"/>
      <c r="J137" s="680" t="e">
        <f>F137+(11%*#REF!)</f>
        <v>#REF!</v>
      </c>
      <c r="K137" s="542"/>
      <c r="L137" s="676"/>
      <c r="M137" s="676"/>
      <c r="N137" s="680" t="e">
        <f>F137-(11%*#REF!)</f>
        <v>#REF!</v>
      </c>
      <c r="O137" s="561" t="e">
        <f>J137-N137</f>
        <v>#REF!</v>
      </c>
    </row>
    <row r="138" spans="2:20" ht="9.75" customHeight="1" thickTop="1">
      <c r="B138" s="589"/>
      <c r="C138" s="589"/>
      <c r="D138" s="608"/>
      <c r="E138" s="608"/>
      <c r="F138" s="608"/>
      <c r="G138" s="608"/>
      <c r="H138" s="593"/>
      <c r="I138" s="608"/>
      <c r="J138" s="542"/>
      <c r="K138" s="542"/>
      <c r="L138" s="594"/>
      <c r="M138" s="676"/>
      <c r="N138" s="542"/>
    </row>
    <row r="139" spans="2:20" ht="32.25" customHeight="1">
      <c r="B139" s="968" t="s">
        <v>3566</v>
      </c>
      <c r="C139" s="968"/>
      <c r="D139" s="968"/>
      <c r="E139" s="968"/>
      <c r="F139" s="968"/>
      <c r="G139" s="968"/>
      <c r="H139" s="968"/>
      <c r="I139" s="968"/>
      <c r="J139" s="968"/>
      <c r="K139" s="968"/>
      <c r="L139" s="968"/>
      <c r="M139" s="968"/>
      <c r="N139" s="968"/>
    </row>
    <row r="140" spans="2:20" ht="10.5" customHeight="1">
      <c r="B140" s="589"/>
      <c r="C140" s="589"/>
      <c r="D140" s="608"/>
      <c r="E140" s="608"/>
      <c r="F140" s="608"/>
      <c r="G140" s="608"/>
      <c r="H140" s="608"/>
      <c r="I140" s="608"/>
      <c r="J140" s="542"/>
      <c r="K140" s="542"/>
      <c r="L140" s="594"/>
      <c r="M140" s="676"/>
      <c r="N140" s="542"/>
    </row>
    <row r="141" spans="2:20">
      <c r="B141" s="493" t="s">
        <v>1906</v>
      </c>
      <c r="C141" s="589"/>
      <c r="D141" s="608"/>
      <c r="E141" s="608"/>
      <c r="F141" s="608"/>
      <c r="G141" s="608"/>
      <c r="H141" s="608"/>
      <c r="I141" s="608"/>
      <c r="J141" s="542"/>
      <c r="K141" s="542"/>
      <c r="L141" s="676"/>
      <c r="M141" s="676"/>
      <c r="N141" s="542"/>
    </row>
    <row r="142" spans="2:20">
      <c r="B142" s="589"/>
      <c r="C142" s="589"/>
      <c r="D142" s="608"/>
      <c r="E142" s="608"/>
      <c r="F142" s="608"/>
      <c r="G142" s="608"/>
      <c r="H142" s="608"/>
      <c r="I142" s="608"/>
      <c r="J142" s="542"/>
      <c r="K142" s="542"/>
      <c r="L142" s="676"/>
      <c r="M142" s="676"/>
      <c r="N142" s="542"/>
    </row>
    <row r="143" spans="2:20" ht="31.5" customHeight="1">
      <c r="B143" s="968" t="s">
        <v>1907</v>
      </c>
      <c r="C143" s="968"/>
      <c r="D143" s="968"/>
      <c r="E143" s="968"/>
      <c r="F143" s="968"/>
      <c r="G143" s="968"/>
      <c r="H143" s="968"/>
      <c r="I143" s="968"/>
      <c r="J143" s="1016"/>
      <c r="K143" s="1016"/>
      <c r="L143" s="1016"/>
      <c r="M143" s="1016"/>
      <c r="N143" s="1016"/>
    </row>
    <row r="144" spans="2:20" ht="7.5" customHeight="1">
      <c r="B144" s="589"/>
      <c r="C144" s="589"/>
      <c r="D144" s="608"/>
      <c r="E144" s="608"/>
      <c r="F144" s="608"/>
      <c r="G144" s="608"/>
      <c r="H144" s="608"/>
      <c r="I144" s="608"/>
      <c r="J144" s="542"/>
      <c r="K144" s="542"/>
      <c r="L144" s="676"/>
      <c r="M144" s="676"/>
      <c r="N144" s="542"/>
    </row>
    <row r="145" spans="1:14" ht="30" customHeight="1">
      <c r="B145" s="1023" t="s">
        <v>1908</v>
      </c>
      <c r="C145" s="1023"/>
      <c r="D145" s="1023"/>
      <c r="E145" s="1023"/>
      <c r="F145" s="1023"/>
      <c r="G145" s="1023"/>
      <c r="H145" s="1023"/>
      <c r="I145" s="1023"/>
      <c r="J145" s="1023"/>
      <c r="K145" s="1023"/>
      <c r="L145" s="1023"/>
      <c r="M145" s="1023"/>
      <c r="N145" s="1023"/>
    </row>
    <row r="146" spans="1:14" ht="10.5" customHeight="1">
      <c r="B146" s="589"/>
      <c r="C146" s="589"/>
      <c r="D146" s="608"/>
      <c r="E146" s="608"/>
      <c r="F146" s="608"/>
      <c r="G146" s="608"/>
      <c r="H146" s="608"/>
      <c r="I146" s="608"/>
      <c r="J146" s="542"/>
      <c r="K146" s="542"/>
      <c r="L146" s="676"/>
      <c r="M146" s="676"/>
      <c r="N146" s="542"/>
    </row>
    <row r="147" spans="1:14" ht="31.5" customHeight="1">
      <c r="B147" s="968" t="s">
        <v>1909</v>
      </c>
      <c r="C147" s="968"/>
      <c r="D147" s="968"/>
      <c r="E147" s="968"/>
      <c r="F147" s="968"/>
      <c r="G147" s="968"/>
      <c r="H147" s="968"/>
      <c r="I147" s="968"/>
      <c r="J147" s="1016"/>
      <c r="K147" s="1016"/>
      <c r="L147" s="1016"/>
      <c r="M147" s="1016"/>
      <c r="N147" s="1016"/>
    </row>
    <row r="148" spans="1:14" ht="31.5" customHeight="1">
      <c r="B148" s="521"/>
      <c r="C148" s="521"/>
      <c r="D148" s="521"/>
      <c r="E148" s="521"/>
      <c r="F148" s="521"/>
      <c r="G148" s="521"/>
      <c r="H148" s="521"/>
      <c r="I148" s="521"/>
      <c r="J148" s="608"/>
      <c r="K148" s="608"/>
      <c r="L148" s="608"/>
      <c r="M148" s="608"/>
      <c r="N148" s="608"/>
    </row>
    <row r="149" spans="1:14">
      <c r="A149" s="488" t="s">
        <v>422</v>
      </c>
      <c r="B149" s="489"/>
      <c r="C149" s="489"/>
      <c r="D149" s="489"/>
      <c r="E149" s="489"/>
      <c r="F149" s="489"/>
      <c r="G149" s="489"/>
      <c r="H149" s="490"/>
      <c r="I149" s="490"/>
      <c r="J149" s="490"/>
      <c r="K149" s="490"/>
      <c r="L149" s="524"/>
      <c r="M149" s="491"/>
      <c r="N149" s="490"/>
    </row>
    <row r="150" spans="1:14" ht="7.5" customHeight="1">
      <c r="A150" s="492"/>
      <c r="B150" s="486"/>
      <c r="C150" s="486"/>
      <c r="D150" s="486"/>
      <c r="E150" s="486"/>
      <c r="F150" s="486"/>
      <c r="G150" s="486"/>
      <c r="H150" s="490"/>
      <c r="I150" s="490"/>
      <c r="J150" s="490"/>
      <c r="K150" s="490"/>
      <c r="L150" s="524"/>
      <c r="M150" s="491"/>
      <c r="N150" s="490"/>
    </row>
    <row r="151" spans="1:14">
      <c r="A151" s="492" t="s">
        <v>3039</v>
      </c>
      <c r="B151" s="489"/>
      <c r="C151" s="489"/>
      <c r="D151" s="489"/>
      <c r="E151" s="489"/>
      <c r="F151" s="489"/>
      <c r="G151" s="489"/>
      <c r="H151" s="490"/>
      <c r="I151" s="490"/>
      <c r="J151" s="490"/>
      <c r="K151" s="490"/>
      <c r="L151" s="491"/>
      <c r="M151" s="491"/>
      <c r="N151" s="490"/>
    </row>
    <row r="152" spans="1:14">
      <c r="A152" s="494" t="s">
        <v>3407</v>
      </c>
      <c r="B152" s="494"/>
      <c r="C152" s="494"/>
      <c r="D152" s="494"/>
      <c r="E152" s="486"/>
      <c r="F152" s="494"/>
      <c r="G152" s="494"/>
      <c r="H152" s="495"/>
      <c r="I152" s="495"/>
      <c r="J152" s="495"/>
      <c r="K152" s="495"/>
      <c r="L152" s="496"/>
      <c r="M152" s="496"/>
      <c r="N152" s="495"/>
    </row>
    <row r="153" spans="1:14" ht="8.25" customHeight="1">
      <c r="A153" s="486"/>
      <c r="B153" s="487"/>
      <c r="C153" s="487"/>
      <c r="D153" s="487"/>
      <c r="E153" s="487"/>
      <c r="F153" s="487"/>
      <c r="G153" s="487"/>
      <c r="H153" s="487"/>
      <c r="I153" s="487"/>
      <c r="J153" s="487"/>
      <c r="K153" s="487"/>
      <c r="L153" s="677"/>
      <c r="M153" s="677"/>
      <c r="N153" s="487"/>
    </row>
    <row r="154" spans="1:14">
      <c r="A154" s="519" t="s">
        <v>26</v>
      </c>
      <c r="B154" s="487"/>
      <c r="C154" s="487"/>
      <c r="D154" s="487"/>
      <c r="E154" s="487"/>
      <c r="F154" s="487"/>
      <c r="G154" s="487"/>
      <c r="H154" s="487"/>
      <c r="I154" s="487"/>
      <c r="J154" s="487"/>
      <c r="K154" s="487"/>
      <c r="L154" s="677"/>
      <c r="M154" s="677"/>
      <c r="N154" s="487"/>
    </row>
    <row r="155" spans="1:14" ht="7.5" customHeight="1">
      <c r="A155" s="486"/>
      <c r="B155" s="487"/>
      <c r="C155" s="487"/>
      <c r="D155" s="487"/>
      <c r="E155" s="487"/>
      <c r="F155" s="487"/>
      <c r="G155" s="487"/>
      <c r="H155" s="487"/>
      <c r="I155" s="487"/>
      <c r="J155" s="487"/>
      <c r="K155" s="487"/>
      <c r="L155" s="677"/>
      <c r="M155" s="677"/>
      <c r="N155" s="487"/>
    </row>
    <row r="156" spans="1:14">
      <c r="A156" s="519" t="s">
        <v>3041</v>
      </c>
      <c r="B156" s="493" t="s">
        <v>3040</v>
      </c>
      <c r="C156" s="493"/>
      <c r="D156" s="489"/>
      <c r="E156" s="489"/>
      <c r="F156" s="489"/>
      <c r="G156" s="489"/>
      <c r="H156" s="489"/>
    </row>
    <row r="157" spans="1:14" ht="11.25" customHeight="1">
      <c r="A157" s="519"/>
      <c r="B157" s="493"/>
      <c r="C157" s="493"/>
      <c r="D157" s="489"/>
      <c r="E157" s="489"/>
      <c r="F157" s="489"/>
      <c r="G157" s="489"/>
      <c r="H157" s="489"/>
    </row>
    <row r="158" spans="1:14" ht="14.25" customHeight="1">
      <c r="A158" s="519"/>
      <c r="B158" s="1023" t="s">
        <v>3373</v>
      </c>
      <c r="C158" s="1023"/>
      <c r="D158" s="1023"/>
      <c r="E158" s="1023"/>
      <c r="F158" s="1023"/>
      <c r="G158" s="1023"/>
      <c r="H158" s="1023"/>
      <c r="I158" s="1023"/>
      <c r="J158" s="1023"/>
      <c r="K158" s="1023"/>
      <c r="L158" s="1023"/>
      <c r="M158" s="1023"/>
      <c r="N158" s="1023"/>
    </row>
    <row r="159" spans="1:14" ht="12" customHeight="1">
      <c r="A159" s="519"/>
      <c r="B159" s="493"/>
      <c r="C159" s="493"/>
      <c r="D159" s="511"/>
      <c r="E159" s="489"/>
      <c r="F159" s="489"/>
      <c r="G159" s="489"/>
      <c r="H159" s="489"/>
    </row>
    <row r="160" spans="1:14" ht="15" customHeight="1">
      <c r="B160" s="1023" t="s">
        <v>3562</v>
      </c>
      <c r="C160" s="1023"/>
      <c r="D160" s="1023"/>
      <c r="E160" s="1023"/>
      <c r="F160" s="1023"/>
      <c r="G160" s="1023"/>
      <c r="H160" s="1023"/>
      <c r="I160" s="1023"/>
      <c r="J160" s="1023"/>
      <c r="K160" s="1023"/>
      <c r="L160" s="1023"/>
      <c r="M160" s="1023"/>
      <c r="N160" s="1023"/>
    </row>
    <row r="161" spans="2:16">
      <c r="B161" s="1023"/>
      <c r="C161" s="1023"/>
      <c r="D161" s="1023"/>
      <c r="E161" s="1023"/>
      <c r="F161" s="1023"/>
      <c r="G161" s="1023"/>
      <c r="H161" s="1023"/>
      <c r="I161" s="1023"/>
      <c r="J161" s="1023"/>
      <c r="K161" s="1023"/>
      <c r="L161" s="1023"/>
      <c r="M161" s="1023"/>
      <c r="N161" s="1023"/>
    </row>
    <row r="162" spans="2:16" ht="30.75" customHeight="1">
      <c r="B162" s="1023" t="s">
        <v>3374</v>
      </c>
      <c r="C162" s="1023"/>
      <c r="D162" s="1023"/>
      <c r="E162" s="1023"/>
      <c r="F162" s="1023"/>
      <c r="G162" s="1023"/>
      <c r="H162" s="1023"/>
      <c r="I162" s="1023"/>
      <c r="J162" s="1023"/>
      <c r="K162" s="1023"/>
      <c r="L162" s="1023"/>
      <c r="M162" s="1023"/>
      <c r="N162" s="1023"/>
    </row>
    <row r="163" spans="2:16" ht="15.75" customHeight="1">
      <c r="B163" s="1023"/>
      <c r="C163" s="1023"/>
      <c r="D163" s="1023"/>
      <c r="E163" s="1023"/>
      <c r="F163" s="1023"/>
      <c r="G163" s="1023"/>
      <c r="H163" s="1023"/>
      <c r="I163" s="1023"/>
      <c r="J163" s="1023"/>
      <c r="K163" s="1023"/>
      <c r="L163" s="1023"/>
      <c r="M163" s="1023"/>
      <c r="N163" s="1023"/>
    </row>
    <row r="164" spans="2:16">
      <c r="B164" s="589"/>
      <c r="C164" s="589"/>
      <c r="D164" s="608"/>
      <c r="E164" s="608"/>
      <c r="F164" s="608"/>
      <c r="G164" s="608"/>
      <c r="H164" s="1024" t="s">
        <v>3410</v>
      </c>
      <c r="I164" s="1024"/>
      <c r="J164" s="1025"/>
      <c r="K164" s="542"/>
      <c r="L164" s="1026" t="s">
        <v>3059</v>
      </c>
      <c r="M164" s="1026"/>
      <c r="N164" s="1027"/>
    </row>
    <row r="165" spans="2:16" ht="27">
      <c r="B165" s="589"/>
      <c r="C165" s="589"/>
      <c r="D165" s="608"/>
      <c r="E165" s="608"/>
      <c r="F165" s="608"/>
      <c r="G165" s="608"/>
      <c r="H165" s="595" t="s">
        <v>1910</v>
      </c>
      <c r="I165" s="486"/>
      <c r="J165" s="595" t="s">
        <v>1911</v>
      </c>
      <c r="K165" s="528"/>
      <c r="L165" s="596" t="s">
        <v>1910</v>
      </c>
      <c r="M165" s="486"/>
      <c r="N165" s="596" t="s">
        <v>1911</v>
      </c>
    </row>
    <row r="166" spans="2:16">
      <c r="B166" s="589"/>
      <c r="C166" s="597" t="s">
        <v>22</v>
      </c>
      <c r="D166" s="597"/>
      <c r="E166" s="598"/>
      <c r="F166" s="608"/>
      <c r="G166" s="608"/>
      <c r="K166" s="542"/>
      <c r="L166" s="608"/>
      <c r="M166" s="608"/>
      <c r="N166" s="542"/>
    </row>
    <row r="167" spans="2:16">
      <c r="B167" s="589"/>
      <c r="C167" s="972" t="s">
        <v>1912</v>
      </c>
      <c r="D167" s="972"/>
      <c r="E167" s="641"/>
      <c r="F167" s="608"/>
      <c r="G167" s="608"/>
      <c r="H167" s="599"/>
      <c r="I167" s="599"/>
      <c r="J167" s="599"/>
      <c r="K167" s="542"/>
      <c r="L167" s="608"/>
      <c r="M167" s="608"/>
      <c r="N167" s="542"/>
      <c r="P167" s="489"/>
    </row>
    <row r="168" spans="2:16">
      <c r="B168" s="589"/>
      <c r="C168" s="1022" t="s">
        <v>1934</v>
      </c>
      <c r="D168" s="1022"/>
      <c r="E168" s="675"/>
      <c r="F168" s="608"/>
      <c r="G168" s="608"/>
      <c r="H168" s="627" t="e">
        <f>#REF!</f>
        <v>#REF!</v>
      </c>
      <c r="I168" s="599"/>
      <c r="J168" s="525">
        <v>8035841.0299999984</v>
      </c>
      <c r="K168" s="542"/>
      <c r="L168" s="530">
        <v>6691887</v>
      </c>
      <c r="M168" s="594"/>
      <c r="N168" s="530">
        <v>6691887</v>
      </c>
      <c r="P168" s="489"/>
    </row>
    <row r="169" spans="2:16">
      <c r="B169" s="589"/>
      <c r="C169" s="1022" t="s">
        <v>1933</v>
      </c>
      <c r="D169" s="1022"/>
      <c r="E169" s="675"/>
      <c r="F169" s="608"/>
      <c r="G169" s="608"/>
      <c r="H169" s="627" t="e">
        <f>#REF!</f>
        <v>#REF!</v>
      </c>
      <c r="I169" s="599"/>
      <c r="J169" s="525">
        <v>133831911.72</v>
      </c>
      <c r="K169" s="542"/>
      <c r="L169" s="530">
        <v>128728705</v>
      </c>
      <c r="M169" s="594"/>
      <c r="N169" s="530">
        <v>128728705</v>
      </c>
      <c r="P169" s="486"/>
    </row>
    <row r="170" spans="2:16">
      <c r="B170" s="589"/>
      <c r="C170" s="1022" t="s">
        <v>3402</v>
      </c>
      <c r="D170" s="1022"/>
      <c r="E170" s="675"/>
      <c r="F170" s="608"/>
      <c r="G170" s="608"/>
      <c r="H170" s="628" t="e">
        <f>#REF!</f>
        <v>#REF!</v>
      </c>
      <c r="I170" s="599"/>
      <c r="J170" s="506">
        <v>7778810.29</v>
      </c>
      <c r="K170" s="542"/>
      <c r="L170" s="600">
        <v>15277023</v>
      </c>
      <c r="M170" s="594"/>
      <c r="N170" s="600">
        <v>15277023</v>
      </c>
      <c r="P170" s="486"/>
    </row>
    <row r="171" spans="2:16" ht="10.5" customHeight="1">
      <c r="B171" s="589"/>
      <c r="C171" s="589"/>
      <c r="D171" s="608"/>
      <c r="E171" s="608"/>
      <c r="F171" s="608"/>
      <c r="G171" s="608"/>
      <c r="H171" s="599"/>
      <c r="I171" s="599"/>
      <c r="J171" s="599"/>
      <c r="K171" s="542"/>
      <c r="L171" s="601"/>
      <c r="M171" s="608"/>
      <c r="N171" s="602"/>
      <c r="P171" s="489"/>
    </row>
    <row r="172" spans="2:16" ht="14" thickBot="1">
      <c r="B172" s="589"/>
      <c r="C172" s="597" t="s">
        <v>12</v>
      </c>
      <c r="D172" s="608"/>
      <c r="E172" s="608"/>
      <c r="F172" s="608"/>
      <c r="G172" s="608"/>
      <c r="H172" s="515" t="e">
        <f>SUM(H168:H171)</f>
        <v>#REF!</v>
      </c>
      <c r="I172" s="525"/>
      <c r="J172" s="515">
        <v>149646563.03999999</v>
      </c>
      <c r="K172" s="603"/>
      <c r="L172" s="671">
        <f>SUM(L168:L171)</f>
        <v>150697615</v>
      </c>
      <c r="M172" s="604"/>
      <c r="N172" s="671">
        <f>SUM(N168:N171)</f>
        <v>150697615</v>
      </c>
    </row>
    <row r="173" spans="2:16" ht="5.25" customHeight="1" thickTop="1">
      <c r="B173" s="589"/>
      <c r="C173" s="589"/>
      <c r="D173" s="608"/>
      <c r="E173" s="608"/>
      <c r="F173" s="608"/>
      <c r="G173" s="608"/>
      <c r="K173" s="542"/>
      <c r="L173" s="608"/>
      <c r="M173" s="608"/>
      <c r="N173" s="542"/>
    </row>
    <row r="174" spans="2:16">
      <c r="B174" s="589"/>
      <c r="C174" s="605" t="s">
        <v>23</v>
      </c>
      <c r="D174" s="608"/>
      <c r="E174" s="608"/>
      <c r="F174" s="608"/>
      <c r="G174" s="608"/>
      <c r="K174" s="542"/>
      <c r="L174" s="608"/>
      <c r="M174" s="608"/>
      <c r="N174" s="542"/>
    </row>
    <row r="175" spans="2:16" ht="15" customHeight="1">
      <c r="B175" s="589"/>
      <c r="C175" s="606" t="s">
        <v>1913</v>
      </c>
      <c r="D175" s="608"/>
      <c r="E175" s="608"/>
      <c r="F175" s="608"/>
      <c r="G175" s="608"/>
      <c r="K175" s="542"/>
      <c r="L175" s="608"/>
      <c r="M175" s="608"/>
      <c r="N175" s="542"/>
    </row>
    <row r="176" spans="2:16">
      <c r="B176" s="589"/>
      <c r="C176" s="606" t="s">
        <v>1914</v>
      </c>
      <c r="D176" s="608"/>
      <c r="E176" s="608"/>
      <c r="F176" s="608"/>
      <c r="G176" s="608"/>
      <c r="K176" s="542"/>
      <c r="L176" s="608"/>
      <c r="M176" s="608"/>
      <c r="N176" s="542"/>
    </row>
    <row r="177" spans="1:17">
      <c r="B177" s="589"/>
      <c r="C177" s="606" t="s">
        <v>3392</v>
      </c>
      <c r="D177" s="608"/>
      <c r="E177" s="608"/>
      <c r="F177" s="607"/>
      <c r="G177" s="608"/>
      <c r="H177" s="504" t="e">
        <f>#REF!</f>
        <v>#REF!</v>
      </c>
      <c r="I177" s="525"/>
      <c r="J177" s="504" t="e">
        <f>H177</f>
        <v>#REF!</v>
      </c>
      <c r="K177" s="542"/>
      <c r="L177" s="600">
        <v>30380627</v>
      </c>
      <c r="M177" s="608"/>
      <c r="N177" s="542">
        <f>L177</f>
        <v>30380627</v>
      </c>
      <c r="P177" s="489"/>
      <c r="Q177" s="489"/>
    </row>
    <row r="178" spans="1:17">
      <c r="B178" s="589"/>
      <c r="C178" s="606" t="s">
        <v>3393</v>
      </c>
      <c r="D178" s="608"/>
      <c r="E178" s="608"/>
      <c r="F178" s="607"/>
      <c r="G178" s="608"/>
      <c r="H178" s="510" t="e">
        <f>#REF!</f>
        <v>#REF!</v>
      </c>
      <c r="I178" s="544"/>
      <c r="J178" s="504" t="e">
        <f>H178</f>
        <v>#REF!</v>
      </c>
      <c r="K178" s="542"/>
      <c r="L178" s="600">
        <v>6442305</v>
      </c>
      <c r="M178" s="608"/>
      <c r="N178" s="542">
        <f>L178</f>
        <v>6442305</v>
      </c>
      <c r="P178" s="489"/>
      <c r="Q178" s="489"/>
    </row>
    <row r="179" spans="1:17">
      <c r="B179" s="589"/>
      <c r="C179" s="606" t="s">
        <v>3394</v>
      </c>
      <c r="D179" s="608"/>
      <c r="E179" s="608"/>
      <c r="F179" s="607"/>
      <c r="G179" s="608"/>
      <c r="H179" s="504" t="e">
        <f>#REF!</f>
        <v>#REF!</v>
      </c>
      <c r="I179" s="525"/>
      <c r="J179" s="504" t="e">
        <f>H179</f>
        <v>#REF!</v>
      </c>
      <c r="K179" s="542"/>
      <c r="L179" s="600">
        <v>3129896</v>
      </c>
      <c r="M179" s="608"/>
      <c r="N179" s="542">
        <f>L179</f>
        <v>3129896</v>
      </c>
      <c r="P179" s="489"/>
      <c r="Q179" s="489"/>
    </row>
    <row r="180" spans="1:17">
      <c r="B180" s="589"/>
      <c r="C180" s="606" t="s">
        <v>1935</v>
      </c>
      <c r="D180" s="608"/>
      <c r="E180" s="608"/>
      <c r="F180" s="607"/>
      <c r="G180" s="608"/>
      <c r="H180" s="506" t="e">
        <f>#REF!</f>
        <v>#REF!</v>
      </c>
      <c r="I180" s="525"/>
      <c r="J180" s="506" t="e">
        <f>H180</f>
        <v>#REF!</v>
      </c>
      <c r="K180" s="542"/>
      <c r="L180" s="609">
        <v>90933932</v>
      </c>
      <c r="M180" s="608"/>
      <c r="N180" s="542">
        <f>L180</f>
        <v>90933932</v>
      </c>
      <c r="P180" s="489"/>
      <c r="Q180" s="489"/>
    </row>
    <row r="181" spans="1:17" ht="7.5" customHeight="1">
      <c r="B181" s="589"/>
      <c r="C181" s="589"/>
      <c r="D181" s="608"/>
      <c r="E181" s="608"/>
      <c r="F181" s="610"/>
      <c r="G181" s="608"/>
      <c r="H181" s="504"/>
      <c r="I181" s="525"/>
      <c r="J181" s="504"/>
      <c r="K181" s="542"/>
      <c r="L181" s="601"/>
      <c r="M181" s="608"/>
      <c r="N181" s="601"/>
      <c r="P181" s="489"/>
      <c r="Q181" s="489"/>
    </row>
    <row r="182" spans="1:17" ht="14" thickBot="1">
      <c r="B182" s="589"/>
      <c r="C182" s="597" t="s">
        <v>12</v>
      </c>
      <c r="D182" s="608"/>
      <c r="E182" s="608"/>
      <c r="F182" s="608"/>
      <c r="G182" s="608"/>
      <c r="H182" s="515" t="e">
        <f>SUM(H177:H181)</f>
        <v>#REF!</v>
      </c>
      <c r="I182" s="525"/>
      <c r="J182" s="515" t="e">
        <f>SUM(J177:J181)</f>
        <v>#REF!</v>
      </c>
      <c r="K182" s="542"/>
      <c r="L182" s="611">
        <f>SUM(L177:L181)</f>
        <v>130886760</v>
      </c>
      <c r="M182" s="608"/>
      <c r="N182" s="611">
        <f>SUM(N177:N181)</f>
        <v>130886760</v>
      </c>
      <c r="P182" s="489"/>
      <c r="Q182" s="489"/>
    </row>
    <row r="183" spans="1:17" ht="14" thickTop="1">
      <c r="A183" s="488" t="s">
        <v>422</v>
      </c>
      <c r="B183" s="489"/>
      <c r="C183" s="489"/>
      <c r="D183" s="489"/>
      <c r="E183" s="489"/>
      <c r="F183" s="489"/>
      <c r="G183" s="489"/>
      <c r="H183" s="490"/>
      <c r="I183" s="490"/>
      <c r="J183" s="490"/>
      <c r="K183" s="490"/>
      <c r="L183" s="524"/>
      <c r="M183" s="491"/>
      <c r="N183" s="490"/>
    </row>
    <row r="184" spans="1:17" ht="7.5" customHeight="1">
      <c r="A184" s="492"/>
      <c r="B184" s="486"/>
      <c r="C184" s="486"/>
      <c r="D184" s="486"/>
      <c r="E184" s="486"/>
      <c r="F184" s="486"/>
      <c r="G184" s="486"/>
      <c r="H184" s="490"/>
      <c r="I184" s="490"/>
      <c r="J184" s="490"/>
      <c r="K184" s="490"/>
      <c r="L184" s="524"/>
      <c r="M184" s="491"/>
      <c r="N184" s="490"/>
    </row>
    <row r="185" spans="1:17">
      <c r="A185" s="492" t="s">
        <v>3039</v>
      </c>
      <c r="B185" s="489"/>
      <c r="C185" s="489"/>
      <c r="D185" s="489"/>
      <c r="E185" s="489"/>
      <c r="F185" s="489"/>
      <c r="G185" s="489"/>
      <c r="H185" s="490"/>
      <c r="I185" s="490"/>
      <c r="J185" s="490"/>
      <c r="K185" s="490"/>
      <c r="L185" s="491"/>
      <c r="M185" s="491"/>
      <c r="N185" s="490"/>
    </row>
    <row r="186" spans="1:17">
      <c r="A186" s="494" t="s">
        <v>3407</v>
      </c>
      <c r="B186" s="494"/>
      <c r="C186" s="494"/>
      <c r="D186" s="494"/>
      <c r="E186" s="494"/>
      <c r="F186" s="494"/>
      <c r="G186" s="494"/>
      <c r="H186" s="495"/>
      <c r="I186" s="495"/>
      <c r="J186" s="495"/>
      <c r="K186" s="495"/>
      <c r="L186" s="496"/>
      <c r="M186" s="496"/>
      <c r="N186" s="495"/>
    </row>
    <row r="187" spans="1:17" ht="8.25" customHeight="1">
      <c r="A187" s="486"/>
      <c r="B187" s="487"/>
      <c r="C187" s="487"/>
      <c r="D187" s="487"/>
      <c r="E187" s="487"/>
      <c r="F187" s="487"/>
      <c r="G187" s="487"/>
      <c r="H187" s="487"/>
      <c r="I187" s="487"/>
      <c r="J187" s="487"/>
      <c r="K187" s="487"/>
      <c r="L187" s="677"/>
      <c r="M187" s="677"/>
      <c r="N187" s="487"/>
    </row>
    <row r="188" spans="1:17">
      <c r="A188" s="519" t="s">
        <v>26</v>
      </c>
      <c r="B188" s="487"/>
      <c r="C188" s="487"/>
      <c r="D188" s="487"/>
      <c r="E188" s="487"/>
      <c r="F188" s="487"/>
      <c r="G188" s="487"/>
      <c r="H188" s="487"/>
      <c r="I188" s="487"/>
      <c r="J188" s="487"/>
      <c r="K188" s="487"/>
      <c r="L188" s="677"/>
      <c r="M188" s="677"/>
      <c r="N188" s="487"/>
    </row>
    <row r="189" spans="1:17" ht="7.5" customHeight="1">
      <c r="A189" s="486"/>
      <c r="B189" s="487"/>
      <c r="C189" s="487"/>
      <c r="D189" s="487"/>
      <c r="E189" s="487"/>
      <c r="F189" s="487"/>
      <c r="G189" s="487"/>
      <c r="H189" s="487"/>
      <c r="I189" s="487"/>
      <c r="J189" s="487"/>
      <c r="K189" s="487"/>
      <c r="L189" s="677"/>
      <c r="M189" s="677"/>
      <c r="N189" s="487"/>
    </row>
    <row r="190" spans="1:17">
      <c r="A190" s="519" t="s">
        <v>3041</v>
      </c>
      <c r="B190" s="493" t="s">
        <v>3040</v>
      </c>
      <c r="C190" s="493"/>
      <c r="D190" s="489"/>
      <c r="E190" s="489"/>
      <c r="F190" s="489"/>
      <c r="G190" s="489"/>
      <c r="H190" s="489"/>
    </row>
    <row r="191" spans="1:17" ht="3.75" customHeight="1">
      <c r="A191" s="519"/>
      <c r="B191" s="493"/>
      <c r="C191" s="493"/>
      <c r="D191" s="489"/>
      <c r="E191" s="489"/>
      <c r="F191" s="489"/>
      <c r="G191" s="489"/>
      <c r="H191" s="489"/>
    </row>
    <row r="192" spans="1:17" ht="14.25" customHeight="1">
      <c r="A192" s="519"/>
      <c r="B192" s="1023" t="s">
        <v>3373</v>
      </c>
      <c r="C192" s="1023"/>
      <c r="D192" s="1023"/>
      <c r="E192" s="1023"/>
      <c r="F192" s="1023"/>
      <c r="G192" s="1023"/>
      <c r="H192" s="1023"/>
      <c r="I192" s="1023"/>
      <c r="J192" s="1023"/>
      <c r="K192" s="1023"/>
      <c r="L192" s="1023"/>
      <c r="M192" s="1023"/>
      <c r="N192" s="1023"/>
    </row>
    <row r="193" spans="1:14" ht="7.5" customHeight="1">
      <c r="A193" s="519"/>
      <c r="B193" s="493"/>
      <c r="C193" s="493"/>
      <c r="D193" s="511"/>
      <c r="E193" s="489"/>
      <c r="F193" s="489"/>
      <c r="G193" s="489"/>
      <c r="H193" s="489"/>
    </row>
    <row r="194" spans="1:14" ht="15" customHeight="1">
      <c r="B194" s="1023" t="s">
        <v>3562</v>
      </c>
      <c r="C194" s="1023"/>
      <c r="D194" s="1023"/>
      <c r="E194" s="1023"/>
      <c r="F194" s="1023"/>
      <c r="G194" s="1023"/>
      <c r="H194" s="1023"/>
      <c r="I194" s="1023"/>
      <c r="J194" s="1023"/>
      <c r="K194" s="1023"/>
      <c r="L194" s="1023"/>
      <c r="M194" s="1023"/>
      <c r="N194" s="1023"/>
    </row>
    <row r="195" spans="1:14" ht="6" customHeight="1">
      <c r="B195" s="1023"/>
      <c r="C195" s="1023"/>
      <c r="D195" s="1023"/>
      <c r="E195" s="1023"/>
      <c r="F195" s="1023"/>
      <c r="G195" s="1023"/>
      <c r="H195" s="1023"/>
      <c r="I195" s="1023"/>
      <c r="J195" s="1023"/>
      <c r="K195" s="1023"/>
      <c r="L195" s="1023"/>
      <c r="M195" s="1023"/>
      <c r="N195" s="1023"/>
    </row>
    <row r="196" spans="1:14" ht="30.75" customHeight="1">
      <c r="B196" s="1023" t="s">
        <v>3374</v>
      </c>
      <c r="C196" s="1023"/>
      <c r="D196" s="1023"/>
      <c r="E196" s="1023"/>
      <c r="F196" s="1023"/>
      <c r="G196" s="1023"/>
      <c r="H196" s="1023"/>
      <c r="I196" s="1023"/>
      <c r="J196" s="1023"/>
      <c r="K196" s="1023"/>
      <c r="L196" s="1023"/>
      <c r="M196" s="1023"/>
      <c r="N196" s="1023"/>
    </row>
    <row r="197" spans="1:14" ht="6" customHeight="1">
      <c r="B197" s="589"/>
      <c r="C197" s="589"/>
      <c r="D197" s="608"/>
      <c r="E197" s="608"/>
      <c r="F197" s="608"/>
      <c r="G197" s="608"/>
      <c r="H197" s="608"/>
      <c r="I197" s="608"/>
      <c r="J197" s="542"/>
      <c r="K197" s="542"/>
      <c r="L197" s="676"/>
      <c r="M197" s="676"/>
      <c r="N197" s="542"/>
    </row>
    <row r="198" spans="1:14" ht="13.5" customHeight="1">
      <c r="B198" s="589"/>
      <c r="C198" s="589"/>
      <c r="D198" s="608"/>
      <c r="E198" s="608"/>
      <c r="F198" s="608"/>
      <c r="G198" s="608"/>
      <c r="H198" s="1024"/>
      <c r="I198" s="1024"/>
      <c r="J198" s="1024"/>
      <c r="K198" s="542"/>
      <c r="L198" s="1026"/>
      <c r="M198" s="1026"/>
      <c r="N198" s="1026"/>
    </row>
    <row r="199" spans="1:14" ht="18" customHeight="1">
      <c r="B199" s="589"/>
      <c r="C199" s="589"/>
      <c r="D199" s="608"/>
      <c r="E199" s="608"/>
      <c r="F199" s="608"/>
      <c r="G199" s="608"/>
      <c r="H199" s="612" t="s">
        <v>3556</v>
      </c>
      <c r="I199" s="608"/>
      <c r="J199" s="542"/>
      <c r="K199" s="542"/>
      <c r="L199" s="676"/>
      <c r="M199" s="676"/>
      <c r="N199" s="542"/>
    </row>
    <row r="200" spans="1:14">
      <c r="B200" s="589"/>
      <c r="C200" s="589"/>
      <c r="D200" s="608"/>
      <c r="E200" s="608"/>
      <c r="F200" s="608"/>
      <c r="G200" s="608"/>
      <c r="H200" s="613" t="s">
        <v>1915</v>
      </c>
      <c r="I200" s="622"/>
      <c r="J200" s="613" t="s">
        <v>1916</v>
      </c>
      <c r="K200" s="622"/>
      <c r="L200" s="613" t="s">
        <v>1917</v>
      </c>
      <c r="M200" s="622"/>
      <c r="N200" s="613" t="s">
        <v>12</v>
      </c>
    </row>
    <row r="201" spans="1:14">
      <c r="B201" s="589"/>
      <c r="C201" s="605" t="s">
        <v>22</v>
      </c>
      <c r="D201" s="675"/>
      <c r="E201" s="675"/>
      <c r="F201" s="608"/>
      <c r="G201" s="608"/>
      <c r="H201" s="608"/>
      <c r="I201" s="608"/>
      <c r="J201" s="542"/>
      <c r="K201" s="542"/>
      <c r="L201" s="676"/>
      <c r="M201" s="676"/>
      <c r="N201" s="542"/>
    </row>
    <row r="202" spans="1:14">
      <c r="B202" s="589"/>
      <c r="C202" s="606" t="s">
        <v>1912</v>
      </c>
      <c r="D202" s="675"/>
      <c r="E202" s="675"/>
      <c r="F202" s="608"/>
      <c r="G202" s="608"/>
      <c r="H202" s="603"/>
      <c r="I202" s="608"/>
      <c r="J202" s="542"/>
      <c r="K202" s="542"/>
      <c r="L202" s="676"/>
      <c r="M202" s="676"/>
      <c r="N202" s="542"/>
    </row>
    <row r="203" spans="1:14">
      <c r="B203" s="589"/>
      <c r="C203" s="1022" t="s">
        <v>1934</v>
      </c>
      <c r="D203" s="1022"/>
      <c r="E203" s="675"/>
      <c r="F203" s="608"/>
      <c r="G203" s="608"/>
      <c r="H203" s="600">
        <v>0</v>
      </c>
      <c r="I203" s="608"/>
      <c r="J203" s="600">
        <v>0</v>
      </c>
      <c r="K203" s="542"/>
      <c r="L203" s="600" t="e">
        <f>+H168</f>
        <v>#REF!</v>
      </c>
      <c r="M203" s="676"/>
      <c r="N203" s="600" t="e">
        <f>+SUM(H203:L203)</f>
        <v>#REF!</v>
      </c>
    </row>
    <row r="204" spans="1:14">
      <c r="B204" s="589"/>
      <c r="C204" s="1022" t="s">
        <v>1933</v>
      </c>
      <c r="D204" s="1022"/>
      <c r="E204" s="675"/>
      <c r="F204" s="608"/>
      <c r="G204" s="608"/>
      <c r="H204" s="600">
        <v>0</v>
      </c>
      <c r="I204" s="608"/>
      <c r="J204" s="600">
        <v>0</v>
      </c>
      <c r="K204" s="542"/>
      <c r="L204" s="600" t="e">
        <f>+H169</f>
        <v>#REF!</v>
      </c>
      <c r="M204" s="676"/>
      <c r="N204" s="600" t="e">
        <f>+SUM(H204:L204)</f>
        <v>#REF!</v>
      </c>
    </row>
    <row r="205" spans="1:14">
      <c r="B205" s="589"/>
      <c r="C205" s="1022" t="s">
        <v>3402</v>
      </c>
      <c r="D205" s="1022"/>
      <c r="E205" s="675"/>
      <c r="F205" s="608"/>
      <c r="G205" s="608"/>
      <c r="H205" s="609">
        <v>0</v>
      </c>
      <c r="I205" s="608"/>
      <c r="J205" s="600" t="e">
        <f>+H170</f>
        <v>#REF!</v>
      </c>
      <c r="K205" s="542"/>
      <c r="L205" s="600">
        <v>0</v>
      </c>
      <c r="M205" s="594"/>
      <c r="N205" s="600" t="e">
        <f>+SUM(H205:L205)</f>
        <v>#REF!</v>
      </c>
    </row>
    <row r="206" spans="1:14" ht="6.75" customHeight="1">
      <c r="B206" s="589"/>
      <c r="C206" s="589"/>
      <c r="D206" s="608"/>
      <c r="E206" s="608"/>
      <c r="F206" s="608"/>
      <c r="G206" s="608"/>
      <c r="H206" s="601"/>
      <c r="I206" s="608"/>
      <c r="J206" s="602"/>
      <c r="K206" s="542"/>
      <c r="L206" s="614"/>
      <c r="M206" s="676"/>
      <c r="N206" s="602"/>
    </row>
    <row r="207" spans="1:14" ht="14" thickBot="1">
      <c r="B207" s="589"/>
      <c r="C207" s="605" t="s">
        <v>12</v>
      </c>
      <c r="D207" s="608"/>
      <c r="E207" s="608"/>
      <c r="F207" s="608"/>
      <c r="G207" s="608"/>
      <c r="H207" s="615">
        <v>0</v>
      </c>
      <c r="I207" s="616"/>
      <c r="J207" s="615" t="e">
        <f>+SUM(J202:J205)</f>
        <v>#REF!</v>
      </c>
      <c r="K207" s="603"/>
      <c r="L207" s="615" t="e">
        <f>+SUM(L202:L205)</f>
        <v>#REF!</v>
      </c>
      <c r="M207" s="603"/>
      <c r="N207" s="615" t="e">
        <f>+SUM(N202:N205)</f>
        <v>#REF!</v>
      </c>
    </row>
    <row r="208" spans="1:14" ht="8.25" customHeight="1" thickTop="1">
      <c r="B208" s="589"/>
      <c r="C208" s="605"/>
      <c r="D208" s="608"/>
      <c r="E208" s="608"/>
      <c r="F208" s="608"/>
      <c r="G208" s="608"/>
      <c r="H208" s="603"/>
      <c r="I208" s="616"/>
      <c r="J208" s="603"/>
      <c r="K208" s="603"/>
      <c r="L208" s="603"/>
      <c r="M208" s="603"/>
      <c r="N208" s="603"/>
    </row>
    <row r="209" spans="2:14">
      <c r="B209" s="589"/>
      <c r="C209" s="605" t="s">
        <v>23</v>
      </c>
      <c r="D209" s="608"/>
      <c r="E209" s="608"/>
      <c r="F209" s="608"/>
      <c r="G209" s="608"/>
      <c r="K209" s="603"/>
      <c r="L209" s="603"/>
      <c r="M209" s="616"/>
      <c r="N209" s="603"/>
    </row>
    <row r="210" spans="2:14">
      <c r="B210" s="589"/>
      <c r="C210" s="608" t="s">
        <v>1913</v>
      </c>
      <c r="D210" s="608"/>
      <c r="E210" s="608"/>
      <c r="F210" s="608"/>
      <c r="G210" s="608"/>
      <c r="K210" s="603"/>
      <c r="L210" s="603"/>
      <c r="M210" s="616"/>
      <c r="N210" s="603"/>
    </row>
    <row r="211" spans="2:14">
      <c r="B211" s="589"/>
      <c r="C211" s="606" t="s">
        <v>1914</v>
      </c>
      <c r="D211" s="608"/>
      <c r="E211" s="608"/>
      <c r="F211" s="608"/>
      <c r="G211" s="608"/>
      <c r="K211" s="603"/>
      <c r="L211" s="603"/>
      <c r="M211" s="616"/>
      <c r="N211" s="603"/>
    </row>
    <row r="212" spans="2:14">
      <c r="B212" s="589"/>
      <c r="C212" s="606" t="s">
        <v>3392</v>
      </c>
      <c r="D212" s="608"/>
      <c r="E212" s="608"/>
      <c r="F212" s="608"/>
      <c r="G212" s="608"/>
      <c r="H212" s="600">
        <v>0</v>
      </c>
      <c r="J212" s="600">
        <v>0</v>
      </c>
      <c r="K212" s="600">
        <v>0</v>
      </c>
      <c r="L212" s="617" t="e">
        <f>+H177</f>
        <v>#REF!</v>
      </c>
      <c r="M212" s="600"/>
      <c r="N212" s="600" t="e">
        <f>+SUM(L212)</f>
        <v>#REF!</v>
      </c>
    </row>
    <row r="213" spans="2:14">
      <c r="B213" s="589"/>
      <c r="C213" s="606" t="s">
        <v>3393</v>
      </c>
      <c r="D213" s="608"/>
      <c r="E213" s="608"/>
      <c r="F213" s="608"/>
      <c r="G213" s="608"/>
      <c r="H213" s="600">
        <v>0</v>
      </c>
      <c r="J213" s="600">
        <v>0</v>
      </c>
      <c r="K213" s="600">
        <v>0</v>
      </c>
      <c r="L213" s="617" t="e">
        <f>+H178</f>
        <v>#REF!</v>
      </c>
      <c r="M213" s="600"/>
      <c r="N213" s="600" t="e">
        <f>+SUM(L213)</f>
        <v>#REF!</v>
      </c>
    </row>
    <row r="214" spans="2:14" ht="15" customHeight="1">
      <c r="B214" s="589"/>
      <c r="C214" s="606" t="s">
        <v>1935</v>
      </c>
      <c r="D214" s="608"/>
      <c r="E214" s="608"/>
      <c r="F214" s="608"/>
      <c r="G214" s="608"/>
      <c r="H214" s="609">
        <v>0</v>
      </c>
      <c r="J214" s="600">
        <v>0</v>
      </c>
      <c r="K214" s="600"/>
      <c r="L214" s="618" t="e">
        <f>+H180</f>
        <v>#REF!</v>
      </c>
      <c r="M214" s="604"/>
      <c r="N214" s="600" t="e">
        <f>+SUM(L214)</f>
        <v>#REF!</v>
      </c>
    </row>
    <row r="215" spans="2:14" ht="7.5" customHeight="1">
      <c r="B215" s="589"/>
      <c r="C215" s="675"/>
      <c r="D215" s="608"/>
      <c r="E215" s="608"/>
      <c r="F215" s="608"/>
      <c r="G215" s="608"/>
      <c r="H215" s="601"/>
      <c r="J215" s="602"/>
      <c r="K215" s="619"/>
      <c r="L215" s="620"/>
      <c r="M215" s="540"/>
      <c r="N215" s="621"/>
    </row>
    <row r="216" spans="2:14" ht="14" thickBot="1">
      <c r="B216" s="589"/>
      <c r="C216" s="605" t="s">
        <v>12</v>
      </c>
      <c r="D216" s="608"/>
      <c r="E216" s="608"/>
      <c r="F216" s="608"/>
      <c r="G216" s="608"/>
      <c r="H216" s="615">
        <v>0</v>
      </c>
      <c r="I216" s="525"/>
      <c r="J216" s="615">
        <v>0</v>
      </c>
      <c r="K216" s="616"/>
      <c r="L216" s="615" t="e">
        <f>+SUM(L212:L214)</f>
        <v>#REF!</v>
      </c>
      <c r="M216" s="622"/>
      <c r="N216" s="615" t="e">
        <f>+SUM(N212:N214)</f>
        <v>#REF!</v>
      </c>
    </row>
    <row r="217" spans="2:14" ht="10.5" customHeight="1" thickTop="1">
      <c r="B217" s="589"/>
      <c r="C217" s="675"/>
      <c r="D217" s="608"/>
      <c r="E217" s="608"/>
      <c r="F217" s="608"/>
      <c r="G217" s="608"/>
      <c r="H217" s="616"/>
      <c r="I217" s="622"/>
      <c r="J217" s="616"/>
      <c r="K217" s="616"/>
      <c r="L217" s="616"/>
      <c r="M217" s="616"/>
      <c r="N217" s="616"/>
    </row>
    <row r="218" spans="2:14" ht="48" customHeight="1">
      <c r="B218" s="589"/>
      <c r="C218" s="934" t="s">
        <v>1918</v>
      </c>
      <c r="D218" s="934"/>
      <c r="E218" s="934"/>
      <c r="F218" s="934"/>
      <c r="G218" s="934"/>
      <c r="H218" s="934"/>
      <c r="I218" s="934"/>
      <c r="J218" s="934"/>
      <c r="K218" s="934"/>
      <c r="L218" s="934"/>
      <c r="M218" s="934"/>
      <c r="N218" s="934"/>
    </row>
  </sheetData>
  <mergeCells count="41">
    <mergeCell ref="C203:D203"/>
    <mergeCell ref="C204:D204"/>
    <mergeCell ref="C205:D205"/>
    <mergeCell ref="C218:N218"/>
    <mergeCell ref="C170:D170"/>
    <mergeCell ref="B192:N192"/>
    <mergeCell ref="B194:N194"/>
    <mergeCell ref="B195:N195"/>
    <mergeCell ref="B196:N196"/>
    <mergeCell ref="H198:J198"/>
    <mergeCell ref="L198:N198"/>
    <mergeCell ref="C169:D169"/>
    <mergeCell ref="B145:N145"/>
    <mergeCell ref="B147:N147"/>
    <mergeCell ref="B158:N158"/>
    <mergeCell ref="B160:N160"/>
    <mergeCell ref="B161:N161"/>
    <mergeCell ref="B162:N162"/>
    <mergeCell ref="B163:N163"/>
    <mergeCell ref="H164:J164"/>
    <mergeCell ref="L164:N164"/>
    <mergeCell ref="C167:D167"/>
    <mergeCell ref="C168:D168"/>
    <mergeCell ref="B143:N143"/>
    <mergeCell ref="B98:N98"/>
    <mergeCell ref="B102:N102"/>
    <mergeCell ref="B104:N104"/>
    <mergeCell ref="B106:D106"/>
    <mergeCell ref="B113:N113"/>
    <mergeCell ref="B117:N117"/>
    <mergeCell ref="F132:J132"/>
    <mergeCell ref="L132:N132"/>
    <mergeCell ref="F134:J134"/>
    <mergeCell ref="L134:N134"/>
    <mergeCell ref="B139:N139"/>
    <mergeCell ref="B96:N96"/>
    <mergeCell ref="B10:N10"/>
    <mergeCell ref="B14:N14"/>
    <mergeCell ref="B15:N15"/>
    <mergeCell ref="B16:N16"/>
    <mergeCell ref="B94:N94"/>
  </mergeCells>
  <pageMargins left="0.98425196850393704" right="0.78740157480314965" top="0.78740157480314965" bottom="0.78740157480314965" header="0.51181102362204722" footer="0.51181102362204722"/>
  <pageSetup paperSize="9" scale="85" firstPageNumber="30" orientation="portrait" useFirstPageNumber="1" r:id="rId1"/>
  <headerFooter alignWithMargins="0">
    <oddFooter>&amp;C&amp;P</oddFooter>
  </headerFooter>
  <rowBreaks count="5" manualBreakCount="5">
    <brk id="39" max="13" man="1"/>
    <brk id="82" max="13" man="1"/>
    <brk id="117" max="13" man="1"/>
    <brk id="148" max="13" man="1"/>
    <brk id="182"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54"/>
  <sheetViews>
    <sheetView topLeftCell="C1" workbookViewId="0">
      <pane xSplit="3" ySplit="5" topLeftCell="F397" activePane="bottomRight" state="frozen"/>
      <selection activeCell="C75" sqref="C75"/>
      <selection pane="topRight" activeCell="C75" sqref="C75"/>
      <selection pane="bottomLeft" activeCell="C75" sqref="C75"/>
      <selection pane="bottomRight" activeCell="L401" sqref="L401"/>
    </sheetView>
  </sheetViews>
  <sheetFormatPr defaultColWidth="9.1796875" defaultRowHeight="15.5"/>
  <cols>
    <col min="1" max="1" width="13.54296875" style="656" bestFit="1" customWidth="1"/>
    <col min="2" max="2" width="14.453125" style="656" bestFit="1" customWidth="1"/>
    <col min="3" max="3" width="13.453125" style="656" bestFit="1" customWidth="1"/>
    <col min="4" max="4" width="52" style="656" customWidth="1"/>
    <col min="5" max="5" width="17" style="656" hidden="1" customWidth="1"/>
    <col min="6" max="6" width="20" style="656" bestFit="1" customWidth="1"/>
    <col min="7" max="7" width="20.26953125" style="656" bestFit="1" customWidth="1"/>
    <col min="8" max="8" width="16.7265625" style="656" bestFit="1" customWidth="1"/>
    <col min="9" max="9" width="6.7265625" style="656" customWidth="1"/>
    <col min="10" max="10" width="20" style="656" bestFit="1" customWidth="1"/>
    <col min="11" max="11" width="1.81640625" style="656" bestFit="1" customWidth="1"/>
    <col min="12" max="12" width="16.1796875" style="656" bestFit="1" customWidth="1"/>
    <col min="13" max="13" width="15.7265625" style="656" bestFit="1" customWidth="1"/>
    <col min="14" max="14" width="15" style="656" bestFit="1" customWidth="1"/>
    <col min="15" max="15" width="9.1796875" style="656"/>
    <col min="16" max="16" width="15" style="656" bestFit="1" customWidth="1"/>
    <col min="17" max="16384" width="9.1796875" style="656"/>
  </cols>
  <sheetData>
    <row r="1" spans="1:13" ht="21.65" customHeight="1">
      <c r="A1" s="1028" t="s">
        <v>2329</v>
      </c>
      <c r="B1" s="1029"/>
      <c r="C1" s="1029"/>
      <c r="D1" s="1029"/>
      <c r="E1" s="1029"/>
      <c r="F1" s="1029"/>
      <c r="G1" s="1029"/>
      <c r="H1" s="1029"/>
    </row>
    <row r="2" spans="1:13" ht="3.75" customHeight="1"/>
    <row r="3" spans="1:13" ht="28.5" customHeight="1">
      <c r="A3" s="1030" t="s">
        <v>3411</v>
      </c>
      <c r="B3" s="1029"/>
      <c r="C3" s="1029"/>
      <c r="D3" s="1029"/>
      <c r="F3" s="645">
        <f>F6+F8</f>
        <v>-992856.63</v>
      </c>
    </row>
    <row r="4" spans="1:13" ht="6" customHeight="1"/>
    <row r="5" spans="1:13" ht="31">
      <c r="A5" s="657" t="s">
        <v>3326</v>
      </c>
      <c r="B5" s="657" t="s">
        <v>3327</v>
      </c>
      <c r="C5" s="657" t="s">
        <v>2332</v>
      </c>
      <c r="D5" s="1031" t="s">
        <v>3060</v>
      </c>
      <c r="E5" s="1032"/>
      <c r="F5" s="657" t="s">
        <v>3328</v>
      </c>
      <c r="G5" s="657" t="s">
        <v>3329</v>
      </c>
      <c r="H5" s="1031" t="s">
        <v>3330</v>
      </c>
      <c r="I5" s="1032"/>
      <c r="J5" s="657" t="s">
        <v>3331</v>
      </c>
    </row>
    <row r="6" spans="1:13">
      <c r="A6" s="1033" t="s">
        <v>6</v>
      </c>
      <c r="B6" s="1033" t="s">
        <v>2340</v>
      </c>
      <c r="C6" s="650" t="s">
        <v>2341</v>
      </c>
      <c r="D6" s="1033" t="s">
        <v>1943</v>
      </c>
      <c r="E6" s="1032"/>
      <c r="F6" s="651">
        <v>-11855.78</v>
      </c>
      <c r="G6" s="651">
        <v>717860.47</v>
      </c>
      <c r="H6" s="1036">
        <v>692311.41</v>
      </c>
      <c r="I6" s="1032"/>
      <c r="J6" s="651">
        <v>-37404.839999999997</v>
      </c>
    </row>
    <row r="7" spans="1:13">
      <c r="A7" s="1034"/>
      <c r="B7" s="1035"/>
      <c r="C7" s="657" t="s">
        <v>12</v>
      </c>
      <c r="D7" s="1031" t="s">
        <v>111</v>
      </c>
      <c r="E7" s="1032"/>
      <c r="F7" s="658">
        <v>-11855.78</v>
      </c>
      <c r="G7" s="658">
        <v>717860.47</v>
      </c>
      <c r="H7" s="1037">
        <v>692311.41</v>
      </c>
      <c r="I7" s="1032"/>
      <c r="J7" s="658">
        <v>-37404.839999999997</v>
      </c>
      <c r="M7" s="645">
        <f>-J7-J9-J11-J25</f>
        <v>8222848.3900000006</v>
      </c>
    </row>
    <row r="8" spans="1:13">
      <c r="A8" s="1034"/>
      <c r="B8" s="1033" t="s">
        <v>2356</v>
      </c>
      <c r="C8" s="650" t="s">
        <v>2357</v>
      </c>
      <c r="D8" s="1033" t="s">
        <v>1944</v>
      </c>
      <c r="E8" s="1032"/>
      <c r="F8" s="651">
        <v>-981000.85</v>
      </c>
      <c r="G8" s="651">
        <v>614332491.54999995</v>
      </c>
      <c r="H8" s="1036">
        <v>614081302.09000003</v>
      </c>
      <c r="I8" s="1032"/>
      <c r="J8" s="651">
        <v>-1232190.31</v>
      </c>
    </row>
    <row r="9" spans="1:13">
      <c r="A9" s="1034"/>
      <c r="B9" s="1035"/>
      <c r="C9" s="657" t="s">
        <v>12</v>
      </c>
      <c r="D9" s="1031" t="s">
        <v>111</v>
      </c>
      <c r="E9" s="1032"/>
      <c r="F9" s="658">
        <v>-981000.85</v>
      </c>
      <c r="G9" s="658">
        <v>614332491.54999995</v>
      </c>
      <c r="H9" s="1037">
        <v>614081302.09000003</v>
      </c>
      <c r="I9" s="1032"/>
      <c r="J9" s="658">
        <v>-1232190.31</v>
      </c>
    </row>
    <row r="10" spans="1:13">
      <c r="A10" s="1034"/>
      <c r="B10" s="1033" t="s">
        <v>2359</v>
      </c>
      <c r="C10" s="650" t="s">
        <v>2360</v>
      </c>
      <c r="D10" s="1033" t="s">
        <v>1945</v>
      </c>
      <c r="E10" s="1032"/>
      <c r="F10" s="651">
        <v>0</v>
      </c>
      <c r="G10" s="651">
        <v>112762628.41</v>
      </c>
      <c r="H10" s="1036">
        <v>112683248.61</v>
      </c>
      <c r="I10" s="1032"/>
      <c r="J10" s="651">
        <v>-79379.8</v>
      </c>
    </row>
    <row r="11" spans="1:13">
      <c r="A11" s="1034"/>
      <c r="B11" s="1035"/>
      <c r="C11" s="657" t="s">
        <v>12</v>
      </c>
      <c r="D11" s="1031" t="s">
        <v>111</v>
      </c>
      <c r="E11" s="1032"/>
      <c r="F11" s="658">
        <v>0</v>
      </c>
      <c r="G11" s="658">
        <v>112762628.41</v>
      </c>
      <c r="H11" s="1037">
        <v>112683248.61</v>
      </c>
      <c r="I11" s="1032"/>
      <c r="J11" s="658">
        <v>-79379.8</v>
      </c>
    </row>
    <row r="12" spans="1:13">
      <c r="A12" s="1034"/>
      <c r="B12" s="1033" t="s">
        <v>2361</v>
      </c>
      <c r="C12" s="650" t="s">
        <v>2362</v>
      </c>
      <c r="D12" s="1033" t="s">
        <v>1946</v>
      </c>
      <c r="E12" s="1032"/>
      <c r="F12" s="651">
        <v>-799945.51</v>
      </c>
      <c r="G12" s="651">
        <v>45591985.100000001</v>
      </c>
      <c r="H12" s="1036">
        <v>44684171.859999999</v>
      </c>
      <c r="I12" s="1032"/>
      <c r="J12" s="651">
        <v>-1707758.75</v>
      </c>
    </row>
    <row r="13" spans="1:13">
      <c r="A13" s="1034"/>
      <c r="B13" s="1034"/>
      <c r="C13" s="650" t="s">
        <v>2363</v>
      </c>
      <c r="D13" s="1033" t="s">
        <v>1947</v>
      </c>
      <c r="E13" s="1032"/>
      <c r="F13" s="651">
        <v>0</v>
      </c>
      <c r="G13" s="651">
        <v>0</v>
      </c>
      <c r="H13" s="1036">
        <v>0</v>
      </c>
      <c r="I13" s="1032"/>
      <c r="J13" s="651">
        <v>0</v>
      </c>
    </row>
    <row r="14" spans="1:13">
      <c r="A14" s="1034"/>
      <c r="B14" s="1034"/>
      <c r="C14" s="650" t="s">
        <v>2364</v>
      </c>
      <c r="D14" s="1033" t="s">
        <v>1948</v>
      </c>
      <c r="E14" s="1032"/>
      <c r="F14" s="651">
        <v>0</v>
      </c>
      <c r="G14" s="651">
        <v>0</v>
      </c>
      <c r="H14" s="1036">
        <v>0</v>
      </c>
      <c r="I14" s="1032"/>
      <c r="J14" s="651">
        <v>0</v>
      </c>
    </row>
    <row r="15" spans="1:13">
      <c r="A15" s="1034"/>
      <c r="B15" s="1034"/>
      <c r="C15" s="650" t="s">
        <v>2365</v>
      </c>
      <c r="D15" s="1033" t="s">
        <v>1949</v>
      </c>
      <c r="E15" s="1032"/>
      <c r="F15" s="651">
        <v>0</v>
      </c>
      <c r="G15" s="651">
        <v>0</v>
      </c>
      <c r="H15" s="1036">
        <v>0</v>
      </c>
      <c r="I15" s="1032"/>
      <c r="J15" s="651">
        <v>0</v>
      </c>
    </row>
    <row r="16" spans="1:13">
      <c r="A16" s="1034"/>
      <c r="B16" s="1034"/>
      <c r="C16" s="650" t="s">
        <v>2366</v>
      </c>
      <c r="D16" s="1033" t="s">
        <v>1950</v>
      </c>
      <c r="E16" s="1032"/>
      <c r="F16" s="651">
        <v>0</v>
      </c>
      <c r="G16" s="651">
        <v>3937.15</v>
      </c>
      <c r="H16" s="1036">
        <v>3937.15</v>
      </c>
      <c r="I16" s="1032"/>
      <c r="J16" s="651">
        <v>0</v>
      </c>
    </row>
    <row r="17" spans="1:12">
      <c r="A17" s="1034"/>
      <c r="B17" s="1034"/>
      <c r="C17" s="650" t="s">
        <v>2367</v>
      </c>
      <c r="D17" s="1033" t="s">
        <v>1951</v>
      </c>
      <c r="E17" s="1032"/>
      <c r="F17" s="651">
        <v>0</v>
      </c>
      <c r="G17" s="651">
        <v>0</v>
      </c>
      <c r="H17" s="1036">
        <v>0</v>
      </c>
      <c r="I17" s="1032"/>
      <c r="J17" s="651">
        <v>0</v>
      </c>
    </row>
    <row r="18" spans="1:12">
      <c r="A18" s="1034"/>
      <c r="B18" s="1034"/>
      <c r="C18" s="650" t="s">
        <v>2368</v>
      </c>
      <c r="D18" s="1033" t="s">
        <v>1952</v>
      </c>
      <c r="E18" s="1032"/>
      <c r="F18" s="651">
        <v>-35379.699999999997</v>
      </c>
      <c r="G18" s="651">
        <v>737.21</v>
      </c>
      <c r="H18" s="1036">
        <v>390</v>
      </c>
      <c r="I18" s="1032"/>
      <c r="J18" s="651">
        <v>-35726.910000000003</v>
      </c>
    </row>
    <row r="19" spans="1:12">
      <c r="A19" s="1034"/>
      <c r="B19" s="1034"/>
      <c r="C19" s="650" t="s">
        <v>2369</v>
      </c>
      <c r="D19" s="1033" t="s">
        <v>1953</v>
      </c>
      <c r="E19" s="1032"/>
      <c r="F19" s="651">
        <v>-3436837.58</v>
      </c>
      <c r="G19" s="651">
        <v>110619015.81999999</v>
      </c>
      <c r="H19" s="1036">
        <v>110623599.2</v>
      </c>
      <c r="I19" s="1032"/>
      <c r="J19" s="651">
        <v>-3432254.2</v>
      </c>
    </row>
    <row r="20" spans="1:12">
      <c r="A20" s="1034"/>
      <c r="B20" s="1034"/>
      <c r="C20" s="650" t="s">
        <v>2370</v>
      </c>
      <c r="D20" s="1033" t="s">
        <v>1954</v>
      </c>
      <c r="E20" s="1032"/>
      <c r="F20" s="651">
        <v>-17354.86</v>
      </c>
      <c r="G20" s="651">
        <v>58647713.170000002</v>
      </c>
      <c r="H20" s="1036">
        <v>57648022.909999996</v>
      </c>
      <c r="I20" s="1032"/>
      <c r="J20" s="651">
        <v>-1017045.12</v>
      </c>
    </row>
    <row r="21" spans="1:12">
      <c r="A21" s="1034"/>
      <c r="B21" s="1034"/>
      <c r="C21" s="650" t="s">
        <v>2371</v>
      </c>
      <c r="D21" s="1033" t="s">
        <v>1955</v>
      </c>
      <c r="E21" s="1032"/>
      <c r="F21" s="651">
        <v>-113256.7</v>
      </c>
      <c r="G21" s="651">
        <v>24622665.460000001</v>
      </c>
      <c r="H21" s="1036">
        <v>24290138.789999999</v>
      </c>
      <c r="I21" s="1032"/>
      <c r="J21" s="651">
        <v>-445783.37</v>
      </c>
    </row>
    <row r="22" spans="1:12">
      <c r="A22" s="1034"/>
      <c r="B22" s="1034"/>
      <c r="C22" s="650" t="s">
        <v>2372</v>
      </c>
      <c r="D22" s="1033" t="s">
        <v>1956</v>
      </c>
      <c r="E22" s="1032"/>
      <c r="F22" s="651">
        <v>-5676.11</v>
      </c>
      <c r="G22" s="651">
        <v>4063150.34</v>
      </c>
      <c r="H22" s="1036">
        <v>3848159.26</v>
      </c>
      <c r="I22" s="1032"/>
      <c r="J22" s="651">
        <v>-220667.19</v>
      </c>
    </row>
    <row r="23" spans="1:12">
      <c r="A23" s="1034"/>
      <c r="B23" s="1034"/>
      <c r="C23" s="650" t="s">
        <v>2373</v>
      </c>
      <c r="D23" s="1033" t="s">
        <v>1957</v>
      </c>
      <c r="E23" s="1032"/>
      <c r="F23" s="651">
        <v>-4117.8999999999996</v>
      </c>
      <c r="G23" s="651">
        <v>12820</v>
      </c>
      <c r="H23" s="1036">
        <v>2300</v>
      </c>
      <c r="I23" s="1032"/>
      <c r="J23" s="651">
        <v>-14637.9</v>
      </c>
    </row>
    <row r="24" spans="1:12">
      <c r="A24" s="1034"/>
      <c r="B24" s="1034"/>
      <c r="C24" s="650" t="s">
        <v>3061</v>
      </c>
      <c r="D24" s="1033" t="s">
        <v>3062</v>
      </c>
      <c r="E24" s="1032"/>
      <c r="F24" s="651">
        <v>7000</v>
      </c>
      <c r="G24" s="651">
        <v>4275065.17</v>
      </c>
      <c r="H24" s="1036">
        <v>4268065.17</v>
      </c>
      <c r="I24" s="1032"/>
      <c r="J24" s="651">
        <v>0</v>
      </c>
    </row>
    <row r="25" spans="1:12">
      <c r="A25" s="1034"/>
      <c r="B25" s="1035"/>
      <c r="C25" s="657" t="s">
        <v>12</v>
      </c>
      <c r="D25" s="1031" t="s">
        <v>111</v>
      </c>
      <c r="E25" s="1032"/>
      <c r="F25" s="658">
        <v>-4405568.3600000003</v>
      </c>
      <c r="G25" s="658">
        <v>247837089.41999999</v>
      </c>
      <c r="H25" s="1037">
        <v>245368784.34</v>
      </c>
      <c r="I25" s="1032"/>
      <c r="J25" s="658">
        <v>-6873873.4400000004</v>
      </c>
    </row>
    <row r="26" spans="1:12">
      <c r="A26" s="1034"/>
      <c r="B26" s="1033" t="s">
        <v>2374</v>
      </c>
      <c r="C26" s="650" t="s">
        <v>2375</v>
      </c>
      <c r="D26" s="1033" t="s">
        <v>1958</v>
      </c>
      <c r="E26" s="1032"/>
      <c r="F26" s="651">
        <v>0</v>
      </c>
      <c r="G26" s="651">
        <v>0</v>
      </c>
      <c r="H26" s="1036">
        <v>0</v>
      </c>
      <c r="I26" s="1032"/>
      <c r="J26" s="651">
        <v>0</v>
      </c>
    </row>
    <row r="27" spans="1:12">
      <c r="A27" s="1034"/>
      <c r="B27" s="1035"/>
      <c r="C27" s="657" t="s">
        <v>12</v>
      </c>
      <c r="D27" s="1031" t="s">
        <v>111</v>
      </c>
      <c r="E27" s="1032"/>
      <c r="F27" s="658">
        <v>0</v>
      </c>
      <c r="G27" s="658">
        <v>0</v>
      </c>
      <c r="H27" s="1037">
        <v>0</v>
      </c>
      <c r="I27" s="1032"/>
      <c r="J27" s="658">
        <v>0</v>
      </c>
    </row>
    <row r="28" spans="1:12">
      <c r="A28" s="1034"/>
      <c r="B28" s="1033" t="s">
        <v>2376</v>
      </c>
      <c r="C28" s="650" t="s">
        <v>2377</v>
      </c>
      <c r="D28" s="1033" t="s">
        <v>1959</v>
      </c>
      <c r="E28" s="1032"/>
      <c r="F28" s="651">
        <v>-1000000</v>
      </c>
      <c r="G28" s="651">
        <v>32918673.969999999</v>
      </c>
      <c r="H28" s="1036">
        <v>33918673.969999999</v>
      </c>
      <c r="I28" s="1032"/>
      <c r="J28" s="651">
        <v>0</v>
      </c>
    </row>
    <row r="29" spans="1:12">
      <c r="A29" s="1034"/>
      <c r="B29" s="1035"/>
      <c r="C29" s="657" t="s">
        <v>12</v>
      </c>
      <c r="D29" s="1031" t="s">
        <v>111</v>
      </c>
      <c r="E29" s="1032"/>
      <c r="F29" s="658">
        <v>-1000000</v>
      </c>
      <c r="G29" s="658">
        <v>32918673.969999999</v>
      </c>
      <c r="H29" s="1037">
        <v>33918673.969999999</v>
      </c>
      <c r="I29" s="1032"/>
      <c r="J29" s="658">
        <v>0</v>
      </c>
    </row>
    <row r="30" spans="1:12">
      <c r="A30" s="1034"/>
      <c r="B30" s="1033" t="s">
        <v>2378</v>
      </c>
      <c r="C30" s="650" t="s">
        <v>2379</v>
      </c>
      <c r="D30" s="1033" t="s">
        <v>1960</v>
      </c>
      <c r="E30" s="1032"/>
      <c r="F30" s="651">
        <v>-1736191.65</v>
      </c>
      <c r="G30" s="651">
        <v>3876515.17</v>
      </c>
      <c r="H30" s="1036">
        <v>2987263.64</v>
      </c>
      <c r="I30" s="1032"/>
      <c r="J30" s="651">
        <v>-2625443.1800000002</v>
      </c>
    </row>
    <row r="31" spans="1:12">
      <c r="A31" s="1034"/>
      <c r="B31" s="1034"/>
      <c r="C31" s="650" t="s">
        <v>3063</v>
      </c>
      <c r="D31" s="1033" t="s">
        <v>3064</v>
      </c>
      <c r="E31" s="1032"/>
      <c r="F31" s="651">
        <v>0</v>
      </c>
      <c r="G31" s="651">
        <v>23100</v>
      </c>
      <c r="H31" s="1036">
        <v>8883.31</v>
      </c>
      <c r="I31" s="1032"/>
      <c r="J31" s="651">
        <v>-14216.69</v>
      </c>
    </row>
    <row r="32" spans="1:12">
      <c r="A32" s="1034"/>
      <c r="B32" s="1035"/>
      <c r="C32" s="657" t="s">
        <v>12</v>
      </c>
      <c r="D32" s="1031" t="s">
        <v>111</v>
      </c>
      <c r="E32" s="1032"/>
      <c r="F32" s="658">
        <v>-1736191.65</v>
      </c>
      <c r="G32" s="658">
        <v>3899615.17</v>
      </c>
      <c r="H32" s="1037">
        <v>2996146.95</v>
      </c>
      <c r="I32" s="1032"/>
      <c r="J32" s="658">
        <v>-2639659.87</v>
      </c>
      <c r="L32" s="645">
        <f>-J32-J42-J49</f>
        <v>139743127.69</v>
      </c>
    </row>
    <row r="33" spans="1:10">
      <c r="A33" s="1034"/>
      <c r="B33" s="1033" t="s">
        <v>2380</v>
      </c>
      <c r="C33" s="650" t="s">
        <v>2381</v>
      </c>
      <c r="D33" s="1033" t="s">
        <v>2382</v>
      </c>
      <c r="E33" s="1032"/>
      <c r="F33" s="651">
        <v>-194257.52</v>
      </c>
      <c r="G33" s="651">
        <v>52635.01</v>
      </c>
      <c r="H33" s="1036">
        <v>246892.53</v>
      </c>
      <c r="I33" s="1032"/>
      <c r="J33" s="651">
        <v>0</v>
      </c>
    </row>
    <row r="34" spans="1:10">
      <c r="A34" s="1034"/>
      <c r="B34" s="1035"/>
      <c r="C34" s="657" t="s">
        <v>12</v>
      </c>
      <c r="D34" s="1031" t="s">
        <v>111</v>
      </c>
      <c r="E34" s="1032"/>
      <c r="F34" s="658">
        <v>-194257.52</v>
      </c>
      <c r="G34" s="658">
        <v>52635.01</v>
      </c>
      <c r="H34" s="1037">
        <v>246892.53</v>
      </c>
      <c r="I34" s="1032"/>
      <c r="J34" s="658">
        <v>0</v>
      </c>
    </row>
    <row r="35" spans="1:10">
      <c r="A35" s="1034"/>
      <c r="B35" s="1033" t="s">
        <v>2383</v>
      </c>
      <c r="C35" s="650" t="s">
        <v>2384</v>
      </c>
      <c r="D35" s="1033" t="s">
        <v>1961</v>
      </c>
      <c r="E35" s="1032"/>
      <c r="F35" s="651">
        <v>-18324479.91</v>
      </c>
      <c r="G35" s="651">
        <v>25062499.609999999</v>
      </c>
      <c r="H35" s="1036">
        <v>40348666.630000003</v>
      </c>
      <c r="I35" s="1032"/>
      <c r="J35" s="651">
        <v>-3038312.89</v>
      </c>
    </row>
    <row r="36" spans="1:10">
      <c r="A36" s="1034"/>
      <c r="B36" s="1034"/>
      <c r="C36" s="650" t="s">
        <v>2385</v>
      </c>
      <c r="D36" s="1033" t="s">
        <v>1962</v>
      </c>
      <c r="E36" s="1032"/>
      <c r="F36" s="651">
        <v>-432500.59</v>
      </c>
      <c r="G36" s="651">
        <v>17075.740000000002</v>
      </c>
      <c r="H36" s="1036">
        <v>449576.33</v>
      </c>
      <c r="I36" s="1032"/>
      <c r="J36" s="651">
        <v>0</v>
      </c>
    </row>
    <row r="37" spans="1:10">
      <c r="A37" s="1034"/>
      <c r="B37" s="1034"/>
      <c r="C37" s="650" t="s">
        <v>2386</v>
      </c>
      <c r="D37" s="1033" t="s">
        <v>1963</v>
      </c>
      <c r="E37" s="1032"/>
      <c r="F37" s="651">
        <v>-25778565.920000002</v>
      </c>
      <c r="G37" s="651">
        <v>35933446.600000001</v>
      </c>
      <c r="H37" s="1036">
        <v>55495315.630000003</v>
      </c>
      <c r="I37" s="1032"/>
      <c r="J37" s="651">
        <v>-6216696.8899999997</v>
      </c>
    </row>
    <row r="38" spans="1:10">
      <c r="A38" s="1034"/>
      <c r="B38" s="1034"/>
      <c r="C38" s="650" t="s">
        <v>3412</v>
      </c>
      <c r="D38" s="1033" t="s">
        <v>3413</v>
      </c>
      <c r="E38" s="1032"/>
      <c r="F38" s="651">
        <v>0</v>
      </c>
      <c r="G38" s="651">
        <v>24586124.309999999</v>
      </c>
      <c r="H38" s="1036">
        <v>3831510.76</v>
      </c>
      <c r="I38" s="1032"/>
      <c r="J38" s="651">
        <v>-20754613.550000001</v>
      </c>
    </row>
    <row r="39" spans="1:10">
      <c r="A39" s="1034"/>
      <c r="B39" s="1034"/>
      <c r="C39" s="650" t="s">
        <v>2387</v>
      </c>
      <c r="D39" s="1033" t="s">
        <v>1964</v>
      </c>
      <c r="E39" s="1032"/>
      <c r="F39" s="651">
        <v>-18622843.550000001</v>
      </c>
      <c r="G39" s="651">
        <v>27972256.010000002</v>
      </c>
      <c r="H39" s="1036">
        <v>30643432.34</v>
      </c>
      <c r="I39" s="1032"/>
      <c r="J39" s="651">
        <v>-15951667.220000001</v>
      </c>
    </row>
    <row r="40" spans="1:10">
      <c r="A40" s="1034"/>
      <c r="B40" s="1034"/>
      <c r="C40" s="650" t="s">
        <v>2388</v>
      </c>
      <c r="D40" s="1033" t="s">
        <v>1965</v>
      </c>
      <c r="E40" s="1032"/>
      <c r="F40" s="651">
        <v>-41979293.979999997</v>
      </c>
      <c r="G40" s="651">
        <v>75378219.780000001</v>
      </c>
      <c r="H40" s="1036">
        <v>60621065.990000002</v>
      </c>
      <c r="I40" s="1032"/>
      <c r="J40" s="651">
        <v>-56736447.770000003</v>
      </c>
    </row>
    <row r="41" spans="1:10">
      <c r="A41" s="1034"/>
      <c r="B41" s="1034"/>
      <c r="C41" s="650" t="s">
        <v>2389</v>
      </c>
      <c r="D41" s="1033" t="s">
        <v>1966</v>
      </c>
      <c r="E41" s="1032"/>
      <c r="F41" s="651">
        <v>-22794231.600000001</v>
      </c>
      <c r="G41" s="651">
        <v>28471109.280000001</v>
      </c>
      <c r="H41" s="1036">
        <v>20863074.43</v>
      </c>
      <c r="I41" s="1032"/>
      <c r="J41" s="651">
        <v>-30402266.449999999</v>
      </c>
    </row>
    <row r="42" spans="1:10">
      <c r="A42" s="1034"/>
      <c r="B42" s="1035"/>
      <c r="C42" s="657" t="s">
        <v>12</v>
      </c>
      <c r="D42" s="1031" t="s">
        <v>111</v>
      </c>
      <c r="E42" s="1032"/>
      <c r="F42" s="658">
        <v>-127931915.55</v>
      </c>
      <c r="G42" s="658">
        <v>217420731.33000001</v>
      </c>
      <c r="H42" s="1037">
        <v>212252642.11000001</v>
      </c>
      <c r="I42" s="1032"/>
      <c r="J42" s="658">
        <v>-133100004.77</v>
      </c>
    </row>
    <row r="43" spans="1:10">
      <c r="A43" s="1034"/>
      <c r="B43" s="1033" t="s">
        <v>2390</v>
      </c>
      <c r="C43" s="650" t="s">
        <v>2391</v>
      </c>
      <c r="D43" s="1033" t="s">
        <v>2392</v>
      </c>
      <c r="E43" s="1032"/>
      <c r="F43" s="651">
        <v>-1300371.95</v>
      </c>
      <c r="G43" s="651">
        <v>5283309.53</v>
      </c>
      <c r="H43" s="1036">
        <v>5611312.0099999998</v>
      </c>
      <c r="I43" s="1032"/>
      <c r="J43" s="651">
        <v>-972369.47</v>
      </c>
    </row>
    <row r="44" spans="1:10">
      <c r="A44" s="1034"/>
      <c r="B44" s="1034"/>
      <c r="C44" s="650" t="s">
        <v>3065</v>
      </c>
      <c r="D44" s="1033" t="s">
        <v>1962</v>
      </c>
      <c r="E44" s="1032"/>
      <c r="F44" s="651">
        <v>-133912.87</v>
      </c>
      <c r="G44" s="651">
        <v>143964.49</v>
      </c>
      <c r="H44" s="1036">
        <v>277877.36</v>
      </c>
      <c r="I44" s="1032"/>
      <c r="J44" s="651">
        <v>0</v>
      </c>
    </row>
    <row r="45" spans="1:10">
      <c r="A45" s="1034"/>
      <c r="B45" s="1034"/>
      <c r="C45" s="650" t="s">
        <v>2393</v>
      </c>
      <c r="D45" s="1033" t="s">
        <v>2394</v>
      </c>
      <c r="E45" s="1032"/>
      <c r="F45" s="651">
        <v>-731435.75</v>
      </c>
      <c r="G45" s="651">
        <v>5545467.5199999996</v>
      </c>
      <c r="H45" s="1036">
        <v>5156896.22</v>
      </c>
      <c r="I45" s="1032"/>
      <c r="J45" s="651">
        <v>-1120007.05</v>
      </c>
    </row>
    <row r="46" spans="1:10">
      <c r="A46" s="1034"/>
      <c r="B46" s="1034"/>
      <c r="C46" s="650" t="s">
        <v>2395</v>
      </c>
      <c r="D46" s="1033" t="s">
        <v>1964</v>
      </c>
      <c r="E46" s="1032"/>
      <c r="F46" s="651">
        <v>-741343.2</v>
      </c>
      <c r="G46" s="651">
        <v>2338844.7599999998</v>
      </c>
      <c r="H46" s="1036">
        <v>2562408.5299999998</v>
      </c>
      <c r="I46" s="1032"/>
      <c r="J46" s="651">
        <v>-517779.43</v>
      </c>
    </row>
    <row r="47" spans="1:10">
      <c r="A47" s="1034"/>
      <c r="B47" s="1034"/>
      <c r="C47" s="650" t="s">
        <v>2396</v>
      </c>
      <c r="D47" s="1033" t="s">
        <v>2397</v>
      </c>
      <c r="E47" s="1032"/>
      <c r="F47" s="651">
        <v>-511875.26</v>
      </c>
      <c r="G47" s="651">
        <v>3603045.09</v>
      </c>
      <c r="H47" s="1036">
        <v>3180297.53</v>
      </c>
      <c r="I47" s="1032"/>
      <c r="J47" s="651">
        <v>-934622.82</v>
      </c>
    </row>
    <row r="48" spans="1:10">
      <c r="A48" s="1034"/>
      <c r="B48" s="1034"/>
      <c r="C48" s="650" t="s">
        <v>2398</v>
      </c>
      <c r="D48" s="1033" t="s">
        <v>1966</v>
      </c>
      <c r="E48" s="1032"/>
      <c r="F48" s="651">
        <v>-754063.04</v>
      </c>
      <c r="G48" s="651">
        <v>1907623.72</v>
      </c>
      <c r="H48" s="1036">
        <v>2203002.48</v>
      </c>
      <c r="I48" s="1032"/>
      <c r="J48" s="651">
        <v>-458684.28</v>
      </c>
    </row>
    <row r="49" spans="1:12">
      <c r="A49" s="1034"/>
      <c r="B49" s="1035"/>
      <c r="C49" s="657" t="s">
        <v>12</v>
      </c>
      <c r="D49" s="1031" t="s">
        <v>111</v>
      </c>
      <c r="E49" s="1032"/>
      <c r="F49" s="658">
        <v>-4173002.07</v>
      </c>
      <c r="G49" s="658">
        <v>18822255.109999999</v>
      </c>
      <c r="H49" s="1037">
        <v>18991794.129999999</v>
      </c>
      <c r="I49" s="1032"/>
      <c r="J49" s="658">
        <v>-4003463.05</v>
      </c>
    </row>
    <row r="50" spans="1:12">
      <c r="A50" s="1034"/>
      <c r="B50" s="1033" t="s">
        <v>2399</v>
      </c>
      <c r="C50" s="657" t="s">
        <v>2400</v>
      </c>
      <c r="D50" s="1031" t="s">
        <v>1967</v>
      </c>
      <c r="E50" s="1038"/>
      <c r="F50" s="658">
        <v>-1535.79</v>
      </c>
      <c r="G50" s="658">
        <v>377760.78</v>
      </c>
      <c r="H50" s="1037">
        <v>378263.22</v>
      </c>
      <c r="I50" s="1038"/>
      <c r="J50" s="658">
        <v>-1033.3499999999999</v>
      </c>
    </row>
    <row r="51" spans="1:12">
      <c r="A51" s="1034"/>
      <c r="B51" s="1034"/>
      <c r="C51" s="657" t="s">
        <v>3066</v>
      </c>
      <c r="D51" s="1031" t="s">
        <v>2060</v>
      </c>
      <c r="E51" s="1038"/>
      <c r="F51" s="658">
        <v>-48.99</v>
      </c>
      <c r="G51" s="658">
        <v>5695.54</v>
      </c>
      <c r="H51" s="1037">
        <v>5695.54</v>
      </c>
      <c r="I51" s="1038"/>
      <c r="J51" s="658">
        <v>-48.99</v>
      </c>
    </row>
    <row r="52" spans="1:12">
      <c r="A52" s="1034"/>
      <c r="B52" s="1034"/>
      <c r="C52" s="657" t="s">
        <v>3414</v>
      </c>
      <c r="D52" s="1031" t="s">
        <v>2068</v>
      </c>
      <c r="E52" s="1038"/>
      <c r="F52" s="658">
        <v>0</v>
      </c>
      <c r="G52" s="658">
        <v>80175.259999999995</v>
      </c>
      <c r="H52" s="1037">
        <v>80175.259999999995</v>
      </c>
      <c r="I52" s="1038"/>
      <c r="J52" s="658">
        <v>0</v>
      </c>
    </row>
    <row r="53" spans="1:12">
      <c r="A53" s="1034"/>
      <c r="B53" s="1034"/>
      <c r="C53" s="657" t="s">
        <v>2401</v>
      </c>
      <c r="D53" s="1031" t="s">
        <v>1968</v>
      </c>
      <c r="E53" s="1038"/>
      <c r="F53" s="658">
        <v>0</v>
      </c>
      <c r="G53" s="658">
        <v>399629.36</v>
      </c>
      <c r="H53" s="1037">
        <v>401356.11</v>
      </c>
      <c r="I53" s="1038"/>
      <c r="J53" s="658">
        <v>1726.75</v>
      </c>
    </row>
    <row r="54" spans="1:12">
      <c r="A54" s="1034"/>
      <c r="B54" s="1034"/>
      <c r="C54" s="657" t="s">
        <v>3067</v>
      </c>
      <c r="D54" s="1031" t="s">
        <v>3068</v>
      </c>
      <c r="E54" s="1038"/>
      <c r="F54" s="658">
        <v>0</v>
      </c>
      <c r="G54" s="658">
        <v>1907849.56</v>
      </c>
      <c r="H54" s="1037">
        <v>0</v>
      </c>
      <c r="I54" s="1038"/>
      <c r="J54" s="658">
        <v>-1907849.56</v>
      </c>
    </row>
    <row r="55" spans="1:12">
      <c r="A55" s="1034"/>
      <c r="B55" s="1035"/>
      <c r="C55" s="657" t="s">
        <v>12</v>
      </c>
      <c r="D55" s="1031" t="s">
        <v>111</v>
      </c>
      <c r="E55" s="1038"/>
      <c r="F55" s="658">
        <v>-1584.78</v>
      </c>
      <c r="G55" s="658">
        <v>2771110.5</v>
      </c>
      <c r="H55" s="1037">
        <v>865490.13</v>
      </c>
      <c r="I55" s="1038"/>
      <c r="J55" s="658">
        <v>-1907205.15</v>
      </c>
      <c r="L55" s="646">
        <f>J55</f>
        <v>-1907205.15</v>
      </c>
    </row>
    <row r="56" spans="1:12">
      <c r="A56" s="1034"/>
      <c r="B56" s="1033" t="s">
        <v>2402</v>
      </c>
      <c r="C56" s="650" t="s">
        <v>2403</v>
      </c>
      <c r="D56" s="1033" t="s">
        <v>2404</v>
      </c>
      <c r="E56" s="1032"/>
      <c r="F56" s="651">
        <v>-977455.77</v>
      </c>
      <c r="G56" s="651">
        <v>0</v>
      </c>
      <c r="H56" s="1036">
        <v>0</v>
      </c>
      <c r="I56" s="1032"/>
      <c r="J56" s="651">
        <v>-977455.77</v>
      </c>
    </row>
    <row r="57" spans="1:12">
      <c r="A57" s="1034"/>
      <c r="B57" s="1034"/>
      <c r="C57" s="650" t="s">
        <v>2405</v>
      </c>
      <c r="D57" s="1033" t="s">
        <v>1969</v>
      </c>
      <c r="E57" s="1032"/>
      <c r="F57" s="651">
        <v>-111276.87</v>
      </c>
      <c r="G57" s="651">
        <v>0</v>
      </c>
      <c r="H57" s="1036">
        <v>0</v>
      </c>
      <c r="I57" s="1032"/>
      <c r="J57" s="651">
        <v>-111276.87</v>
      </c>
    </row>
    <row r="58" spans="1:12">
      <c r="A58" s="1034"/>
      <c r="B58" s="1034"/>
      <c r="C58" s="650" t="s">
        <v>2406</v>
      </c>
      <c r="D58" s="1033" t="s">
        <v>1970</v>
      </c>
      <c r="E58" s="1032"/>
      <c r="F58" s="651">
        <v>-77744.95</v>
      </c>
      <c r="G58" s="651">
        <v>0</v>
      </c>
      <c r="H58" s="1036">
        <v>0</v>
      </c>
      <c r="I58" s="1032"/>
      <c r="J58" s="651">
        <v>-77744.95</v>
      </c>
    </row>
    <row r="59" spans="1:12">
      <c r="A59" s="1034"/>
      <c r="B59" s="1034"/>
      <c r="C59" s="650" t="s">
        <v>2407</v>
      </c>
      <c r="D59" s="1033" t="s">
        <v>1971</v>
      </c>
      <c r="E59" s="1032"/>
      <c r="F59" s="651">
        <v>1166477.5900000001</v>
      </c>
      <c r="G59" s="651">
        <v>0</v>
      </c>
      <c r="H59" s="1036">
        <v>0</v>
      </c>
      <c r="I59" s="1032"/>
      <c r="J59" s="651">
        <v>1166477.5900000001</v>
      </c>
    </row>
    <row r="60" spans="1:12">
      <c r="A60" s="1034"/>
      <c r="B60" s="1035"/>
      <c r="C60" s="657" t="s">
        <v>12</v>
      </c>
      <c r="D60" s="1031" t="s">
        <v>111</v>
      </c>
      <c r="E60" s="1032"/>
      <c r="F60" s="658">
        <v>0</v>
      </c>
      <c r="G60" s="658">
        <v>0</v>
      </c>
      <c r="H60" s="1037">
        <v>0</v>
      </c>
      <c r="I60" s="1032"/>
      <c r="J60" s="658">
        <v>0</v>
      </c>
    </row>
    <row r="61" spans="1:12">
      <c r="A61" s="1034"/>
      <c r="B61" s="1033" t="s">
        <v>3415</v>
      </c>
      <c r="C61" s="650" t="s">
        <v>3416</v>
      </c>
      <c r="D61" s="1033" t="s">
        <v>3417</v>
      </c>
      <c r="E61" s="1032"/>
      <c r="F61" s="651">
        <v>-15277023.35</v>
      </c>
      <c r="G61" s="651">
        <v>5566750.3899999997</v>
      </c>
      <c r="H61" s="1036">
        <v>13064963.449999999</v>
      </c>
      <c r="I61" s="1032"/>
      <c r="J61" s="651">
        <v>-7778810.29</v>
      </c>
    </row>
    <row r="62" spans="1:12">
      <c r="A62" s="1034"/>
      <c r="B62" s="1035"/>
      <c r="C62" s="657" t="s">
        <v>12</v>
      </c>
      <c r="D62" s="1031" t="s">
        <v>111</v>
      </c>
      <c r="E62" s="1032"/>
      <c r="F62" s="658">
        <v>-15277023.35</v>
      </c>
      <c r="G62" s="658">
        <v>5566750.3899999997</v>
      </c>
      <c r="H62" s="1037">
        <v>13064963.449999999</v>
      </c>
      <c r="I62" s="1032"/>
      <c r="J62" s="658">
        <v>-7778810.29</v>
      </c>
      <c r="L62" s="646">
        <f>-J62</f>
        <v>7778810.29</v>
      </c>
    </row>
    <row r="63" spans="1:12">
      <c r="A63" s="1034"/>
      <c r="B63" s="1033" t="s">
        <v>2408</v>
      </c>
      <c r="C63" s="657" t="s">
        <v>2409</v>
      </c>
      <c r="D63" s="1031" t="s">
        <v>3418</v>
      </c>
      <c r="E63" s="1038"/>
      <c r="F63" s="658">
        <v>0</v>
      </c>
      <c r="G63" s="658">
        <v>0</v>
      </c>
      <c r="H63" s="1037">
        <v>0</v>
      </c>
      <c r="I63" s="1038"/>
      <c r="J63" s="658">
        <v>0</v>
      </c>
    </row>
    <row r="64" spans="1:12">
      <c r="A64" s="1034"/>
      <c r="B64" s="1035"/>
      <c r="C64" s="657" t="s">
        <v>12</v>
      </c>
      <c r="D64" s="1031" t="s">
        <v>111</v>
      </c>
      <c r="E64" s="1038"/>
      <c r="F64" s="658">
        <v>0</v>
      </c>
      <c r="G64" s="658">
        <v>0</v>
      </c>
      <c r="H64" s="1037">
        <v>0</v>
      </c>
      <c r="I64" s="1038"/>
      <c r="J64" s="658">
        <v>0</v>
      </c>
    </row>
    <row r="65" spans="1:10">
      <c r="A65" s="1034"/>
      <c r="B65" s="1033" t="s">
        <v>2410</v>
      </c>
      <c r="C65" s="650" t="s">
        <v>2411</v>
      </c>
      <c r="D65" s="1033" t="s">
        <v>1973</v>
      </c>
      <c r="E65" s="1032"/>
      <c r="F65" s="651">
        <v>-408115.27</v>
      </c>
      <c r="G65" s="651">
        <v>9646638.1300000008</v>
      </c>
      <c r="H65" s="1036">
        <v>9769161.4000000004</v>
      </c>
      <c r="I65" s="1032"/>
      <c r="J65" s="651">
        <v>-285592</v>
      </c>
    </row>
    <row r="66" spans="1:10">
      <c r="A66" s="1034"/>
      <c r="B66" s="1034"/>
      <c r="C66" s="657" t="s">
        <v>2412</v>
      </c>
      <c r="D66" s="1031" t="s">
        <v>1974</v>
      </c>
      <c r="E66" s="1038"/>
      <c r="F66" s="658">
        <v>-118673.97</v>
      </c>
      <c r="G66" s="658">
        <v>210055.63</v>
      </c>
      <c r="H66" s="1037">
        <v>319611.64</v>
      </c>
      <c r="I66" s="1038"/>
      <c r="J66" s="658">
        <v>-9117.9599999999991</v>
      </c>
    </row>
    <row r="67" spans="1:10">
      <c r="A67" s="1034"/>
      <c r="B67" s="1035"/>
      <c r="C67" s="657" t="s">
        <v>12</v>
      </c>
      <c r="D67" s="1031" t="s">
        <v>111</v>
      </c>
      <c r="E67" s="1038"/>
      <c r="F67" s="658">
        <v>-526789.24</v>
      </c>
      <c r="G67" s="658">
        <v>9856693.7599999998</v>
      </c>
      <c r="H67" s="1037">
        <v>10088773.039999999</v>
      </c>
      <c r="I67" s="1038"/>
      <c r="J67" s="658">
        <v>-294709.96000000002</v>
      </c>
    </row>
    <row r="68" spans="1:10">
      <c r="A68" s="1034"/>
      <c r="B68" s="1033" t="s">
        <v>2413</v>
      </c>
      <c r="C68" s="657" t="s">
        <v>2414</v>
      </c>
      <c r="D68" s="1031" t="s">
        <v>1975</v>
      </c>
      <c r="E68" s="1038"/>
      <c r="F68" s="658">
        <v>0</v>
      </c>
      <c r="G68" s="658">
        <v>40751.82</v>
      </c>
      <c r="H68" s="1037">
        <v>14234.57</v>
      </c>
      <c r="I68" s="1038"/>
      <c r="J68" s="658">
        <v>-26517.25</v>
      </c>
    </row>
    <row r="69" spans="1:10">
      <c r="A69" s="1034"/>
      <c r="B69" s="1035"/>
      <c r="C69" s="657" t="s">
        <v>12</v>
      </c>
      <c r="D69" s="1031" t="s">
        <v>111</v>
      </c>
      <c r="E69" s="1038"/>
      <c r="F69" s="658">
        <v>0</v>
      </c>
      <c r="G69" s="658">
        <v>40751.82</v>
      </c>
      <c r="H69" s="1037">
        <v>14234.57</v>
      </c>
      <c r="I69" s="1038"/>
      <c r="J69" s="658">
        <v>-26517.25</v>
      </c>
    </row>
    <row r="70" spans="1:10">
      <c r="A70" s="1034"/>
      <c r="B70" s="1033" t="s">
        <v>2415</v>
      </c>
      <c r="C70" s="653" t="s">
        <v>2416</v>
      </c>
      <c r="D70" s="1039" t="s">
        <v>1976</v>
      </c>
      <c r="E70" s="1040"/>
      <c r="F70" s="652">
        <v>-221433.72</v>
      </c>
      <c r="G70" s="652">
        <v>2769804.2</v>
      </c>
      <c r="H70" s="1041">
        <v>2458118.7999999998</v>
      </c>
      <c r="I70" s="1040"/>
      <c r="J70" s="652">
        <v>-533119.12</v>
      </c>
    </row>
    <row r="71" spans="1:10">
      <c r="A71" s="1034"/>
      <c r="B71" s="1034"/>
      <c r="C71" s="653" t="s">
        <v>2417</v>
      </c>
      <c r="D71" s="1039" t="s">
        <v>2418</v>
      </c>
      <c r="E71" s="1040"/>
      <c r="F71" s="652">
        <v>0</v>
      </c>
      <c r="G71" s="652">
        <v>0</v>
      </c>
      <c r="H71" s="1041">
        <v>0</v>
      </c>
      <c r="I71" s="1040"/>
      <c r="J71" s="652">
        <v>0</v>
      </c>
    </row>
    <row r="72" spans="1:10">
      <c r="A72" s="1034"/>
      <c r="B72" s="1034"/>
      <c r="C72" s="653" t="s">
        <v>2419</v>
      </c>
      <c r="D72" s="1039" t="s">
        <v>1977</v>
      </c>
      <c r="E72" s="1040"/>
      <c r="F72" s="652">
        <v>-736194.71</v>
      </c>
      <c r="G72" s="652">
        <v>4665442.28</v>
      </c>
      <c r="H72" s="1041">
        <v>4973624.3600000003</v>
      </c>
      <c r="I72" s="1040"/>
      <c r="J72" s="652">
        <v>-428012.63</v>
      </c>
    </row>
    <row r="73" spans="1:10">
      <c r="A73" s="1034"/>
      <c r="B73" s="1035"/>
      <c r="C73" s="655" t="s">
        <v>12</v>
      </c>
      <c r="D73" s="1042" t="s">
        <v>111</v>
      </c>
      <c r="E73" s="1040"/>
      <c r="F73" s="654">
        <v>-957628.43</v>
      </c>
      <c r="G73" s="654">
        <v>7435246.4800000004</v>
      </c>
      <c r="H73" s="1043">
        <v>7431743.1600000001</v>
      </c>
      <c r="I73" s="1040"/>
      <c r="J73" s="654">
        <v>-961131.75</v>
      </c>
    </row>
    <row r="74" spans="1:10">
      <c r="A74" s="1034"/>
      <c r="B74" s="1033" t="s">
        <v>2420</v>
      </c>
      <c r="C74" s="653" t="s">
        <v>2421</v>
      </c>
      <c r="D74" s="1039" t="s">
        <v>1978</v>
      </c>
      <c r="E74" s="1040"/>
      <c r="F74" s="652">
        <v>-79816</v>
      </c>
      <c r="G74" s="652">
        <v>1601912.02</v>
      </c>
      <c r="H74" s="1041">
        <v>1535701.09</v>
      </c>
      <c r="I74" s="1040"/>
      <c r="J74" s="652">
        <v>-146026.93</v>
      </c>
    </row>
    <row r="75" spans="1:10">
      <c r="A75" s="1034"/>
      <c r="B75" s="1034"/>
      <c r="C75" s="653" t="s">
        <v>3419</v>
      </c>
      <c r="D75" s="1039" t="s">
        <v>3420</v>
      </c>
      <c r="E75" s="1040"/>
      <c r="F75" s="652">
        <v>0</v>
      </c>
      <c r="G75" s="652">
        <v>200</v>
      </c>
      <c r="H75" s="1041">
        <v>200</v>
      </c>
      <c r="I75" s="1040"/>
      <c r="J75" s="652">
        <v>0</v>
      </c>
    </row>
    <row r="76" spans="1:10">
      <c r="A76" s="1034"/>
      <c r="B76" s="1034"/>
      <c r="C76" s="653" t="s">
        <v>3421</v>
      </c>
      <c r="D76" s="1039" t="s">
        <v>3422</v>
      </c>
      <c r="E76" s="1040"/>
      <c r="F76" s="652">
        <v>0</v>
      </c>
      <c r="G76" s="652">
        <v>86922.65</v>
      </c>
      <c r="H76" s="1041">
        <v>26671.11</v>
      </c>
      <c r="I76" s="1040"/>
      <c r="J76" s="652">
        <v>-60251.54</v>
      </c>
    </row>
    <row r="77" spans="1:10">
      <c r="A77" s="1034"/>
      <c r="B77" s="1034"/>
      <c r="C77" s="653" t="s">
        <v>2422</v>
      </c>
      <c r="D77" s="1039" t="s">
        <v>1979</v>
      </c>
      <c r="E77" s="1040"/>
      <c r="F77" s="652">
        <v>0</v>
      </c>
      <c r="G77" s="652">
        <v>2375026.09</v>
      </c>
      <c r="H77" s="1041">
        <v>2375026.09</v>
      </c>
      <c r="I77" s="1040"/>
      <c r="J77" s="652">
        <v>0</v>
      </c>
    </row>
    <row r="78" spans="1:10">
      <c r="A78" s="1034"/>
      <c r="B78" s="1034"/>
      <c r="C78" s="653" t="s">
        <v>2423</v>
      </c>
      <c r="D78" s="1039" t="s">
        <v>1980</v>
      </c>
      <c r="E78" s="1040"/>
      <c r="F78" s="652">
        <v>-59321.120000000003</v>
      </c>
      <c r="G78" s="652">
        <v>543217.1</v>
      </c>
      <c r="H78" s="1041">
        <v>602538.22</v>
      </c>
      <c r="I78" s="1040"/>
      <c r="J78" s="652">
        <v>0</v>
      </c>
    </row>
    <row r="79" spans="1:10">
      <c r="A79" s="1034"/>
      <c r="B79" s="1034"/>
      <c r="C79" s="653" t="s">
        <v>3423</v>
      </c>
      <c r="D79" s="1039" t="s">
        <v>3424</v>
      </c>
      <c r="E79" s="1040"/>
      <c r="F79" s="652">
        <v>0</v>
      </c>
      <c r="G79" s="652">
        <v>168747.9</v>
      </c>
      <c r="H79" s="1041">
        <v>81183.23</v>
      </c>
      <c r="I79" s="1040"/>
      <c r="J79" s="652">
        <v>-87564.67</v>
      </c>
    </row>
    <row r="80" spans="1:10">
      <c r="A80" s="1034"/>
      <c r="B80" s="1035"/>
      <c r="C80" s="655" t="s">
        <v>12</v>
      </c>
      <c r="D80" s="1042" t="s">
        <v>111</v>
      </c>
      <c r="E80" s="1040"/>
      <c r="F80" s="654">
        <v>-139137.12</v>
      </c>
      <c r="G80" s="654">
        <v>4776025.76</v>
      </c>
      <c r="H80" s="1043">
        <v>4621319.74</v>
      </c>
      <c r="I80" s="1040"/>
      <c r="J80" s="654">
        <v>-293843.14</v>
      </c>
    </row>
    <row r="81" spans="1:10">
      <c r="A81" s="1034"/>
      <c r="B81" s="1033" t="s">
        <v>2424</v>
      </c>
      <c r="C81" s="650" t="s">
        <v>2425</v>
      </c>
      <c r="D81" s="1033" t="s">
        <v>1981</v>
      </c>
      <c r="E81" s="1032"/>
      <c r="F81" s="651">
        <v>0</v>
      </c>
      <c r="G81" s="651">
        <v>0</v>
      </c>
      <c r="H81" s="1036">
        <v>0</v>
      </c>
      <c r="I81" s="1032"/>
      <c r="J81" s="651">
        <v>0</v>
      </c>
    </row>
    <row r="82" spans="1:10">
      <c r="A82" s="1034"/>
      <c r="B82" s="1035"/>
      <c r="C82" s="657" t="s">
        <v>12</v>
      </c>
      <c r="D82" s="1031" t="s">
        <v>111</v>
      </c>
      <c r="E82" s="1032"/>
      <c r="F82" s="658">
        <v>0</v>
      </c>
      <c r="G82" s="658">
        <v>0</v>
      </c>
      <c r="H82" s="1037">
        <v>0</v>
      </c>
      <c r="I82" s="1032"/>
      <c r="J82" s="658">
        <v>0</v>
      </c>
    </row>
    <row r="83" spans="1:10">
      <c r="A83" s="1034"/>
      <c r="B83" s="1033" t="s">
        <v>2426</v>
      </c>
      <c r="C83" s="650" t="s">
        <v>2427</v>
      </c>
      <c r="D83" s="1033" t="s">
        <v>1982</v>
      </c>
      <c r="E83" s="1032"/>
      <c r="F83" s="651">
        <v>-552419.55000000005</v>
      </c>
      <c r="G83" s="651">
        <v>8889812.3599999994</v>
      </c>
      <c r="H83" s="1036">
        <v>9322754.1199999992</v>
      </c>
      <c r="I83" s="1032"/>
      <c r="J83" s="651">
        <v>-119477.79</v>
      </c>
    </row>
    <row r="84" spans="1:10">
      <c r="A84" s="1034"/>
      <c r="B84" s="1034"/>
      <c r="C84" s="650" t="s">
        <v>2428</v>
      </c>
      <c r="D84" s="1033" t="s">
        <v>1983</v>
      </c>
      <c r="E84" s="1032"/>
      <c r="F84" s="651">
        <v>-9287.41</v>
      </c>
      <c r="G84" s="651">
        <v>18775.54</v>
      </c>
      <c r="H84" s="1036">
        <v>28062.95</v>
      </c>
      <c r="I84" s="1032"/>
      <c r="J84" s="651">
        <v>0</v>
      </c>
    </row>
    <row r="85" spans="1:10">
      <c r="A85" s="1034"/>
      <c r="B85" s="1034"/>
      <c r="C85" s="650" t="s">
        <v>2429</v>
      </c>
      <c r="D85" s="1033" t="s">
        <v>1984</v>
      </c>
      <c r="E85" s="1032"/>
      <c r="F85" s="651">
        <v>-759611.25</v>
      </c>
      <c r="G85" s="651">
        <v>14026656.09</v>
      </c>
      <c r="H85" s="1036">
        <v>14507922.27</v>
      </c>
      <c r="I85" s="1032"/>
      <c r="J85" s="651">
        <v>-278345.07</v>
      </c>
    </row>
    <row r="86" spans="1:10">
      <c r="A86" s="1034"/>
      <c r="B86" s="1034"/>
      <c r="C86" s="650" t="s">
        <v>3425</v>
      </c>
      <c r="D86" s="1033" t="s">
        <v>3426</v>
      </c>
      <c r="E86" s="1032"/>
      <c r="F86" s="651">
        <v>0</v>
      </c>
      <c r="G86" s="651">
        <v>2880401.43</v>
      </c>
      <c r="H86" s="1036">
        <v>1986378.91</v>
      </c>
      <c r="I86" s="1032"/>
      <c r="J86" s="651">
        <v>-894022.52</v>
      </c>
    </row>
    <row r="87" spans="1:10">
      <c r="A87" s="1034"/>
      <c r="B87" s="1034"/>
      <c r="C87" s="650" t="s">
        <v>2430</v>
      </c>
      <c r="D87" s="1033" t="s">
        <v>1985</v>
      </c>
      <c r="E87" s="1032"/>
      <c r="F87" s="651">
        <v>-523054.91</v>
      </c>
      <c r="G87" s="651">
        <v>11266806.380000001</v>
      </c>
      <c r="H87" s="1036">
        <v>11092714.91</v>
      </c>
      <c r="I87" s="1032"/>
      <c r="J87" s="651">
        <v>-697146.38</v>
      </c>
    </row>
    <row r="88" spans="1:10">
      <c r="A88" s="1034"/>
      <c r="B88" s="1034"/>
      <c r="C88" s="650" t="s">
        <v>2431</v>
      </c>
      <c r="D88" s="1033" t="s">
        <v>1986</v>
      </c>
      <c r="E88" s="1032"/>
      <c r="F88" s="651">
        <v>-1240329.21</v>
      </c>
      <c r="G88" s="651">
        <v>32792473.23</v>
      </c>
      <c r="H88" s="1036">
        <v>31596061.370000001</v>
      </c>
      <c r="I88" s="1032"/>
      <c r="J88" s="651">
        <v>-2436741.0699999998</v>
      </c>
    </row>
    <row r="89" spans="1:10">
      <c r="A89" s="1034"/>
      <c r="B89" s="1034"/>
      <c r="C89" s="650" t="s">
        <v>2432</v>
      </c>
      <c r="D89" s="1033" t="s">
        <v>1987</v>
      </c>
      <c r="E89" s="1032"/>
      <c r="F89" s="651">
        <v>-12397.9</v>
      </c>
      <c r="G89" s="651">
        <v>403426.91</v>
      </c>
      <c r="H89" s="1036">
        <v>402097.86</v>
      </c>
      <c r="I89" s="1032"/>
      <c r="J89" s="651">
        <v>-13726.95</v>
      </c>
    </row>
    <row r="90" spans="1:10">
      <c r="A90" s="1034"/>
      <c r="B90" s="1034"/>
      <c r="C90" s="650" t="s">
        <v>2433</v>
      </c>
      <c r="D90" s="1033" t="s">
        <v>1988</v>
      </c>
      <c r="E90" s="1032"/>
      <c r="F90" s="651">
        <v>-667711.93999999994</v>
      </c>
      <c r="G90" s="651">
        <v>12119195.369999999</v>
      </c>
      <c r="H90" s="1036">
        <v>11915740.83</v>
      </c>
      <c r="I90" s="1032"/>
      <c r="J90" s="651">
        <v>-871166.48</v>
      </c>
    </row>
    <row r="91" spans="1:10">
      <c r="A91" s="1034"/>
      <c r="B91" s="1035"/>
      <c r="C91" s="657" t="s">
        <v>12</v>
      </c>
      <c r="D91" s="1031" t="s">
        <v>111</v>
      </c>
      <c r="E91" s="1032"/>
      <c r="F91" s="658">
        <v>-3764812.17</v>
      </c>
      <c r="G91" s="658">
        <v>82397547.310000002</v>
      </c>
      <c r="H91" s="1037">
        <v>80851733.219999999</v>
      </c>
      <c r="I91" s="1032"/>
      <c r="J91" s="658">
        <v>-5310626.26</v>
      </c>
    </row>
    <row r="92" spans="1:10">
      <c r="A92" s="1034"/>
      <c r="B92" s="1033" t="s">
        <v>2434</v>
      </c>
      <c r="C92" s="650" t="s">
        <v>2435</v>
      </c>
      <c r="D92" s="1033" t="s">
        <v>1989</v>
      </c>
      <c r="E92" s="1032"/>
      <c r="F92" s="651">
        <v>-49024.41</v>
      </c>
      <c r="G92" s="651">
        <v>9323217.1600000001</v>
      </c>
      <c r="H92" s="1036">
        <v>9305157.5500000007</v>
      </c>
      <c r="I92" s="1032"/>
      <c r="J92" s="651">
        <v>-67084.02</v>
      </c>
    </row>
    <row r="93" spans="1:10">
      <c r="A93" s="1034"/>
      <c r="B93" s="1034"/>
      <c r="C93" s="650" t="s">
        <v>2436</v>
      </c>
      <c r="D93" s="1033" t="s">
        <v>1990</v>
      </c>
      <c r="E93" s="1032"/>
      <c r="F93" s="651">
        <v>-5137.7</v>
      </c>
      <c r="G93" s="651">
        <v>28528.38</v>
      </c>
      <c r="H93" s="1036">
        <v>33666.080000000002</v>
      </c>
      <c r="I93" s="1032"/>
      <c r="J93" s="651">
        <v>0</v>
      </c>
    </row>
    <row r="94" spans="1:10">
      <c r="A94" s="1034"/>
      <c r="B94" s="1034"/>
      <c r="C94" s="650" t="s">
        <v>2437</v>
      </c>
      <c r="D94" s="1033" t="s">
        <v>1991</v>
      </c>
      <c r="E94" s="1032"/>
      <c r="F94" s="651">
        <v>-49062.42</v>
      </c>
      <c r="G94" s="651">
        <v>14506302.68</v>
      </c>
      <c r="H94" s="1036">
        <v>14452981.08</v>
      </c>
      <c r="I94" s="1032"/>
      <c r="J94" s="651">
        <v>-102384.02</v>
      </c>
    </row>
    <row r="95" spans="1:10">
      <c r="A95" s="1034"/>
      <c r="B95" s="1034"/>
      <c r="C95" s="650" t="s">
        <v>3427</v>
      </c>
      <c r="D95" s="1033" t="s">
        <v>3428</v>
      </c>
      <c r="E95" s="1032"/>
      <c r="F95" s="651">
        <v>0</v>
      </c>
      <c r="G95" s="651">
        <v>1982372.01</v>
      </c>
      <c r="H95" s="1036">
        <v>1970095.23</v>
      </c>
      <c r="I95" s="1032"/>
      <c r="J95" s="651">
        <v>-12276.78</v>
      </c>
    </row>
    <row r="96" spans="1:10">
      <c r="A96" s="1034"/>
      <c r="B96" s="1034"/>
      <c r="C96" s="650" t="s">
        <v>2438</v>
      </c>
      <c r="D96" s="1033" t="s">
        <v>1992</v>
      </c>
      <c r="E96" s="1032"/>
      <c r="F96" s="651">
        <v>-30966.45</v>
      </c>
      <c r="G96" s="651">
        <v>11080231.529999999</v>
      </c>
      <c r="H96" s="1036">
        <v>11038825.52</v>
      </c>
      <c r="I96" s="1032"/>
      <c r="J96" s="651">
        <v>-72372.460000000006</v>
      </c>
    </row>
    <row r="97" spans="1:10">
      <c r="A97" s="1034"/>
      <c r="B97" s="1034"/>
      <c r="C97" s="650" t="s">
        <v>2439</v>
      </c>
      <c r="D97" s="1033" t="s">
        <v>1993</v>
      </c>
      <c r="E97" s="1032"/>
      <c r="F97" s="651">
        <v>-45532.75</v>
      </c>
      <c r="G97" s="651">
        <v>31576084.879999999</v>
      </c>
      <c r="H97" s="1036">
        <v>31405058.309999999</v>
      </c>
      <c r="I97" s="1032"/>
      <c r="J97" s="651">
        <v>-216559.32</v>
      </c>
    </row>
    <row r="98" spans="1:10">
      <c r="A98" s="1034"/>
      <c r="B98" s="1034"/>
      <c r="C98" s="650" t="s">
        <v>2440</v>
      </c>
      <c r="D98" s="1033" t="s">
        <v>1994</v>
      </c>
      <c r="E98" s="1032"/>
      <c r="F98" s="651">
        <v>-1934.71</v>
      </c>
      <c r="G98" s="651">
        <v>401806.85</v>
      </c>
      <c r="H98" s="1036">
        <v>402854.66</v>
      </c>
      <c r="I98" s="1032"/>
      <c r="J98" s="651">
        <v>-886.9</v>
      </c>
    </row>
    <row r="99" spans="1:10">
      <c r="A99" s="1034"/>
      <c r="B99" s="1034"/>
      <c r="C99" s="650" t="s">
        <v>2441</v>
      </c>
      <c r="D99" s="1033" t="s">
        <v>1995</v>
      </c>
      <c r="E99" s="1032"/>
      <c r="F99" s="651">
        <v>-45587.41</v>
      </c>
      <c r="G99" s="651">
        <v>11784337.390000001</v>
      </c>
      <c r="H99" s="1036">
        <v>11705610.92</v>
      </c>
      <c r="I99" s="1032"/>
      <c r="J99" s="651">
        <v>-124313.88</v>
      </c>
    </row>
    <row r="100" spans="1:10">
      <c r="A100" s="1034"/>
      <c r="B100" s="1035"/>
      <c r="C100" s="657" t="s">
        <v>12</v>
      </c>
      <c r="D100" s="1031" t="s">
        <v>111</v>
      </c>
      <c r="E100" s="1032"/>
      <c r="F100" s="658">
        <v>-227245.85</v>
      </c>
      <c r="G100" s="658">
        <v>80682880.879999995</v>
      </c>
      <c r="H100" s="1037">
        <v>80314249.349999994</v>
      </c>
      <c r="I100" s="1032"/>
      <c r="J100" s="658">
        <v>-595877.38</v>
      </c>
    </row>
    <row r="101" spans="1:10">
      <c r="A101" s="1034"/>
      <c r="B101" s="1033" t="s">
        <v>2442</v>
      </c>
      <c r="C101" s="650" t="s">
        <v>2443</v>
      </c>
      <c r="D101" s="1033" t="s">
        <v>1996</v>
      </c>
      <c r="E101" s="1032"/>
      <c r="F101" s="651">
        <v>-663.82</v>
      </c>
      <c r="G101" s="651">
        <v>69844.81</v>
      </c>
      <c r="H101" s="1036">
        <v>68603.600000000006</v>
      </c>
      <c r="I101" s="1032"/>
      <c r="J101" s="651">
        <v>-1905.03</v>
      </c>
    </row>
    <row r="102" spans="1:10">
      <c r="A102" s="1034"/>
      <c r="B102" s="1034"/>
      <c r="C102" s="650" t="s">
        <v>3069</v>
      </c>
      <c r="D102" s="1033" t="s">
        <v>3070</v>
      </c>
      <c r="E102" s="1032"/>
      <c r="F102" s="651">
        <v>-53.23</v>
      </c>
      <c r="G102" s="651">
        <v>409.08</v>
      </c>
      <c r="H102" s="1036">
        <v>462.31</v>
      </c>
      <c r="I102" s="1032"/>
      <c r="J102" s="651">
        <v>0</v>
      </c>
    </row>
    <row r="103" spans="1:10">
      <c r="A103" s="1034"/>
      <c r="B103" s="1034"/>
      <c r="C103" s="650" t="s">
        <v>2444</v>
      </c>
      <c r="D103" s="1033" t="s">
        <v>1997</v>
      </c>
      <c r="E103" s="1032"/>
      <c r="F103" s="651">
        <v>-593.13</v>
      </c>
      <c r="G103" s="651">
        <v>113534.96</v>
      </c>
      <c r="H103" s="1036">
        <v>109109.83</v>
      </c>
      <c r="I103" s="1032"/>
      <c r="J103" s="651">
        <v>-5018.26</v>
      </c>
    </row>
    <row r="104" spans="1:10">
      <c r="A104" s="1034"/>
      <c r="B104" s="1034"/>
      <c r="C104" s="650" t="s">
        <v>2445</v>
      </c>
      <c r="D104" s="1033" t="s">
        <v>1998</v>
      </c>
      <c r="E104" s="1032"/>
      <c r="F104" s="651">
        <v>-3106.97</v>
      </c>
      <c r="G104" s="651">
        <v>111476.34</v>
      </c>
      <c r="H104" s="1036">
        <v>107542.07</v>
      </c>
      <c r="I104" s="1032"/>
      <c r="J104" s="651">
        <v>-7041.24</v>
      </c>
    </row>
    <row r="105" spans="1:10">
      <c r="A105" s="1034"/>
      <c r="B105" s="1034"/>
      <c r="C105" s="650" t="s">
        <v>2446</v>
      </c>
      <c r="D105" s="1033" t="s">
        <v>1999</v>
      </c>
      <c r="E105" s="1032"/>
      <c r="F105" s="651">
        <v>-5142.25</v>
      </c>
      <c r="G105" s="651">
        <v>266590.03000000003</v>
      </c>
      <c r="H105" s="1036">
        <v>250526.35</v>
      </c>
      <c r="I105" s="1032"/>
      <c r="J105" s="651">
        <v>-21205.93</v>
      </c>
    </row>
    <row r="106" spans="1:10">
      <c r="A106" s="1034"/>
      <c r="B106" s="1034"/>
      <c r="C106" s="650" t="s">
        <v>2447</v>
      </c>
      <c r="D106" s="1033" t="s">
        <v>2000</v>
      </c>
      <c r="E106" s="1032"/>
      <c r="F106" s="651">
        <v>-1020.24</v>
      </c>
      <c r="G106" s="651">
        <v>5988.62</v>
      </c>
      <c r="H106" s="1036">
        <v>7008.86</v>
      </c>
      <c r="I106" s="1032"/>
      <c r="J106" s="651">
        <v>0</v>
      </c>
    </row>
    <row r="107" spans="1:10">
      <c r="A107" s="1034"/>
      <c r="B107" s="1034"/>
      <c r="C107" s="650" t="s">
        <v>2448</v>
      </c>
      <c r="D107" s="1033" t="s">
        <v>2001</v>
      </c>
      <c r="E107" s="1032"/>
      <c r="F107" s="651">
        <v>-24851.919999999998</v>
      </c>
      <c r="G107" s="651">
        <v>272167.69</v>
      </c>
      <c r="H107" s="1036">
        <v>289836.57</v>
      </c>
      <c r="I107" s="1032"/>
      <c r="J107" s="651">
        <v>-7183.04</v>
      </c>
    </row>
    <row r="108" spans="1:10">
      <c r="A108" s="1034"/>
      <c r="B108" s="1035"/>
      <c r="C108" s="657" t="s">
        <v>12</v>
      </c>
      <c r="D108" s="1031" t="s">
        <v>111</v>
      </c>
      <c r="E108" s="1032"/>
      <c r="F108" s="658">
        <v>-35431.56</v>
      </c>
      <c r="G108" s="658">
        <v>840011.53</v>
      </c>
      <c r="H108" s="1037">
        <v>833089.59</v>
      </c>
      <c r="I108" s="1032"/>
      <c r="J108" s="658">
        <v>-42353.5</v>
      </c>
    </row>
    <row r="109" spans="1:10">
      <c r="A109" s="1034"/>
      <c r="B109" s="1033" t="s">
        <v>2449</v>
      </c>
      <c r="C109" s="650" t="s">
        <v>2450</v>
      </c>
      <c r="D109" s="1033" t="s">
        <v>2002</v>
      </c>
      <c r="E109" s="1032"/>
      <c r="F109" s="651">
        <v>-87289.29</v>
      </c>
      <c r="G109" s="651">
        <v>531400.41</v>
      </c>
      <c r="H109" s="1036">
        <v>503722.13</v>
      </c>
      <c r="I109" s="1032"/>
      <c r="J109" s="651">
        <v>-114967.57</v>
      </c>
    </row>
    <row r="110" spans="1:10">
      <c r="A110" s="1034"/>
      <c r="B110" s="1034"/>
      <c r="C110" s="650" t="s">
        <v>3071</v>
      </c>
      <c r="D110" s="1033" t="s">
        <v>3072</v>
      </c>
      <c r="E110" s="1032"/>
      <c r="F110" s="651">
        <v>-8750.65</v>
      </c>
      <c r="G110" s="651">
        <v>7336.81</v>
      </c>
      <c r="H110" s="1036">
        <v>16087.46</v>
      </c>
      <c r="I110" s="1032"/>
      <c r="J110" s="651">
        <v>0</v>
      </c>
    </row>
    <row r="111" spans="1:10">
      <c r="A111" s="1034"/>
      <c r="B111" s="1034"/>
      <c r="C111" s="650" t="s">
        <v>2451</v>
      </c>
      <c r="D111" s="1033" t="s">
        <v>2003</v>
      </c>
      <c r="E111" s="1032"/>
      <c r="F111" s="651">
        <v>-48081.33</v>
      </c>
      <c r="G111" s="651">
        <v>616854.06000000006</v>
      </c>
      <c r="H111" s="1036">
        <v>533956.86</v>
      </c>
      <c r="I111" s="1032"/>
      <c r="J111" s="651">
        <v>-130978.53</v>
      </c>
    </row>
    <row r="112" spans="1:10">
      <c r="A112" s="1034"/>
      <c r="B112" s="1034"/>
      <c r="C112" s="650" t="s">
        <v>2452</v>
      </c>
      <c r="D112" s="1033" t="s">
        <v>2004</v>
      </c>
      <c r="E112" s="1032"/>
      <c r="F112" s="651">
        <v>-80169.39</v>
      </c>
      <c r="G112" s="651">
        <v>329234.39</v>
      </c>
      <c r="H112" s="1036">
        <v>332911.78000000003</v>
      </c>
      <c r="I112" s="1032"/>
      <c r="J112" s="651">
        <v>-76492</v>
      </c>
    </row>
    <row r="113" spans="1:12">
      <c r="A113" s="1034"/>
      <c r="B113" s="1034"/>
      <c r="C113" s="650" t="s">
        <v>2453</v>
      </c>
      <c r="D113" s="1033" t="s">
        <v>2005</v>
      </c>
      <c r="E113" s="1032"/>
      <c r="F113" s="651">
        <v>-58317.91</v>
      </c>
      <c r="G113" s="651">
        <v>634642.67000000004</v>
      </c>
      <c r="H113" s="1036">
        <v>520822.23</v>
      </c>
      <c r="I113" s="1032"/>
      <c r="J113" s="651">
        <v>-172138.35</v>
      </c>
    </row>
    <row r="114" spans="1:12">
      <c r="A114" s="1034"/>
      <c r="B114" s="1034"/>
      <c r="C114" s="650" t="s">
        <v>2454</v>
      </c>
      <c r="D114" s="1033" t="s">
        <v>2006</v>
      </c>
      <c r="E114" s="1032"/>
      <c r="F114" s="651">
        <v>-25554.99</v>
      </c>
      <c r="G114" s="651">
        <v>8110.09</v>
      </c>
      <c r="H114" s="1036">
        <v>33665.08</v>
      </c>
      <c r="I114" s="1032"/>
      <c r="J114" s="651">
        <v>0</v>
      </c>
    </row>
    <row r="115" spans="1:12">
      <c r="A115" s="1034"/>
      <c r="B115" s="1034"/>
      <c r="C115" s="650" t="s">
        <v>2455</v>
      </c>
      <c r="D115" s="1033" t="s">
        <v>2007</v>
      </c>
      <c r="E115" s="1032"/>
      <c r="F115" s="651">
        <v>-94257.13</v>
      </c>
      <c r="G115" s="651">
        <v>496576.41</v>
      </c>
      <c r="H115" s="1036">
        <v>493840.33</v>
      </c>
      <c r="I115" s="1032"/>
      <c r="J115" s="651">
        <v>-96993.21</v>
      </c>
    </row>
    <row r="116" spans="1:12">
      <c r="A116" s="1034"/>
      <c r="B116" s="1035"/>
      <c r="C116" s="657" t="s">
        <v>12</v>
      </c>
      <c r="D116" s="1031" t="s">
        <v>111</v>
      </c>
      <c r="E116" s="1032"/>
      <c r="F116" s="658">
        <v>-402420.69</v>
      </c>
      <c r="G116" s="658">
        <v>2624154.84</v>
      </c>
      <c r="H116" s="1037">
        <v>2435005.87</v>
      </c>
      <c r="I116" s="1032"/>
      <c r="J116" s="658">
        <v>-591569.66</v>
      </c>
      <c r="L116" s="645">
        <f>F116+F108+F100+F92</f>
        <v>-714122.51</v>
      </c>
    </row>
    <row r="117" spans="1:12">
      <c r="A117" s="1034"/>
      <c r="B117" s="1033" t="s">
        <v>2456</v>
      </c>
      <c r="C117" s="650" t="s">
        <v>2457</v>
      </c>
      <c r="D117" s="1033" t="s">
        <v>2008</v>
      </c>
      <c r="E117" s="1032"/>
      <c r="F117" s="651">
        <v>0</v>
      </c>
      <c r="G117" s="651">
        <v>141146.57999999999</v>
      </c>
      <c r="H117" s="1036">
        <v>140488.71</v>
      </c>
      <c r="I117" s="1032"/>
      <c r="J117" s="651">
        <v>-657.87</v>
      </c>
    </row>
    <row r="118" spans="1:12">
      <c r="A118" s="1034"/>
      <c r="B118" s="1035"/>
      <c r="C118" s="657" t="s">
        <v>12</v>
      </c>
      <c r="D118" s="1031" t="s">
        <v>111</v>
      </c>
      <c r="E118" s="1032"/>
      <c r="F118" s="658">
        <v>0</v>
      </c>
      <c r="G118" s="658">
        <v>141146.57999999999</v>
      </c>
      <c r="H118" s="1037">
        <v>140488.71</v>
      </c>
      <c r="I118" s="1032"/>
      <c r="J118" s="658">
        <v>-657.87</v>
      </c>
    </row>
    <row r="119" spans="1:12">
      <c r="A119" s="1034"/>
      <c r="B119" s="1033" t="s">
        <v>2458</v>
      </c>
      <c r="C119" s="650" t="s">
        <v>2459</v>
      </c>
      <c r="D119" s="1033" t="s">
        <v>2009</v>
      </c>
      <c r="E119" s="1032"/>
      <c r="F119" s="651">
        <v>0.34</v>
      </c>
      <c r="G119" s="651">
        <v>1192.93</v>
      </c>
      <c r="H119" s="1036">
        <v>1193.0899999999999</v>
      </c>
      <c r="I119" s="1032"/>
      <c r="J119" s="651">
        <v>0.5</v>
      </c>
    </row>
    <row r="120" spans="1:12">
      <c r="A120" s="1034"/>
      <c r="B120" s="1035"/>
      <c r="C120" s="657" t="s">
        <v>12</v>
      </c>
      <c r="D120" s="1031" t="s">
        <v>111</v>
      </c>
      <c r="E120" s="1032"/>
      <c r="F120" s="658">
        <v>0.34</v>
      </c>
      <c r="G120" s="658">
        <v>1192.93</v>
      </c>
      <c r="H120" s="1037">
        <v>1193.0899999999999</v>
      </c>
      <c r="I120" s="1032"/>
      <c r="J120" s="658">
        <v>0.5</v>
      </c>
    </row>
    <row r="121" spans="1:12">
      <c r="A121" s="1034"/>
      <c r="B121" s="1033" t="s">
        <v>2460</v>
      </c>
      <c r="C121" s="657" t="s">
        <v>2461</v>
      </c>
      <c r="D121" s="1031" t="s">
        <v>2462</v>
      </c>
      <c r="E121" s="1038"/>
      <c r="F121" s="658">
        <v>-332.32</v>
      </c>
      <c r="G121" s="658">
        <v>281193.65000000002</v>
      </c>
      <c r="H121" s="1037">
        <v>280933.12</v>
      </c>
      <c r="I121" s="1038"/>
      <c r="J121" s="658">
        <v>-592.85</v>
      </c>
    </row>
    <row r="122" spans="1:12">
      <c r="A122" s="1034"/>
      <c r="B122" s="1034"/>
      <c r="C122" s="657" t="s">
        <v>3073</v>
      </c>
      <c r="D122" s="1031" t="s">
        <v>1981</v>
      </c>
      <c r="E122" s="1038"/>
      <c r="F122" s="658">
        <v>-65.48</v>
      </c>
      <c r="G122" s="658">
        <v>7782.69</v>
      </c>
      <c r="H122" s="1037">
        <v>7848.17</v>
      </c>
      <c r="I122" s="1038"/>
      <c r="J122" s="658">
        <v>0</v>
      </c>
    </row>
    <row r="123" spans="1:12">
      <c r="A123" s="1034"/>
      <c r="B123" s="1034"/>
      <c r="C123" s="657" t="s">
        <v>2463</v>
      </c>
      <c r="D123" s="1031" t="s">
        <v>2011</v>
      </c>
      <c r="E123" s="1038"/>
      <c r="F123" s="658">
        <v>-356.56</v>
      </c>
      <c r="G123" s="658">
        <v>295059.71999999997</v>
      </c>
      <c r="H123" s="1037">
        <v>294825.82</v>
      </c>
      <c r="I123" s="1038"/>
      <c r="J123" s="658">
        <v>-590.46</v>
      </c>
    </row>
    <row r="124" spans="1:12">
      <c r="A124" s="1034"/>
      <c r="B124" s="1034"/>
      <c r="C124" s="657" t="s">
        <v>2464</v>
      </c>
      <c r="D124" s="1031" t="s">
        <v>2465</v>
      </c>
      <c r="E124" s="1038"/>
      <c r="F124" s="658">
        <v>-142.76</v>
      </c>
      <c r="G124" s="658">
        <v>81615.289999999994</v>
      </c>
      <c r="H124" s="1037">
        <v>81558.06</v>
      </c>
      <c r="I124" s="1038"/>
      <c r="J124" s="658">
        <v>-199.99</v>
      </c>
    </row>
    <row r="125" spans="1:12">
      <c r="A125" s="1034"/>
      <c r="B125" s="1034"/>
      <c r="C125" s="657" t="s">
        <v>2466</v>
      </c>
      <c r="D125" s="1031" t="s">
        <v>2013</v>
      </c>
      <c r="E125" s="1038"/>
      <c r="F125" s="658">
        <v>-115.73</v>
      </c>
      <c r="G125" s="658">
        <v>84957.96</v>
      </c>
      <c r="H125" s="1037">
        <v>84869.59</v>
      </c>
      <c r="I125" s="1038"/>
      <c r="J125" s="658">
        <v>-204.1</v>
      </c>
    </row>
    <row r="126" spans="1:12">
      <c r="A126" s="1034"/>
      <c r="B126" s="1034"/>
      <c r="C126" s="657" t="s">
        <v>2467</v>
      </c>
      <c r="D126" s="1031" t="s">
        <v>2014</v>
      </c>
      <c r="E126" s="1038"/>
      <c r="F126" s="658">
        <v>-295.39</v>
      </c>
      <c r="G126" s="658">
        <v>34.659999999999997</v>
      </c>
      <c r="H126" s="1037">
        <v>33.979999999999997</v>
      </c>
      <c r="I126" s="1038"/>
      <c r="J126" s="658">
        <v>-296.07</v>
      </c>
    </row>
    <row r="127" spans="1:12">
      <c r="A127" s="1034"/>
      <c r="B127" s="1034"/>
      <c r="C127" s="657" t="s">
        <v>2468</v>
      </c>
      <c r="D127" s="1031" t="s">
        <v>2015</v>
      </c>
      <c r="E127" s="1038"/>
      <c r="F127" s="658">
        <v>0</v>
      </c>
      <c r="G127" s="658">
        <v>13528.5</v>
      </c>
      <c r="H127" s="1037">
        <v>13528.5</v>
      </c>
      <c r="I127" s="1038"/>
      <c r="J127" s="658">
        <v>0</v>
      </c>
    </row>
    <row r="128" spans="1:12">
      <c r="A128" s="1034"/>
      <c r="B128" s="1035"/>
      <c r="C128" s="657" t="s">
        <v>12</v>
      </c>
      <c r="D128" s="1031" t="s">
        <v>111</v>
      </c>
      <c r="E128" s="1038"/>
      <c r="F128" s="658">
        <v>-1308.24</v>
      </c>
      <c r="G128" s="658">
        <v>764172.47</v>
      </c>
      <c r="H128" s="1037">
        <v>763597.24</v>
      </c>
      <c r="I128" s="1038"/>
      <c r="J128" s="658">
        <v>-1883.47</v>
      </c>
    </row>
    <row r="129" spans="1:10">
      <c r="A129" s="1034"/>
      <c r="B129" s="1033" t="s">
        <v>3332</v>
      </c>
      <c r="C129" s="657" t="s">
        <v>3074</v>
      </c>
      <c r="D129" s="1031" t="s">
        <v>2462</v>
      </c>
      <c r="E129" s="1038"/>
      <c r="F129" s="658">
        <v>-22147.27</v>
      </c>
      <c r="G129" s="658">
        <v>616192.88</v>
      </c>
      <c r="H129" s="1037">
        <v>605163.43000000005</v>
      </c>
      <c r="I129" s="1038"/>
      <c r="J129" s="658">
        <v>-33176.720000000001</v>
      </c>
    </row>
    <row r="130" spans="1:10">
      <c r="A130" s="1034"/>
      <c r="B130" s="1034"/>
      <c r="C130" s="657" t="s">
        <v>3075</v>
      </c>
      <c r="D130" s="1031" t="s">
        <v>1981</v>
      </c>
      <c r="E130" s="1038"/>
      <c r="F130" s="658">
        <v>-3512.44</v>
      </c>
      <c r="G130" s="658">
        <v>8736.14</v>
      </c>
      <c r="H130" s="1037">
        <v>11971</v>
      </c>
      <c r="I130" s="1038"/>
      <c r="J130" s="658">
        <v>-277.58</v>
      </c>
    </row>
    <row r="131" spans="1:10">
      <c r="A131" s="1034"/>
      <c r="B131" s="1034"/>
      <c r="C131" s="657" t="s">
        <v>3076</v>
      </c>
      <c r="D131" s="1031" t="s">
        <v>2011</v>
      </c>
      <c r="E131" s="1038"/>
      <c r="F131" s="658">
        <v>-18766.63</v>
      </c>
      <c r="G131" s="658">
        <v>581279.56999999995</v>
      </c>
      <c r="H131" s="1037">
        <v>566679.55000000005</v>
      </c>
      <c r="I131" s="1038"/>
      <c r="J131" s="658">
        <v>-33366.65</v>
      </c>
    </row>
    <row r="132" spans="1:10">
      <c r="A132" s="1034"/>
      <c r="B132" s="1034"/>
      <c r="C132" s="657" t="s">
        <v>3429</v>
      </c>
      <c r="D132" s="1031" t="s">
        <v>3430</v>
      </c>
      <c r="E132" s="1038"/>
      <c r="F132" s="658">
        <v>0</v>
      </c>
      <c r="G132" s="658">
        <v>1573.91</v>
      </c>
      <c r="H132" s="1037">
        <v>1289.4100000000001</v>
      </c>
      <c r="I132" s="1038"/>
      <c r="J132" s="658">
        <v>-284.5</v>
      </c>
    </row>
    <row r="133" spans="1:10">
      <c r="A133" s="1034"/>
      <c r="B133" s="1034"/>
      <c r="C133" s="657" t="s">
        <v>3077</v>
      </c>
      <c r="D133" s="1031" t="s">
        <v>2465</v>
      </c>
      <c r="E133" s="1038"/>
      <c r="F133" s="658">
        <v>-11929.27</v>
      </c>
      <c r="G133" s="658">
        <v>256977.95</v>
      </c>
      <c r="H133" s="1037">
        <v>251614.72</v>
      </c>
      <c r="I133" s="1038"/>
      <c r="J133" s="658">
        <v>-17292.5</v>
      </c>
    </row>
    <row r="134" spans="1:10">
      <c r="A134" s="1034"/>
      <c r="B134" s="1034"/>
      <c r="C134" s="657" t="s">
        <v>3078</v>
      </c>
      <c r="D134" s="1031" t="s">
        <v>2474</v>
      </c>
      <c r="E134" s="1038"/>
      <c r="F134" s="658">
        <v>-9269.2999999999993</v>
      </c>
      <c r="G134" s="658">
        <v>403637.58</v>
      </c>
      <c r="H134" s="1037">
        <v>387804.11</v>
      </c>
      <c r="I134" s="1038"/>
      <c r="J134" s="658">
        <v>-25102.77</v>
      </c>
    </row>
    <row r="135" spans="1:10">
      <c r="A135" s="1034"/>
      <c r="B135" s="1034"/>
      <c r="C135" s="657" t="s">
        <v>3079</v>
      </c>
      <c r="D135" s="1031" t="s">
        <v>2014</v>
      </c>
      <c r="E135" s="1038"/>
      <c r="F135" s="658">
        <v>-56.82</v>
      </c>
      <c r="G135" s="658">
        <v>964.42</v>
      </c>
      <c r="H135" s="1037">
        <v>880.72</v>
      </c>
      <c r="I135" s="1038"/>
      <c r="J135" s="658">
        <v>-140.52000000000001</v>
      </c>
    </row>
    <row r="136" spans="1:10">
      <c r="A136" s="1034"/>
      <c r="B136" s="1034"/>
      <c r="C136" s="657" t="s">
        <v>3080</v>
      </c>
      <c r="D136" s="1031" t="s">
        <v>2015</v>
      </c>
      <c r="E136" s="1038"/>
      <c r="F136" s="658">
        <v>-759.6</v>
      </c>
      <c r="G136" s="658">
        <v>102662.79</v>
      </c>
      <c r="H136" s="1037">
        <v>100676.57</v>
      </c>
      <c r="I136" s="1038"/>
      <c r="J136" s="658">
        <v>-2745.82</v>
      </c>
    </row>
    <row r="137" spans="1:10">
      <c r="A137" s="1034"/>
      <c r="B137" s="1035"/>
      <c r="C137" s="657" t="s">
        <v>12</v>
      </c>
      <c r="D137" s="1031" t="s">
        <v>111</v>
      </c>
      <c r="E137" s="1038"/>
      <c r="F137" s="658">
        <v>-66441.33</v>
      </c>
      <c r="G137" s="658">
        <v>1972025.24</v>
      </c>
      <c r="H137" s="1037">
        <v>1926079.51</v>
      </c>
      <c r="I137" s="1038"/>
      <c r="J137" s="658">
        <v>-112387.06</v>
      </c>
    </row>
    <row r="138" spans="1:10">
      <c r="A138" s="1034"/>
      <c r="B138" s="1033" t="s">
        <v>2469</v>
      </c>
      <c r="C138" s="657" t="s">
        <v>2470</v>
      </c>
      <c r="D138" s="1031" t="s">
        <v>2462</v>
      </c>
      <c r="E138" s="1038"/>
      <c r="F138" s="658">
        <v>-1933.74</v>
      </c>
      <c r="G138" s="658">
        <v>315716.82</v>
      </c>
      <c r="H138" s="1037">
        <v>296272.43</v>
      </c>
      <c r="I138" s="1038"/>
      <c r="J138" s="658">
        <v>-21378.13</v>
      </c>
    </row>
    <row r="139" spans="1:10">
      <c r="A139" s="1034"/>
      <c r="B139" s="1034"/>
      <c r="C139" s="657" t="s">
        <v>3081</v>
      </c>
      <c r="D139" s="1031" t="s">
        <v>1981</v>
      </c>
      <c r="E139" s="1038"/>
      <c r="F139" s="658">
        <v>-2930.56</v>
      </c>
      <c r="G139" s="658">
        <v>8983.98</v>
      </c>
      <c r="H139" s="1037">
        <v>11888.31</v>
      </c>
      <c r="I139" s="1038"/>
      <c r="J139" s="658">
        <v>-26.23</v>
      </c>
    </row>
    <row r="140" spans="1:10">
      <c r="A140" s="1034"/>
      <c r="B140" s="1034"/>
      <c r="C140" s="657" t="s">
        <v>2471</v>
      </c>
      <c r="D140" s="1031" t="s">
        <v>2011</v>
      </c>
      <c r="E140" s="1038"/>
      <c r="F140" s="658">
        <v>-7186.1</v>
      </c>
      <c r="G140" s="658">
        <v>333805.96999999997</v>
      </c>
      <c r="H140" s="1037">
        <v>308016.45</v>
      </c>
      <c r="I140" s="1038"/>
      <c r="J140" s="658">
        <v>-32975.620000000003</v>
      </c>
    </row>
    <row r="141" spans="1:10">
      <c r="A141" s="1034"/>
      <c r="B141" s="1034"/>
      <c r="C141" s="657" t="s">
        <v>2472</v>
      </c>
      <c r="D141" s="1031" t="s">
        <v>2465</v>
      </c>
      <c r="E141" s="1038"/>
      <c r="F141" s="658">
        <v>-1922.27</v>
      </c>
      <c r="G141" s="658">
        <v>96104.26</v>
      </c>
      <c r="H141" s="1037">
        <v>89914.27</v>
      </c>
      <c r="I141" s="1038"/>
      <c r="J141" s="658">
        <v>-8112.26</v>
      </c>
    </row>
    <row r="142" spans="1:10">
      <c r="A142" s="1034"/>
      <c r="B142" s="1034"/>
      <c r="C142" s="657" t="s">
        <v>2473</v>
      </c>
      <c r="D142" s="1031" t="s">
        <v>2474</v>
      </c>
      <c r="E142" s="1038"/>
      <c r="F142" s="658">
        <v>-743.47</v>
      </c>
      <c r="G142" s="658">
        <v>104463.53</v>
      </c>
      <c r="H142" s="1037">
        <v>96213.34</v>
      </c>
      <c r="I142" s="1038"/>
      <c r="J142" s="658">
        <v>-8993.66</v>
      </c>
    </row>
    <row r="143" spans="1:10">
      <c r="A143" s="1034"/>
      <c r="B143" s="1034"/>
      <c r="C143" s="657" t="s">
        <v>2475</v>
      </c>
      <c r="D143" s="1031" t="s">
        <v>2014</v>
      </c>
      <c r="E143" s="1038"/>
      <c r="F143" s="658">
        <v>1312.19</v>
      </c>
      <c r="G143" s="658">
        <v>34.61</v>
      </c>
      <c r="H143" s="1037">
        <v>36.36</v>
      </c>
      <c r="I143" s="1038"/>
      <c r="J143" s="658">
        <v>1313.94</v>
      </c>
    </row>
    <row r="144" spans="1:10">
      <c r="A144" s="1034"/>
      <c r="B144" s="1034"/>
      <c r="C144" s="657" t="s">
        <v>2476</v>
      </c>
      <c r="D144" s="1031" t="s">
        <v>2015</v>
      </c>
      <c r="E144" s="1038"/>
      <c r="F144" s="658">
        <v>-34.01</v>
      </c>
      <c r="G144" s="658">
        <v>13516.97</v>
      </c>
      <c r="H144" s="1037">
        <v>13544.73</v>
      </c>
      <c r="I144" s="1038"/>
      <c r="J144" s="658">
        <v>-6.25</v>
      </c>
    </row>
    <row r="145" spans="1:10">
      <c r="A145" s="1034"/>
      <c r="B145" s="1035"/>
      <c r="C145" s="657" t="s">
        <v>12</v>
      </c>
      <c r="D145" s="1031" t="s">
        <v>111</v>
      </c>
      <c r="E145" s="1038"/>
      <c r="F145" s="658">
        <v>-13437.96</v>
      </c>
      <c r="G145" s="658">
        <v>872626.14</v>
      </c>
      <c r="H145" s="1037">
        <v>815885.89</v>
      </c>
      <c r="I145" s="1038"/>
      <c r="J145" s="658">
        <v>-70178.210000000006</v>
      </c>
    </row>
    <row r="146" spans="1:10">
      <c r="A146" s="1034"/>
      <c r="B146" s="1033" t="s">
        <v>2477</v>
      </c>
      <c r="C146" s="657" t="s">
        <v>2478</v>
      </c>
      <c r="D146" s="1031" t="s">
        <v>2462</v>
      </c>
      <c r="E146" s="1038"/>
      <c r="F146" s="658">
        <v>-1752.1</v>
      </c>
      <c r="G146" s="658">
        <v>950676.42</v>
      </c>
      <c r="H146" s="1037">
        <v>951109.55</v>
      </c>
      <c r="I146" s="1038"/>
      <c r="J146" s="658">
        <v>-1318.97</v>
      </c>
    </row>
    <row r="147" spans="1:10">
      <c r="A147" s="1034"/>
      <c r="B147" s="1034"/>
      <c r="C147" s="657" t="s">
        <v>3082</v>
      </c>
      <c r="D147" s="1031" t="s">
        <v>1981</v>
      </c>
      <c r="E147" s="1038"/>
      <c r="F147" s="658">
        <v>-180.3</v>
      </c>
      <c r="G147" s="658">
        <v>51256.63</v>
      </c>
      <c r="H147" s="1037">
        <v>51436.93</v>
      </c>
      <c r="I147" s="1038"/>
      <c r="J147" s="658">
        <v>0</v>
      </c>
    </row>
    <row r="148" spans="1:10">
      <c r="A148" s="1034"/>
      <c r="B148" s="1034"/>
      <c r="C148" s="657" t="s">
        <v>2479</v>
      </c>
      <c r="D148" s="1031" t="s">
        <v>2011</v>
      </c>
      <c r="E148" s="1038"/>
      <c r="F148" s="658">
        <v>-946.06</v>
      </c>
      <c r="G148" s="658">
        <v>815120.67</v>
      </c>
      <c r="H148" s="1037">
        <v>814653.8</v>
      </c>
      <c r="I148" s="1038"/>
      <c r="J148" s="658">
        <v>-1412.93</v>
      </c>
    </row>
    <row r="149" spans="1:10">
      <c r="A149" s="1034"/>
      <c r="B149" s="1034"/>
      <c r="C149" s="657" t="s">
        <v>2480</v>
      </c>
      <c r="D149" s="1031" t="s">
        <v>2465</v>
      </c>
      <c r="E149" s="1038"/>
      <c r="F149" s="658">
        <v>-703.5</v>
      </c>
      <c r="G149" s="658">
        <v>278708</v>
      </c>
      <c r="H149" s="1037">
        <v>279051.93</v>
      </c>
      <c r="I149" s="1038"/>
      <c r="J149" s="658">
        <v>-359.57</v>
      </c>
    </row>
    <row r="150" spans="1:10">
      <c r="A150" s="1034"/>
      <c r="B150" s="1034"/>
      <c r="C150" s="657" t="s">
        <v>2481</v>
      </c>
      <c r="D150" s="1031" t="s">
        <v>2474</v>
      </c>
      <c r="E150" s="1038"/>
      <c r="F150" s="658">
        <v>-263.49</v>
      </c>
      <c r="G150" s="658">
        <v>179498.98</v>
      </c>
      <c r="H150" s="1037">
        <v>179518.55</v>
      </c>
      <c r="I150" s="1038"/>
      <c r="J150" s="658">
        <v>-243.92</v>
      </c>
    </row>
    <row r="151" spans="1:10">
      <c r="A151" s="1034"/>
      <c r="B151" s="1034"/>
      <c r="C151" s="657" t="s">
        <v>2482</v>
      </c>
      <c r="D151" s="1031" t="s">
        <v>2014</v>
      </c>
      <c r="E151" s="1038"/>
      <c r="F151" s="658">
        <v>-13.42</v>
      </c>
      <c r="G151" s="658">
        <v>984.31</v>
      </c>
      <c r="H151" s="1037">
        <v>997.73</v>
      </c>
      <c r="I151" s="1038"/>
      <c r="J151" s="658">
        <v>0</v>
      </c>
    </row>
    <row r="152" spans="1:10">
      <c r="A152" s="1034"/>
      <c r="B152" s="1034"/>
      <c r="C152" s="657" t="s">
        <v>3083</v>
      </c>
      <c r="D152" s="1031" t="s">
        <v>2015</v>
      </c>
      <c r="E152" s="1038"/>
      <c r="F152" s="658">
        <v>-28.72</v>
      </c>
      <c r="G152" s="658">
        <v>11667.58</v>
      </c>
      <c r="H152" s="1037">
        <v>11696.3</v>
      </c>
      <c r="I152" s="1038"/>
      <c r="J152" s="658">
        <v>0</v>
      </c>
    </row>
    <row r="153" spans="1:10">
      <c r="A153" s="1034"/>
      <c r="B153" s="1035"/>
      <c r="C153" s="657" t="s">
        <v>12</v>
      </c>
      <c r="D153" s="1031" t="s">
        <v>111</v>
      </c>
      <c r="E153" s="1038"/>
      <c r="F153" s="658">
        <v>-3887.59</v>
      </c>
      <c r="G153" s="658">
        <v>2287912.59</v>
      </c>
      <c r="H153" s="1037">
        <v>2288464.79</v>
      </c>
      <c r="I153" s="1038"/>
      <c r="J153" s="658">
        <v>-3335.39</v>
      </c>
    </row>
    <row r="154" spans="1:10">
      <c r="A154" s="1034"/>
      <c r="B154" s="1033" t="s">
        <v>3333</v>
      </c>
      <c r="C154" s="657" t="s">
        <v>3084</v>
      </c>
      <c r="D154" s="1031" t="s">
        <v>2462</v>
      </c>
      <c r="E154" s="1038"/>
      <c r="F154" s="658">
        <v>-246194.97</v>
      </c>
      <c r="G154" s="658">
        <v>1373329.91</v>
      </c>
      <c r="H154" s="1037">
        <v>1472833.91</v>
      </c>
      <c r="I154" s="1038"/>
      <c r="J154" s="658">
        <v>-146690.97</v>
      </c>
    </row>
    <row r="155" spans="1:10">
      <c r="A155" s="1034"/>
      <c r="B155" s="1034"/>
      <c r="C155" s="657" t="s">
        <v>3085</v>
      </c>
      <c r="D155" s="1031" t="s">
        <v>1981</v>
      </c>
      <c r="E155" s="1038"/>
      <c r="F155" s="658">
        <v>-10549.1</v>
      </c>
      <c r="G155" s="658">
        <v>19484.72</v>
      </c>
      <c r="H155" s="1037">
        <v>28899.52</v>
      </c>
      <c r="I155" s="1038"/>
      <c r="J155" s="658">
        <v>-1134.3</v>
      </c>
    </row>
    <row r="156" spans="1:10">
      <c r="A156" s="1034"/>
      <c r="B156" s="1034"/>
      <c r="C156" s="657" t="s">
        <v>3086</v>
      </c>
      <c r="D156" s="1031" t="s">
        <v>2011</v>
      </c>
      <c r="E156" s="1038"/>
      <c r="F156" s="658">
        <v>-73941.2</v>
      </c>
      <c r="G156" s="658">
        <v>603482.99</v>
      </c>
      <c r="H156" s="1037">
        <v>562753.55000000005</v>
      </c>
      <c r="I156" s="1038"/>
      <c r="J156" s="658">
        <v>-114670.64</v>
      </c>
    </row>
    <row r="157" spans="1:10">
      <c r="A157" s="1034"/>
      <c r="B157" s="1034"/>
      <c r="C157" s="657" t="s">
        <v>3087</v>
      </c>
      <c r="D157" s="1031" t="s">
        <v>2465</v>
      </c>
      <c r="E157" s="1038"/>
      <c r="F157" s="658">
        <v>-83337.990000000005</v>
      </c>
      <c r="G157" s="658">
        <v>311925.56</v>
      </c>
      <c r="H157" s="1037">
        <v>347511.38</v>
      </c>
      <c r="I157" s="1038"/>
      <c r="J157" s="658">
        <v>-47752.17</v>
      </c>
    </row>
    <row r="158" spans="1:10">
      <c r="A158" s="1034"/>
      <c r="B158" s="1034"/>
      <c r="C158" s="657" t="s">
        <v>3088</v>
      </c>
      <c r="D158" s="1031" t="s">
        <v>2474</v>
      </c>
      <c r="E158" s="1038"/>
      <c r="F158" s="658">
        <v>-47636.58</v>
      </c>
      <c r="G158" s="658">
        <v>391293.94</v>
      </c>
      <c r="H158" s="1037">
        <v>385726.2</v>
      </c>
      <c r="I158" s="1038"/>
      <c r="J158" s="658">
        <v>-53204.32</v>
      </c>
    </row>
    <row r="159" spans="1:10">
      <c r="A159" s="1034"/>
      <c r="B159" s="1034"/>
      <c r="C159" s="657" t="s">
        <v>3089</v>
      </c>
      <c r="D159" s="1031" t="s">
        <v>2014</v>
      </c>
      <c r="E159" s="1038"/>
      <c r="F159" s="658">
        <v>-227.57</v>
      </c>
      <c r="G159" s="658">
        <v>1781.15</v>
      </c>
      <c r="H159" s="1037">
        <v>1920.06</v>
      </c>
      <c r="I159" s="1038"/>
      <c r="J159" s="658">
        <v>-88.66</v>
      </c>
    </row>
    <row r="160" spans="1:10">
      <c r="A160" s="1034"/>
      <c r="B160" s="1034"/>
      <c r="C160" s="657" t="s">
        <v>3090</v>
      </c>
      <c r="D160" s="1031" t="s">
        <v>2015</v>
      </c>
      <c r="E160" s="1038"/>
      <c r="F160" s="658">
        <v>-18621.52</v>
      </c>
      <c r="G160" s="658">
        <v>145859.97</v>
      </c>
      <c r="H160" s="1037">
        <v>155530.91</v>
      </c>
      <c r="I160" s="1038"/>
      <c r="J160" s="658">
        <v>-8950.58</v>
      </c>
    </row>
    <row r="161" spans="1:10">
      <c r="A161" s="1034"/>
      <c r="B161" s="1035"/>
      <c r="C161" s="657" t="s">
        <v>12</v>
      </c>
      <c r="D161" s="1031" t="s">
        <v>111</v>
      </c>
      <c r="E161" s="1038"/>
      <c r="F161" s="658">
        <v>-480508.93</v>
      </c>
      <c r="G161" s="658">
        <v>2847158.24</v>
      </c>
      <c r="H161" s="1037">
        <v>2955175.53</v>
      </c>
      <c r="I161" s="1038"/>
      <c r="J161" s="658">
        <v>-372491.64</v>
      </c>
    </row>
    <row r="162" spans="1:10">
      <c r="A162" s="1034"/>
      <c r="B162" s="1033" t="s">
        <v>2483</v>
      </c>
      <c r="C162" s="657" t="s">
        <v>2484</v>
      </c>
      <c r="D162" s="1031" t="s">
        <v>2462</v>
      </c>
      <c r="E162" s="1038"/>
      <c r="F162" s="658">
        <v>-252834.85</v>
      </c>
      <c r="G162" s="658">
        <v>1175835.4099999999</v>
      </c>
      <c r="H162" s="1037">
        <v>1302847.68</v>
      </c>
      <c r="I162" s="1038"/>
      <c r="J162" s="658">
        <v>-125822.58</v>
      </c>
    </row>
    <row r="163" spans="1:10">
      <c r="A163" s="1034"/>
      <c r="B163" s="1034"/>
      <c r="C163" s="657" t="s">
        <v>3091</v>
      </c>
      <c r="D163" s="1031" t="s">
        <v>1981</v>
      </c>
      <c r="E163" s="1038"/>
      <c r="F163" s="658">
        <v>-18313.53</v>
      </c>
      <c r="G163" s="658">
        <v>61634.12</v>
      </c>
      <c r="H163" s="1037">
        <v>79489.83</v>
      </c>
      <c r="I163" s="1038"/>
      <c r="J163" s="658">
        <v>-457.82</v>
      </c>
    </row>
    <row r="164" spans="1:10">
      <c r="A164" s="1034"/>
      <c r="B164" s="1034"/>
      <c r="C164" s="657" t="s">
        <v>2485</v>
      </c>
      <c r="D164" s="1031" t="s">
        <v>2011</v>
      </c>
      <c r="E164" s="1038"/>
      <c r="F164" s="658">
        <v>-144510.76999999999</v>
      </c>
      <c r="G164" s="658">
        <v>1031126.27</v>
      </c>
      <c r="H164" s="1037">
        <v>1027760.64</v>
      </c>
      <c r="I164" s="1038"/>
      <c r="J164" s="658">
        <v>-147876.4</v>
      </c>
    </row>
    <row r="165" spans="1:10">
      <c r="A165" s="1034"/>
      <c r="B165" s="1034"/>
      <c r="C165" s="657" t="s">
        <v>2486</v>
      </c>
      <c r="D165" s="1031" t="s">
        <v>2465</v>
      </c>
      <c r="E165" s="1038"/>
      <c r="F165" s="658">
        <v>-85490.97</v>
      </c>
      <c r="G165" s="658">
        <v>338464.59</v>
      </c>
      <c r="H165" s="1037">
        <v>385619.22</v>
      </c>
      <c r="I165" s="1038"/>
      <c r="J165" s="658">
        <v>-38336.339999999997</v>
      </c>
    </row>
    <row r="166" spans="1:10">
      <c r="A166" s="1034"/>
      <c r="B166" s="1034"/>
      <c r="C166" s="657" t="s">
        <v>2487</v>
      </c>
      <c r="D166" s="1031" t="s">
        <v>2474</v>
      </c>
      <c r="E166" s="1038"/>
      <c r="F166" s="658">
        <v>-42002.02</v>
      </c>
      <c r="G166" s="658">
        <v>231550.23</v>
      </c>
      <c r="H166" s="1037">
        <v>250542.49</v>
      </c>
      <c r="I166" s="1038"/>
      <c r="J166" s="658">
        <v>-23009.759999999998</v>
      </c>
    </row>
    <row r="167" spans="1:10">
      <c r="A167" s="1034"/>
      <c r="B167" s="1034"/>
      <c r="C167" s="657" t="s">
        <v>2488</v>
      </c>
      <c r="D167" s="1031" t="s">
        <v>2014</v>
      </c>
      <c r="E167" s="1038"/>
      <c r="F167" s="658">
        <v>-5757.59</v>
      </c>
      <c r="G167" s="658">
        <v>985.23</v>
      </c>
      <c r="H167" s="1037">
        <v>6730.65</v>
      </c>
      <c r="I167" s="1038"/>
      <c r="J167" s="658">
        <v>-12.17</v>
      </c>
    </row>
    <row r="168" spans="1:10">
      <c r="A168" s="1034"/>
      <c r="B168" s="1034"/>
      <c r="C168" s="657" t="s">
        <v>3092</v>
      </c>
      <c r="D168" s="1031" t="s">
        <v>2015</v>
      </c>
      <c r="E168" s="1038"/>
      <c r="F168" s="658">
        <v>-6418.19</v>
      </c>
      <c r="G168" s="658">
        <v>16771.150000000001</v>
      </c>
      <c r="H168" s="1037">
        <v>23189.34</v>
      </c>
      <c r="I168" s="1038"/>
      <c r="J168" s="658">
        <v>0</v>
      </c>
    </row>
    <row r="169" spans="1:10">
      <c r="A169" s="1034"/>
      <c r="B169" s="1035"/>
      <c r="C169" s="657" t="s">
        <v>12</v>
      </c>
      <c r="D169" s="1031" t="s">
        <v>111</v>
      </c>
      <c r="E169" s="1038"/>
      <c r="F169" s="658">
        <v>-555327.92000000004</v>
      </c>
      <c r="G169" s="658">
        <v>2856367</v>
      </c>
      <c r="H169" s="1037">
        <v>3076179.85</v>
      </c>
      <c r="I169" s="1038"/>
      <c r="J169" s="658">
        <v>-335515.07</v>
      </c>
    </row>
    <row r="170" spans="1:10">
      <c r="A170" s="1034"/>
      <c r="B170" s="1033" t="s">
        <v>2489</v>
      </c>
      <c r="C170" s="653" t="s">
        <v>2490</v>
      </c>
      <c r="D170" s="1039" t="s">
        <v>2016</v>
      </c>
      <c r="E170" s="1040"/>
      <c r="F170" s="652">
        <v>-3755.42</v>
      </c>
      <c r="G170" s="652">
        <v>0.01</v>
      </c>
      <c r="H170" s="1041">
        <v>3755.43</v>
      </c>
      <c r="I170" s="1040"/>
      <c r="J170" s="652">
        <v>0</v>
      </c>
    </row>
    <row r="171" spans="1:10">
      <c r="A171" s="1034"/>
      <c r="B171" s="1034"/>
      <c r="C171" s="653" t="s">
        <v>2491</v>
      </c>
      <c r="D171" s="1039" t="s">
        <v>2017</v>
      </c>
      <c r="E171" s="1040"/>
      <c r="F171" s="652">
        <v>0</v>
      </c>
      <c r="G171" s="652">
        <v>0</v>
      </c>
      <c r="H171" s="1041">
        <v>0</v>
      </c>
      <c r="I171" s="1040"/>
      <c r="J171" s="652">
        <v>0</v>
      </c>
    </row>
    <row r="172" spans="1:10">
      <c r="A172" s="1034"/>
      <c r="B172" s="1034"/>
      <c r="C172" s="653" t="s">
        <v>2492</v>
      </c>
      <c r="D172" s="1039" t="s">
        <v>2018</v>
      </c>
      <c r="E172" s="1040"/>
      <c r="F172" s="652">
        <v>-6602.39</v>
      </c>
      <c r="G172" s="652">
        <v>34265.5</v>
      </c>
      <c r="H172" s="1041">
        <v>31780.65</v>
      </c>
      <c r="I172" s="1040"/>
      <c r="J172" s="652">
        <v>-9087.24</v>
      </c>
    </row>
    <row r="173" spans="1:10">
      <c r="A173" s="1034"/>
      <c r="B173" s="1034"/>
      <c r="C173" s="653" t="s">
        <v>2493</v>
      </c>
      <c r="D173" s="1039" t="s">
        <v>2019</v>
      </c>
      <c r="E173" s="1040"/>
      <c r="F173" s="652">
        <v>-2349</v>
      </c>
      <c r="G173" s="652">
        <v>8343</v>
      </c>
      <c r="H173" s="1041">
        <v>8606.25</v>
      </c>
      <c r="I173" s="1040"/>
      <c r="J173" s="652">
        <v>-2085.75</v>
      </c>
    </row>
    <row r="174" spans="1:10">
      <c r="A174" s="1034"/>
      <c r="B174" s="1034"/>
      <c r="C174" s="653" t="s">
        <v>2494</v>
      </c>
      <c r="D174" s="1039" t="s">
        <v>2020</v>
      </c>
      <c r="E174" s="1040"/>
      <c r="F174" s="652">
        <v>-336384</v>
      </c>
      <c r="G174" s="652">
        <v>1344870.51</v>
      </c>
      <c r="H174" s="1041">
        <v>1681254.51</v>
      </c>
      <c r="I174" s="1040"/>
      <c r="J174" s="652">
        <v>0</v>
      </c>
    </row>
    <row r="175" spans="1:10">
      <c r="A175" s="1034"/>
      <c r="B175" s="1034"/>
      <c r="C175" s="653" t="s">
        <v>2495</v>
      </c>
      <c r="D175" s="1039" t="s">
        <v>2021</v>
      </c>
      <c r="E175" s="1040"/>
      <c r="F175" s="652">
        <v>-4661.55</v>
      </c>
      <c r="G175" s="652">
        <v>16556.22</v>
      </c>
      <c r="H175" s="1041">
        <v>17078.759999999998</v>
      </c>
      <c r="I175" s="1040"/>
      <c r="J175" s="652">
        <v>-4139.01</v>
      </c>
    </row>
    <row r="176" spans="1:10">
      <c r="A176" s="1034"/>
      <c r="B176" s="1034"/>
      <c r="C176" s="653" t="s">
        <v>2496</v>
      </c>
      <c r="D176" s="1039" t="s">
        <v>2022</v>
      </c>
      <c r="E176" s="1040"/>
      <c r="F176" s="652">
        <v>-163.08000000000001</v>
      </c>
      <c r="G176" s="652">
        <v>579.42999999999995</v>
      </c>
      <c r="H176" s="1041">
        <v>597.66</v>
      </c>
      <c r="I176" s="1040"/>
      <c r="J176" s="652">
        <v>-144.85</v>
      </c>
    </row>
    <row r="177" spans="1:13">
      <c r="A177" s="1034"/>
      <c r="B177" s="1035"/>
      <c r="C177" s="655" t="s">
        <v>12</v>
      </c>
      <c r="D177" s="1042" t="s">
        <v>111</v>
      </c>
      <c r="E177" s="1040"/>
      <c r="F177" s="654">
        <v>-353915.44</v>
      </c>
      <c r="G177" s="654">
        <v>1404614.67</v>
      </c>
      <c r="H177" s="1043">
        <v>1743073.26</v>
      </c>
      <c r="I177" s="1040"/>
      <c r="J177" s="654">
        <v>-15456.85</v>
      </c>
      <c r="L177" s="645">
        <f>-F177-F183-F215</f>
        <v>968113.98</v>
      </c>
    </row>
    <row r="178" spans="1:13">
      <c r="A178" s="1034"/>
      <c r="B178" s="1033" t="s">
        <v>2497</v>
      </c>
      <c r="C178" s="650" t="s">
        <v>2498</v>
      </c>
      <c r="D178" s="1033" t="s">
        <v>2023</v>
      </c>
      <c r="E178" s="1032"/>
      <c r="F178" s="651">
        <v>1102969</v>
      </c>
      <c r="G178" s="651">
        <v>3372471</v>
      </c>
      <c r="H178" s="1036">
        <v>1102269</v>
      </c>
      <c r="I178" s="1032"/>
      <c r="J178" s="651">
        <v>-1167233</v>
      </c>
    </row>
    <row r="179" spans="1:13">
      <c r="A179" s="1034"/>
      <c r="B179" s="1034"/>
      <c r="C179" s="650" t="s">
        <v>3431</v>
      </c>
      <c r="D179" s="1033" t="s">
        <v>3432</v>
      </c>
      <c r="E179" s="1032"/>
      <c r="F179" s="651">
        <v>0</v>
      </c>
      <c r="G179" s="651">
        <v>1910147.61</v>
      </c>
      <c r="H179" s="1036">
        <v>0</v>
      </c>
      <c r="I179" s="1032"/>
      <c r="J179" s="651">
        <v>0</v>
      </c>
      <c r="M179" s="656">
        <v>10910147</v>
      </c>
    </row>
    <row r="180" spans="1:13">
      <c r="A180" s="1034"/>
      <c r="B180" s="1035"/>
      <c r="C180" s="657" t="s">
        <v>12</v>
      </c>
      <c r="D180" s="1031" t="s">
        <v>111</v>
      </c>
      <c r="E180" s="1032"/>
      <c r="F180" s="658">
        <v>1102969</v>
      </c>
      <c r="G180" s="658">
        <v>5282618.6100000003</v>
      </c>
      <c r="H180" s="1037">
        <v>1102269</v>
      </c>
      <c r="I180" s="1032"/>
      <c r="J180" s="658">
        <v>-3077380.61</v>
      </c>
    </row>
    <row r="181" spans="1:13">
      <c r="A181" s="1034"/>
      <c r="B181" s="1033" t="s">
        <v>2499</v>
      </c>
      <c r="C181" s="653" t="s">
        <v>2500</v>
      </c>
      <c r="D181" s="1039" t="s">
        <v>2024</v>
      </c>
      <c r="E181" s="1040"/>
      <c r="F181" s="652">
        <v>-11150</v>
      </c>
      <c r="G181" s="652">
        <v>0</v>
      </c>
      <c r="H181" s="1041">
        <v>0</v>
      </c>
      <c r="I181" s="1040"/>
      <c r="J181" s="652">
        <v>-11150</v>
      </c>
    </row>
    <row r="182" spans="1:13">
      <c r="A182" s="1034"/>
      <c r="B182" s="1034"/>
      <c r="C182" s="653" t="s">
        <v>2501</v>
      </c>
      <c r="D182" s="1039" t="s">
        <v>2025</v>
      </c>
      <c r="E182" s="1040"/>
      <c r="F182" s="652">
        <v>-36026.03</v>
      </c>
      <c r="G182" s="652">
        <v>376787.22</v>
      </c>
      <c r="H182" s="1041">
        <v>412813.25</v>
      </c>
      <c r="I182" s="1040"/>
      <c r="J182" s="652">
        <v>0</v>
      </c>
    </row>
    <row r="183" spans="1:13">
      <c r="A183" s="1034"/>
      <c r="B183" s="1035"/>
      <c r="C183" s="655" t="s">
        <v>12</v>
      </c>
      <c r="D183" s="1042" t="s">
        <v>111</v>
      </c>
      <c r="E183" s="1040"/>
      <c r="F183" s="654">
        <v>-47176.03</v>
      </c>
      <c r="G183" s="654">
        <v>376787.22</v>
      </c>
      <c r="H183" s="1043">
        <v>412813.25</v>
      </c>
      <c r="I183" s="1040"/>
      <c r="J183" s="654">
        <v>-11150</v>
      </c>
    </row>
    <row r="184" spans="1:13">
      <c r="A184" s="1034"/>
      <c r="B184" s="1033" t="s">
        <v>2502</v>
      </c>
      <c r="C184" s="653" t="s">
        <v>2503</v>
      </c>
      <c r="D184" s="1039" t="s">
        <v>2026</v>
      </c>
      <c r="E184" s="1040"/>
      <c r="F184" s="652">
        <v>0</v>
      </c>
      <c r="G184" s="652">
        <v>328886.78000000003</v>
      </c>
      <c r="H184" s="1041">
        <v>328886.78000000003</v>
      </c>
      <c r="I184" s="1040"/>
      <c r="J184" s="652">
        <v>0</v>
      </c>
      <c r="L184" s="656">
        <v>1704329</v>
      </c>
    </row>
    <row r="185" spans="1:13">
      <c r="A185" s="1034"/>
      <c r="B185" s="1035"/>
      <c r="C185" s="655" t="s">
        <v>12</v>
      </c>
      <c r="D185" s="1042" t="s">
        <v>111</v>
      </c>
      <c r="E185" s="1040"/>
      <c r="F185" s="654">
        <v>0</v>
      </c>
      <c r="G185" s="654">
        <v>328886.78000000003</v>
      </c>
      <c r="H185" s="1043">
        <v>328886.78000000003</v>
      </c>
      <c r="I185" s="1040"/>
      <c r="J185" s="654">
        <v>0</v>
      </c>
      <c r="L185" s="656">
        <v>221434</v>
      </c>
    </row>
    <row r="186" spans="1:13">
      <c r="A186" s="1034"/>
      <c r="B186" s="1033" t="s">
        <v>2504</v>
      </c>
      <c r="C186" s="650" t="s">
        <v>2505</v>
      </c>
      <c r="D186" s="1033" t="s">
        <v>2027</v>
      </c>
      <c r="E186" s="1032"/>
      <c r="F186" s="651">
        <v>-20</v>
      </c>
      <c r="G186" s="651">
        <v>336634.7</v>
      </c>
      <c r="H186" s="1036">
        <v>336654.7</v>
      </c>
      <c r="I186" s="1032"/>
      <c r="J186" s="651">
        <v>0</v>
      </c>
      <c r="L186" s="656">
        <f>L184+L185</f>
        <v>1925763</v>
      </c>
    </row>
    <row r="187" spans="1:13">
      <c r="A187" s="1034"/>
      <c r="B187" s="1034"/>
      <c r="C187" s="650" t="s">
        <v>2506</v>
      </c>
      <c r="D187" s="1033" t="s">
        <v>2028</v>
      </c>
      <c r="E187" s="1032"/>
      <c r="F187" s="651">
        <v>0</v>
      </c>
      <c r="G187" s="651">
        <v>450000</v>
      </c>
      <c r="H187" s="1036">
        <v>450000</v>
      </c>
      <c r="I187" s="1032"/>
      <c r="J187" s="651">
        <v>0</v>
      </c>
    </row>
    <row r="188" spans="1:13">
      <c r="A188" s="1034"/>
      <c r="B188" s="1034"/>
      <c r="C188" s="650" t="s">
        <v>2507</v>
      </c>
      <c r="D188" s="1033" t="s">
        <v>2029</v>
      </c>
      <c r="E188" s="1032"/>
      <c r="F188" s="651">
        <v>-7000</v>
      </c>
      <c r="G188" s="651">
        <v>4738831.01</v>
      </c>
      <c r="H188" s="1036">
        <v>4718633.6399999997</v>
      </c>
      <c r="I188" s="1032"/>
      <c r="J188" s="651">
        <v>-27197.37</v>
      </c>
    </row>
    <row r="189" spans="1:13">
      <c r="A189" s="1034"/>
      <c r="B189" s="1034"/>
      <c r="C189" s="650" t="s">
        <v>2508</v>
      </c>
      <c r="D189" s="1033" t="s">
        <v>2030</v>
      </c>
      <c r="E189" s="1032"/>
      <c r="F189" s="651">
        <v>-304.54000000000002</v>
      </c>
      <c r="G189" s="651">
        <v>66658.5</v>
      </c>
      <c r="H189" s="1036">
        <v>66963.039999999994</v>
      </c>
      <c r="I189" s="1032"/>
      <c r="J189" s="651">
        <v>0</v>
      </c>
    </row>
    <row r="190" spans="1:13">
      <c r="A190" s="1034"/>
      <c r="B190" s="1034"/>
      <c r="C190" s="650" t="s">
        <v>2509</v>
      </c>
      <c r="D190" s="1033" t="s">
        <v>2031</v>
      </c>
      <c r="E190" s="1032"/>
      <c r="F190" s="651">
        <v>0</v>
      </c>
      <c r="G190" s="651">
        <v>35626.53</v>
      </c>
      <c r="H190" s="1036">
        <v>35626.53</v>
      </c>
      <c r="I190" s="1032"/>
      <c r="J190" s="651">
        <v>0</v>
      </c>
    </row>
    <row r="191" spans="1:13">
      <c r="A191" s="1034"/>
      <c r="B191" s="1034"/>
      <c r="C191" s="650" t="s">
        <v>2510</v>
      </c>
      <c r="D191" s="1033" t="s">
        <v>2032</v>
      </c>
      <c r="E191" s="1032"/>
      <c r="F191" s="651">
        <v>0</v>
      </c>
      <c r="G191" s="651">
        <v>114834.8</v>
      </c>
      <c r="H191" s="1036">
        <v>114834.8</v>
      </c>
      <c r="I191" s="1032"/>
      <c r="J191" s="651">
        <v>0</v>
      </c>
    </row>
    <row r="192" spans="1:13">
      <c r="A192" s="1034"/>
      <c r="B192" s="1034"/>
      <c r="C192" s="650" t="s">
        <v>2511</v>
      </c>
      <c r="D192" s="1033" t="s">
        <v>2033</v>
      </c>
      <c r="E192" s="1032"/>
      <c r="F192" s="651">
        <v>-3494.55</v>
      </c>
      <c r="G192" s="651">
        <v>368661.16</v>
      </c>
      <c r="H192" s="1036">
        <v>372155.71</v>
      </c>
      <c r="I192" s="1032"/>
      <c r="J192" s="651">
        <v>0</v>
      </c>
    </row>
    <row r="193" spans="1:10">
      <c r="A193" s="1034"/>
      <c r="B193" s="1034"/>
      <c r="C193" s="650" t="s">
        <v>2512</v>
      </c>
      <c r="D193" s="1033" t="s">
        <v>2034</v>
      </c>
      <c r="E193" s="1032"/>
      <c r="F193" s="651">
        <v>-14760.56</v>
      </c>
      <c r="G193" s="651">
        <v>6945.51</v>
      </c>
      <c r="H193" s="1036">
        <v>21706.07</v>
      </c>
      <c r="I193" s="1032"/>
      <c r="J193" s="651">
        <v>0</v>
      </c>
    </row>
    <row r="194" spans="1:10">
      <c r="A194" s="1034"/>
      <c r="B194" s="1035"/>
      <c r="C194" s="657" t="s">
        <v>12</v>
      </c>
      <c r="D194" s="1031" t="s">
        <v>111</v>
      </c>
      <c r="E194" s="1032"/>
      <c r="F194" s="658">
        <v>-25579.65</v>
      </c>
      <c r="G194" s="658">
        <v>6118192.21</v>
      </c>
      <c r="H194" s="1037">
        <v>6116574.4900000002</v>
      </c>
      <c r="I194" s="1032"/>
      <c r="J194" s="658">
        <v>-27197.37</v>
      </c>
    </row>
    <row r="195" spans="1:10">
      <c r="A195" s="1034"/>
      <c r="B195" s="1033" t="s">
        <v>2513</v>
      </c>
      <c r="C195" s="650" t="s">
        <v>2514</v>
      </c>
      <c r="D195" s="1033" t="s">
        <v>2035</v>
      </c>
      <c r="E195" s="1032"/>
      <c r="F195" s="651">
        <v>0</v>
      </c>
      <c r="G195" s="651">
        <v>0</v>
      </c>
      <c r="H195" s="1036">
        <v>0</v>
      </c>
      <c r="I195" s="1032"/>
      <c r="J195" s="651">
        <v>0</v>
      </c>
    </row>
    <row r="196" spans="1:10">
      <c r="A196" s="1034"/>
      <c r="B196" s="1034"/>
      <c r="C196" s="650" t="s">
        <v>2515</v>
      </c>
      <c r="D196" s="1033" t="s">
        <v>2036</v>
      </c>
      <c r="E196" s="1032"/>
      <c r="F196" s="651">
        <v>0</v>
      </c>
      <c r="G196" s="651">
        <v>0</v>
      </c>
      <c r="H196" s="1036">
        <v>0</v>
      </c>
      <c r="I196" s="1032"/>
      <c r="J196" s="651">
        <v>0</v>
      </c>
    </row>
    <row r="197" spans="1:10">
      <c r="A197" s="1034"/>
      <c r="B197" s="1035"/>
      <c r="C197" s="657" t="s">
        <v>12</v>
      </c>
      <c r="D197" s="1031" t="s">
        <v>111</v>
      </c>
      <c r="E197" s="1032"/>
      <c r="F197" s="658">
        <v>0</v>
      </c>
      <c r="G197" s="658">
        <v>0</v>
      </c>
      <c r="H197" s="1037">
        <v>0</v>
      </c>
      <c r="I197" s="1032"/>
      <c r="J197" s="658">
        <v>0</v>
      </c>
    </row>
    <row r="198" spans="1:10">
      <c r="A198" s="1034"/>
      <c r="B198" s="1033" t="s">
        <v>2516</v>
      </c>
      <c r="C198" s="653" t="s">
        <v>2517</v>
      </c>
      <c r="D198" s="1039" t="s">
        <v>2037</v>
      </c>
      <c r="E198" s="1040"/>
      <c r="F198" s="652">
        <v>-13809.91</v>
      </c>
      <c r="G198" s="652">
        <v>0</v>
      </c>
      <c r="H198" s="1041">
        <v>13809.91</v>
      </c>
      <c r="I198" s="1040"/>
      <c r="J198" s="652">
        <v>0</v>
      </c>
    </row>
    <row r="199" spans="1:10">
      <c r="A199" s="1034"/>
      <c r="B199" s="1034"/>
      <c r="C199" s="653" t="s">
        <v>2518</v>
      </c>
      <c r="D199" s="1039" t="s">
        <v>2038</v>
      </c>
      <c r="E199" s="1040"/>
      <c r="F199" s="652">
        <v>-74159.62</v>
      </c>
      <c r="G199" s="652">
        <v>0</v>
      </c>
      <c r="H199" s="1041">
        <v>74159.62</v>
      </c>
      <c r="I199" s="1040"/>
      <c r="J199" s="652">
        <v>0</v>
      </c>
    </row>
    <row r="200" spans="1:10">
      <c r="A200" s="1034"/>
      <c r="B200" s="1034"/>
      <c r="C200" s="653" t="s">
        <v>2519</v>
      </c>
      <c r="D200" s="1039" t="s">
        <v>2039</v>
      </c>
      <c r="E200" s="1040"/>
      <c r="F200" s="652">
        <v>0</v>
      </c>
      <c r="G200" s="652">
        <v>0</v>
      </c>
      <c r="H200" s="1041">
        <v>0</v>
      </c>
      <c r="I200" s="1040"/>
      <c r="J200" s="652">
        <v>0</v>
      </c>
    </row>
    <row r="201" spans="1:10">
      <c r="A201" s="1034"/>
      <c r="B201" s="1034"/>
      <c r="C201" s="653" t="s">
        <v>3093</v>
      </c>
      <c r="D201" s="1039" t="s">
        <v>3094</v>
      </c>
      <c r="E201" s="1040"/>
      <c r="F201" s="652">
        <v>0</v>
      </c>
      <c r="G201" s="652">
        <v>0</v>
      </c>
      <c r="H201" s="1041">
        <v>0</v>
      </c>
      <c r="I201" s="1040"/>
      <c r="J201" s="652">
        <v>0</v>
      </c>
    </row>
    <row r="202" spans="1:10">
      <c r="A202" s="1034"/>
      <c r="B202" s="1034"/>
      <c r="C202" s="653" t="s">
        <v>2520</v>
      </c>
      <c r="D202" s="1039" t="s">
        <v>2040</v>
      </c>
      <c r="E202" s="1040"/>
      <c r="F202" s="652">
        <v>-4148.2</v>
      </c>
      <c r="G202" s="652">
        <v>0</v>
      </c>
      <c r="H202" s="1041">
        <v>4148.2</v>
      </c>
      <c r="I202" s="1040"/>
      <c r="J202" s="652">
        <v>0</v>
      </c>
    </row>
    <row r="203" spans="1:10">
      <c r="A203" s="1034"/>
      <c r="B203" s="1034"/>
      <c r="C203" s="653" t="s">
        <v>2521</v>
      </c>
      <c r="D203" s="1039" t="s">
        <v>2041</v>
      </c>
      <c r="E203" s="1040"/>
      <c r="F203" s="652">
        <v>-8885.81</v>
      </c>
      <c r="G203" s="652">
        <v>0</v>
      </c>
      <c r="H203" s="1041">
        <v>8885.81</v>
      </c>
      <c r="I203" s="1040"/>
      <c r="J203" s="652">
        <v>0</v>
      </c>
    </row>
    <row r="204" spans="1:10">
      <c r="A204" s="1034"/>
      <c r="B204" s="1034"/>
      <c r="C204" s="653" t="s">
        <v>2522</v>
      </c>
      <c r="D204" s="1039" t="s">
        <v>2042</v>
      </c>
      <c r="E204" s="1040"/>
      <c r="F204" s="652">
        <v>0</v>
      </c>
      <c r="G204" s="652">
        <v>0</v>
      </c>
      <c r="H204" s="1041">
        <v>0</v>
      </c>
      <c r="I204" s="1040"/>
      <c r="J204" s="652">
        <v>0</v>
      </c>
    </row>
    <row r="205" spans="1:10">
      <c r="A205" s="1034"/>
      <c r="B205" s="1034"/>
      <c r="C205" s="653" t="s">
        <v>2523</v>
      </c>
      <c r="D205" s="1039" t="s">
        <v>2043</v>
      </c>
      <c r="E205" s="1040"/>
      <c r="F205" s="652">
        <v>-74538.98</v>
      </c>
      <c r="G205" s="652">
        <v>7453.92</v>
      </c>
      <c r="H205" s="1041">
        <v>81992.899999999994</v>
      </c>
      <c r="I205" s="1040"/>
      <c r="J205" s="652">
        <v>0</v>
      </c>
    </row>
    <row r="206" spans="1:10">
      <c r="A206" s="1034"/>
      <c r="B206" s="1034"/>
      <c r="C206" s="653" t="s">
        <v>2524</v>
      </c>
      <c r="D206" s="1039" t="s">
        <v>2044</v>
      </c>
      <c r="E206" s="1040"/>
      <c r="F206" s="652">
        <v>-31591.439999999999</v>
      </c>
      <c r="G206" s="652">
        <v>0.12</v>
      </c>
      <c r="H206" s="1041">
        <v>31591.56</v>
      </c>
      <c r="I206" s="1040"/>
      <c r="J206" s="652">
        <v>0</v>
      </c>
    </row>
    <row r="207" spans="1:10">
      <c r="A207" s="1034"/>
      <c r="B207" s="1034"/>
      <c r="C207" s="653" t="s">
        <v>3095</v>
      </c>
      <c r="D207" s="1039" t="s">
        <v>3096</v>
      </c>
      <c r="E207" s="1040"/>
      <c r="F207" s="652">
        <v>-30648.400000000001</v>
      </c>
      <c r="G207" s="652">
        <v>0</v>
      </c>
      <c r="H207" s="1041">
        <v>14145.36</v>
      </c>
      <c r="I207" s="1040"/>
      <c r="J207" s="652">
        <v>-16503.04</v>
      </c>
    </row>
    <row r="208" spans="1:10">
      <c r="A208" s="1034"/>
      <c r="B208" s="1034"/>
      <c r="C208" s="653" t="s">
        <v>3097</v>
      </c>
      <c r="D208" s="1039" t="s">
        <v>3098</v>
      </c>
      <c r="E208" s="1040"/>
      <c r="F208" s="652">
        <v>-23660.93</v>
      </c>
      <c r="G208" s="652">
        <v>0</v>
      </c>
      <c r="H208" s="1041">
        <v>18784.8</v>
      </c>
      <c r="I208" s="1040"/>
      <c r="J208" s="652">
        <v>-4876.13</v>
      </c>
    </row>
    <row r="209" spans="1:10">
      <c r="A209" s="1034"/>
      <c r="B209" s="1034"/>
      <c r="C209" s="653" t="s">
        <v>3099</v>
      </c>
      <c r="D209" s="1039" t="s">
        <v>3100</v>
      </c>
      <c r="E209" s="1040"/>
      <c r="F209" s="652">
        <v>-89418.77</v>
      </c>
      <c r="G209" s="652">
        <v>0</v>
      </c>
      <c r="H209" s="1041">
        <v>67064.039999999994</v>
      </c>
      <c r="I209" s="1040"/>
      <c r="J209" s="647">
        <v>-22354.73</v>
      </c>
    </row>
    <row r="210" spans="1:10">
      <c r="A210" s="1034"/>
      <c r="B210" s="1034"/>
      <c r="C210" s="653" t="s">
        <v>3101</v>
      </c>
      <c r="D210" s="1039" t="s">
        <v>3102</v>
      </c>
      <c r="E210" s="1040"/>
      <c r="F210" s="652">
        <v>-82152.5</v>
      </c>
      <c r="G210" s="652">
        <v>0</v>
      </c>
      <c r="H210" s="1041">
        <v>32861.040000000001</v>
      </c>
      <c r="I210" s="1040"/>
      <c r="J210" s="647">
        <v>-49291.46</v>
      </c>
    </row>
    <row r="211" spans="1:10">
      <c r="A211" s="1034"/>
      <c r="B211" s="1034"/>
      <c r="C211" s="653" t="s">
        <v>3103</v>
      </c>
      <c r="D211" s="1039" t="s">
        <v>3104</v>
      </c>
      <c r="E211" s="1040"/>
      <c r="F211" s="652">
        <v>-92132.95</v>
      </c>
      <c r="G211" s="652">
        <v>0</v>
      </c>
      <c r="H211" s="1041">
        <v>35657.24</v>
      </c>
      <c r="I211" s="1040"/>
      <c r="J211" s="652">
        <v>-56475.71</v>
      </c>
    </row>
    <row r="212" spans="1:10">
      <c r="A212" s="1034"/>
      <c r="B212" s="1034"/>
      <c r="C212" s="653" t="s">
        <v>3105</v>
      </c>
      <c r="D212" s="1039" t="s">
        <v>3096</v>
      </c>
      <c r="E212" s="1040"/>
      <c r="F212" s="652">
        <v>-41875</v>
      </c>
      <c r="G212" s="652">
        <v>0</v>
      </c>
      <c r="H212" s="1041">
        <v>25125</v>
      </c>
      <c r="I212" s="1040"/>
      <c r="J212" s="652">
        <v>-16750</v>
      </c>
    </row>
    <row r="213" spans="1:10">
      <c r="A213" s="1034"/>
      <c r="B213" s="1034"/>
      <c r="C213" s="653" t="s">
        <v>3106</v>
      </c>
      <c r="D213" s="1039" t="s">
        <v>3107</v>
      </c>
      <c r="E213" s="1040"/>
      <c r="F213" s="652">
        <v>0</v>
      </c>
      <c r="G213" s="652">
        <v>0</v>
      </c>
      <c r="H213" s="1041">
        <v>0</v>
      </c>
      <c r="I213" s="1040"/>
      <c r="J213" s="652">
        <v>0</v>
      </c>
    </row>
    <row r="214" spans="1:10">
      <c r="A214" s="1034"/>
      <c r="B214" s="1034"/>
      <c r="C214" s="653" t="s">
        <v>3434</v>
      </c>
      <c r="D214" s="1039" t="s">
        <v>3433</v>
      </c>
      <c r="E214" s="1040"/>
      <c r="F214" s="652">
        <v>0</v>
      </c>
      <c r="G214" s="652">
        <v>516179.81</v>
      </c>
      <c r="H214" s="1041">
        <v>422762.75</v>
      </c>
      <c r="I214" s="1040"/>
      <c r="J214" s="652">
        <v>-93417.06</v>
      </c>
    </row>
    <row r="215" spans="1:10">
      <c r="A215" s="1034"/>
      <c r="B215" s="1035"/>
      <c r="C215" s="655" t="s">
        <v>12</v>
      </c>
      <c r="D215" s="1042" t="s">
        <v>111</v>
      </c>
      <c r="E215" s="1040"/>
      <c r="F215" s="654">
        <v>-567022.51</v>
      </c>
      <c r="G215" s="654">
        <v>523633.85</v>
      </c>
      <c r="H215" s="1043">
        <v>830988.23</v>
      </c>
      <c r="I215" s="1040"/>
      <c r="J215" s="654">
        <v>-259668.13</v>
      </c>
    </row>
    <row r="216" spans="1:10">
      <c r="A216" s="1034"/>
      <c r="B216" s="1033" t="s">
        <v>2525</v>
      </c>
      <c r="C216" s="650" t="s">
        <v>2526</v>
      </c>
      <c r="D216" s="1033" t="s">
        <v>2045</v>
      </c>
      <c r="E216" s="1032"/>
      <c r="F216" s="651">
        <v>-362043729.43000001</v>
      </c>
      <c r="G216" s="651">
        <v>329293332.60000002</v>
      </c>
      <c r="H216" s="1036">
        <v>0</v>
      </c>
      <c r="I216" s="1032"/>
      <c r="J216" s="651">
        <v>-691337062.02999997</v>
      </c>
    </row>
    <row r="217" spans="1:10">
      <c r="A217" s="1034"/>
      <c r="B217" s="1035"/>
      <c r="C217" s="657" t="s">
        <v>12</v>
      </c>
      <c r="D217" s="1031" t="s">
        <v>111</v>
      </c>
      <c r="E217" s="1032"/>
      <c r="F217" s="658">
        <v>-362043729.43000001</v>
      </c>
      <c r="G217" s="658">
        <v>329293332.60000002</v>
      </c>
      <c r="H217" s="1037">
        <v>0</v>
      </c>
      <c r="I217" s="1032"/>
      <c r="J217" s="658">
        <v>-691337062.02999997</v>
      </c>
    </row>
    <row r="218" spans="1:10">
      <c r="A218" s="1034"/>
      <c r="B218" s="1033" t="s">
        <v>3435</v>
      </c>
      <c r="C218" s="650" t="s">
        <v>3436</v>
      </c>
      <c r="D218" s="1033" t="s">
        <v>3437</v>
      </c>
      <c r="E218" s="1032"/>
      <c r="F218" s="651">
        <v>0</v>
      </c>
      <c r="G218" s="651">
        <v>558164.62</v>
      </c>
      <c r="H218" s="1036">
        <v>523457.2</v>
      </c>
      <c r="I218" s="1032"/>
      <c r="J218" s="651">
        <v>-34707.42</v>
      </c>
    </row>
    <row r="219" spans="1:10">
      <c r="A219" s="1034"/>
      <c r="B219" s="1035"/>
      <c r="C219" s="657" t="s">
        <v>12</v>
      </c>
      <c r="D219" s="1031" t="s">
        <v>111</v>
      </c>
      <c r="E219" s="1032"/>
      <c r="F219" s="658">
        <v>0</v>
      </c>
      <c r="G219" s="658">
        <v>558164.62</v>
      </c>
      <c r="H219" s="1037">
        <v>523457.2</v>
      </c>
      <c r="I219" s="1032"/>
      <c r="J219" s="658">
        <v>-34707.42</v>
      </c>
    </row>
    <row r="220" spans="1:10">
      <c r="A220" s="1034"/>
      <c r="B220" s="1033" t="s">
        <v>2527</v>
      </c>
      <c r="C220" s="650" t="s">
        <v>2528</v>
      </c>
      <c r="D220" s="1033" t="s">
        <v>2046</v>
      </c>
      <c r="E220" s="1032"/>
      <c r="F220" s="651">
        <v>-3021549.49</v>
      </c>
      <c r="G220" s="651">
        <v>331400.03000000003</v>
      </c>
      <c r="H220" s="1036">
        <v>662684.93000000005</v>
      </c>
      <c r="I220" s="1032"/>
      <c r="J220" s="651">
        <v>-2690264.59</v>
      </c>
    </row>
    <row r="221" spans="1:10">
      <c r="A221" s="1034"/>
      <c r="B221" s="1035"/>
      <c r="C221" s="657" t="s">
        <v>12</v>
      </c>
      <c r="D221" s="1031" t="s">
        <v>111</v>
      </c>
      <c r="E221" s="1032"/>
      <c r="F221" s="658">
        <v>-3021549.49</v>
      </c>
      <c r="G221" s="658">
        <v>331400.03000000003</v>
      </c>
      <c r="H221" s="1037">
        <v>662684.93000000005</v>
      </c>
      <c r="I221" s="1032"/>
      <c r="J221" s="658">
        <v>-2690264.59</v>
      </c>
    </row>
    <row r="222" spans="1:10">
      <c r="A222" s="1034"/>
      <c r="B222" s="1033" t="s">
        <v>2529</v>
      </c>
      <c r="C222" s="650" t="s">
        <v>2530</v>
      </c>
      <c r="D222" s="1033" t="s">
        <v>2047</v>
      </c>
      <c r="E222" s="1032"/>
      <c r="F222" s="651">
        <v>-6672562</v>
      </c>
      <c r="G222" s="651">
        <v>2787833.71</v>
      </c>
      <c r="H222" s="1036">
        <v>2781825</v>
      </c>
      <c r="I222" s="1032"/>
      <c r="J222" s="651">
        <v>-6678570.71</v>
      </c>
    </row>
    <row r="223" spans="1:10">
      <c r="A223" s="1034"/>
      <c r="B223" s="1035"/>
      <c r="C223" s="657" t="s">
        <v>12</v>
      </c>
      <c r="D223" s="1031" t="s">
        <v>111</v>
      </c>
      <c r="E223" s="1032"/>
      <c r="F223" s="658">
        <v>-6672562</v>
      </c>
      <c r="G223" s="658">
        <v>2787833.71</v>
      </c>
      <c r="H223" s="1037">
        <v>2781825</v>
      </c>
      <c r="I223" s="1032"/>
      <c r="J223" s="658">
        <v>-6678570.71</v>
      </c>
    </row>
    <row r="224" spans="1:10">
      <c r="A224" s="1034"/>
      <c r="B224" s="1033" t="s">
        <v>2531</v>
      </c>
      <c r="C224" s="650" t="s">
        <v>2532</v>
      </c>
      <c r="D224" s="1033" t="s">
        <v>2048</v>
      </c>
      <c r="E224" s="1032"/>
      <c r="F224" s="651">
        <v>-257185.1</v>
      </c>
      <c r="G224" s="651">
        <v>0</v>
      </c>
      <c r="H224" s="1036">
        <v>0</v>
      </c>
      <c r="I224" s="1032"/>
      <c r="J224" s="651">
        <v>-257185.1</v>
      </c>
    </row>
    <row r="225" spans="1:13">
      <c r="A225" s="1034"/>
      <c r="B225" s="1035"/>
      <c r="C225" s="657" t="s">
        <v>12</v>
      </c>
      <c r="D225" s="1031" t="s">
        <v>111</v>
      </c>
      <c r="E225" s="1032"/>
      <c r="F225" s="658">
        <v>-257185.1</v>
      </c>
      <c r="G225" s="658">
        <v>0</v>
      </c>
      <c r="H225" s="1037">
        <v>0</v>
      </c>
      <c r="I225" s="1032"/>
      <c r="J225" s="658">
        <v>-257185.1</v>
      </c>
    </row>
    <row r="226" spans="1:13">
      <c r="A226" s="1034"/>
      <c r="B226" s="1033" t="s">
        <v>2533</v>
      </c>
      <c r="C226" s="650" t="s">
        <v>2534</v>
      </c>
      <c r="D226" s="1033" t="s">
        <v>2049</v>
      </c>
      <c r="E226" s="1032"/>
      <c r="F226" s="651">
        <v>-5579814.2599999998</v>
      </c>
      <c r="G226" s="651">
        <v>500065.5</v>
      </c>
      <c r="H226" s="1036">
        <v>638088.48</v>
      </c>
      <c r="I226" s="1032"/>
      <c r="J226" s="651">
        <v>-5441791.2800000003</v>
      </c>
    </row>
    <row r="227" spans="1:13">
      <c r="A227" s="1034"/>
      <c r="B227" s="1035"/>
      <c r="C227" s="657" t="s">
        <v>12</v>
      </c>
      <c r="D227" s="1031" t="s">
        <v>111</v>
      </c>
      <c r="E227" s="1032"/>
      <c r="F227" s="658">
        <v>-5579814.2599999998</v>
      </c>
      <c r="G227" s="658">
        <v>500065.5</v>
      </c>
      <c r="H227" s="1037">
        <v>638088.48</v>
      </c>
      <c r="I227" s="1032"/>
      <c r="J227" s="658">
        <v>-5441791.2800000003</v>
      </c>
      <c r="L227" s="648" t="e">
        <f>#REF!</f>
        <v>#REF!</v>
      </c>
    </row>
    <row r="228" spans="1:13">
      <c r="A228" s="1034"/>
      <c r="B228" s="1033" t="s">
        <v>2535</v>
      </c>
      <c r="C228" s="650" t="s">
        <v>2536</v>
      </c>
      <c r="D228" s="1033" t="s">
        <v>2050</v>
      </c>
      <c r="E228" s="1032"/>
      <c r="F228" s="651">
        <v>0</v>
      </c>
      <c r="G228" s="651">
        <v>1805655.66</v>
      </c>
      <c r="H228" s="1036">
        <v>687366.36</v>
      </c>
      <c r="I228" s="1032"/>
      <c r="J228" s="651">
        <v>-1118289.3</v>
      </c>
      <c r="L228" s="648" t="e">
        <f>#REF!</f>
        <v>#REF!</v>
      </c>
    </row>
    <row r="229" spans="1:13">
      <c r="A229" s="1034"/>
      <c r="B229" s="1034"/>
      <c r="C229" s="650" t="s">
        <v>2537</v>
      </c>
      <c r="D229" s="1033" t="s">
        <v>2051</v>
      </c>
      <c r="E229" s="1032"/>
      <c r="F229" s="651">
        <v>-655815.43999999994</v>
      </c>
      <c r="G229" s="651">
        <v>35979</v>
      </c>
      <c r="H229" s="1036">
        <v>503046.85</v>
      </c>
      <c r="I229" s="1032"/>
      <c r="J229" s="651">
        <v>-188747.59</v>
      </c>
      <c r="L229" s="648" t="e">
        <f>#REF!</f>
        <v>#REF!</v>
      </c>
    </row>
    <row r="230" spans="1:13">
      <c r="A230" s="1034"/>
      <c r="B230" s="1035"/>
      <c r="C230" s="657" t="s">
        <v>12</v>
      </c>
      <c r="D230" s="1031" t="s">
        <v>111</v>
      </c>
      <c r="E230" s="1032"/>
      <c r="F230" s="658">
        <v>-655815.43999999994</v>
      </c>
      <c r="G230" s="658">
        <v>1841634.66</v>
      </c>
      <c r="H230" s="1037">
        <v>1190413.21</v>
      </c>
      <c r="I230" s="1032"/>
      <c r="J230" s="658">
        <v>-1307036.8899999999</v>
      </c>
      <c r="L230" s="648" t="e">
        <f>#REF!</f>
        <v>#REF!</v>
      </c>
      <c r="M230" s="648" t="e">
        <f>#REF!</f>
        <v>#REF!</v>
      </c>
    </row>
    <row r="231" spans="1:13">
      <c r="A231" s="1034"/>
      <c r="B231" s="1033" t="s">
        <v>2538</v>
      </c>
      <c r="C231" s="650" t="s">
        <v>3108</v>
      </c>
      <c r="D231" s="1033" t="s">
        <v>3109</v>
      </c>
      <c r="E231" s="1032"/>
      <c r="F231" s="651">
        <v>-47936</v>
      </c>
      <c r="G231" s="651">
        <v>0</v>
      </c>
      <c r="H231" s="1036">
        <v>0</v>
      </c>
      <c r="I231" s="1032"/>
      <c r="J231" s="651">
        <v>-47936</v>
      </c>
      <c r="L231" s="648" t="e">
        <f>#REF!</f>
        <v>#REF!</v>
      </c>
      <c r="M231" s="648" t="e">
        <f>#REF!</f>
        <v>#REF!</v>
      </c>
    </row>
    <row r="232" spans="1:13">
      <c r="A232" s="1034"/>
      <c r="B232" s="1034"/>
      <c r="C232" s="650" t="s">
        <v>2539</v>
      </c>
      <c r="D232" s="1033" t="s">
        <v>2052</v>
      </c>
      <c r="E232" s="1032"/>
      <c r="F232" s="651">
        <v>-2098495.6800000002</v>
      </c>
      <c r="G232" s="651">
        <v>4953503.37</v>
      </c>
      <c r="H232" s="1036">
        <v>4110022.38</v>
      </c>
      <c r="I232" s="1032"/>
      <c r="J232" s="651">
        <v>-2941976.67</v>
      </c>
      <c r="L232" s="648" t="e">
        <f>#REF!</f>
        <v>#REF!</v>
      </c>
      <c r="M232" s="648" t="e">
        <f>#REF!</f>
        <v>#REF!</v>
      </c>
    </row>
    <row r="233" spans="1:13">
      <c r="A233" s="1034"/>
      <c r="B233" s="1034"/>
      <c r="C233" s="650" t="s">
        <v>2540</v>
      </c>
      <c r="D233" s="1033" t="s">
        <v>2053</v>
      </c>
      <c r="E233" s="1032"/>
      <c r="F233" s="651">
        <v>-5400125.96</v>
      </c>
      <c r="G233" s="651">
        <v>1232270.6399999999</v>
      </c>
      <c r="H233" s="1036">
        <v>0</v>
      </c>
      <c r="I233" s="1032"/>
      <c r="J233" s="651">
        <v>-6632396.5999999996</v>
      </c>
      <c r="L233" s="648" t="e">
        <f>#REF!</f>
        <v>#REF!</v>
      </c>
      <c r="M233" s="648" t="e">
        <f>#REF!</f>
        <v>#REF!</v>
      </c>
    </row>
    <row r="234" spans="1:13">
      <c r="A234" s="1034"/>
      <c r="B234" s="1035"/>
      <c r="C234" s="657" t="s">
        <v>12</v>
      </c>
      <c r="D234" s="1031" t="s">
        <v>111</v>
      </c>
      <c r="E234" s="1032"/>
      <c r="F234" s="658">
        <v>-7546557.6399999997</v>
      </c>
      <c r="G234" s="658">
        <v>6185774.0099999998</v>
      </c>
      <c r="H234" s="1037">
        <v>4110022.38</v>
      </c>
      <c r="I234" s="1032"/>
      <c r="J234" s="658">
        <v>-9622309.2699999996</v>
      </c>
      <c r="L234" s="648" t="e">
        <f>#REF!</f>
        <v>#REF!</v>
      </c>
      <c r="M234" s="648" t="e">
        <f>#REF!</f>
        <v>#REF!</v>
      </c>
    </row>
    <row r="235" spans="1:13">
      <c r="A235" s="1034"/>
      <c r="B235" s="1033" t="s">
        <v>2541</v>
      </c>
      <c r="C235" s="650" t="s">
        <v>2542</v>
      </c>
      <c r="D235" s="1033" t="s">
        <v>2054</v>
      </c>
      <c r="E235" s="1032"/>
      <c r="F235" s="651">
        <v>1493734.85</v>
      </c>
      <c r="G235" s="651">
        <v>798400.69</v>
      </c>
      <c r="H235" s="1036">
        <v>576906.38</v>
      </c>
      <c r="I235" s="1032"/>
      <c r="J235" s="651">
        <v>1272240.54</v>
      </c>
      <c r="L235" s="648" t="e">
        <f>#REF!</f>
        <v>#REF!</v>
      </c>
      <c r="M235" s="648" t="e">
        <f>#REF!</f>
        <v>#REF!</v>
      </c>
    </row>
    <row r="236" spans="1:13">
      <c r="A236" s="1034"/>
      <c r="B236" s="1035"/>
      <c r="C236" s="657" t="s">
        <v>12</v>
      </c>
      <c r="D236" s="1031"/>
      <c r="E236" s="1032"/>
      <c r="F236" s="658">
        <v>1493734.85</v>
      </c>
      <c r="G236" s="658">
        <v>798400.69</v>
      </c>
      <c r="H236" s="1037">
        <v>576906.38</v>
      </c>
      <c r="I236" s="1032"/>
      <c r="J236" s="658">
        <v>1272240.54</v>
      </c>
      <c r="L236" s="648" t="e">
        <f>#REF!</f>
        <v>#REF!</v>
      </c>
      <c r="M236" s="648" t="e">
        <f>#REF!</f>
        <v>#REF!</v>
      </c>
    </row>
    <row r="237" spans="1:13">
      <c r="A237" s="1034"/>
      <c r="B237" s="1033" t="s">
        <v>2543</v>
      </c>
      <c r="C237" s="650" t="s">
        <v>2544</v>
      </c>
      <c r="D237" s="1033" t="s">
        <v>2055</v>
      </c>
      <c r="E237" s="1032"/>
      <c r="F237" s="651">
        <v>3473285.99</v>
      </c>
      <c r="G237" s="651">
        <v>2667748.1</v>
      </c>
      <c r="H237" s="1036">
        <v>1721894.35</v>
      </c>
      <c r="I237" s="1032"/>
      <c r="J237" s="651">
        <v>2527432.2400000002</v>
      </c>
    </row>
    <row r="238" spans="1:13">
      <c r="A238" s="1034"/>
      <c r="B238" s="1035"/>
      <c r="C238" s="657" t="s">
        <v>12</v>
      </c>
      <c r="D238" s="1031" t="s">
        <v>111</v>
      </c>
      <c r="E238" s="1032"/>
      <c r="F238" s="658">
        <v>3473285.99</v>
      </c>
      <c r="G238" s="658">
        <v>2667748.1</v>
      </c>
      <c r="H238" s="1037">
        <v>1721894.35</v>
      </c>
      <c r="I238" s="1032"/>
      <c r="J238" s="658">
        <v>2527432.2400000002</v>
      </c>
    </row>
    <row r="239" spans="1:13">
      <c r="A239" s="1034"/>
      <c r="B239" s="1033" t="s">
        <v>2545</v>
      </c>
      <c r="C239" s="650" t="s">
        <v>2546</v>
      </c>
      <c r="D239" s="1033" t="s">
        <v>2056</v>
      </c>
      <c r="E239" s="1032"/>
      <c r="F239" s="651">
        <v>257185.1</v>
      </c>
      <c r="G239" s="651">
        <v>0</v>
      </c>
      <c r="H239" s="1036">
        <v>0</v>
      </c>
      <c r="I239" s="1032"/>
      <c r="J239" s="651">
        <v>257185.1</v>
      </c>
    </row>
    <row r="240" spans="1:13">
      <c r="A240" s="1034"/>
      <c r="B240" s="1035"/>
      <c r="C240" s="657" t="s">
        <v>12</v>
      </c>
      <c r="D240" s="1031" t="s">
        <v>111</v>
      </c>
      <c r="E240" s="1032"/>
      <c r="F240" s="658">
        <v>257185.1</v>
      </c>
      <c r="G240" s="658">
        <v>0</v>
      </c>
      <c r="H240" s="1037">
        <v>0</v>
      </c>
      <c r="I240" s="1032"/>
      <c r="J240" s="658">
        <v>257185.1</v>
      </c>
    </row>
    <row r="241" spans="1:10">
      <c r="A241" s="1034"/>
      <c r="B241" s="1033" t="s">
        <v>2547</v>
      </c>
      <c r="C241" s="650" t="s">
        <v>2548</v>
      </c>
      <c r="D241" s="1033" t="s">
        <v>2057</v>
      </c>
      <c r="E241" s="1032"/>
      <c r="F241" s="651">
        <v>1725612.4</v>
      </c>
      <c r="G241" s="651">
        <v>765312.64</v>
      </c>
      <c r="H241" s="1036">
        <v>623678.42000000004</v>
      </c>
      <c r="I241" s="1032"/>
      <c r="J241" s="651">
        <v>1583978.18</v>
      </c>
    </row>
    <row r="242" spans="1:10">
      <c r="A242" s="1034"/>
      <c r="B242" s="1035"/>
      <c r="C242" s="657" t="s">
        <v>12</v>
      </c>
      <c r="D242" s="1031" t="s">
        <v>111</v>
      </c>
      <c r="E242" s="1032"/>
      <c r="F242" s="658">
        <v>1725612.4</v>
      </c>
      <c r="G242" s="658">
        <v>765312.64</v>
      </c>
      <c r="H242" s="1037">
        <v>623678.42000000004</v>
      </c>
      <c r="I242" s="1032"/>
      <c r="J242" s="658">
        <v>1583978.18</v>
      </c>
    </row>
    <row r="243" spans="1:10">
      <c r="A243" s="1034"/>
      <c r="B243" s="1033" t="s">
        <v>2549</v>
      </c>
      <c r="C243" s="650" t="s">
        <v>2550</v>
      </c>
      <c r="D243" s="1033" t="s">
        <v>2058</v>
      </c>
      <c r="E243" s="1032"/>
      <c r="F243" s="651">
        <v>564832.68999999994</v>
      </c>
      <c r="G243" s="651">
        <v>521037.02</v>
      </c>
      <c r="H243" s="1036">
        <v>79101.83</v>
      </c>
      <c r="I243" s="1032"/>
      <c r="J243" s="651">
        <v>122897.5</v>
      </c>
    </row>
    <row r="244" spans="1:10">
      <c r="A244" s="1034"/>
      <c r="B244" s="1035"/>
      <c r="C244" s="657" t="s">
        <v>12</v>
      </c>
      <c r="D244" s="1031" t="s">
        <v>111</v>
      </c>
      <c r="E244" s="1032"/>
      <c r="F244" s="658">
        <v>564832.68999999994</v>
      </c>
      <c r="G244" s="658">
        <v>521037.02</v>
      </c>
      <c r="H244" s="1037">
        <v>79101.83</v>
      </c>
      <c r="I244" s="1032"/>
      <c r="J244" s="658">
        <v>122897.5</v>
      </c>
    </row>
    <row r="245" spans="1:10">
      <c r="A245" s="1034"/>
      <c r="B245" s="1033" t="s">
        <v>2551</v>
      </c>
      <c r="C245" s="650" t="s">
        <v>2552</v>
      </c>
      <c r="D245" s="1033" t="s">
        <v>2059</v>
      </c>
      <c r="E245" s="1032"/>
      <c r="F245" s="651">
        <v>657945.96</v>
      </c>
      <c r="G245" s="651">
        <v>2269145.5499999998</v>
      </c>
      <c r="H245" s="1036">
        <v>2646020.31</v>
      </c>
      <c r="I245" s="1032"/>
      <c r="J245" s="651">
        <v>1034820.72</v>
      </c>
    </row>
    <row r="246" spans="1:10">
      <c r="A246" s="1034"/>
      <c r="B246" s="1034"/>
      <c r="C246" s="650" t="s">
        <v>3110</v>
      </c>
      <c r="D246" s="1033" t="s">
        <v>3111</v>
      </c>
      <c r="E246" s="1032"/>
      <c r="F246" s="651">
        <v>990022.56</v>
      </c>
      <c r="G246" s="651">
        <v>90002.08</v>
      </c>
      <c r="H246" s="1036">
        <v>2968876.09</v>
      </c>
      <c r="I246" s="1032"/>
      <c r="J246" s="651">
        <v>3868896.57</v>
      </c>
    </row>
    <row r="247" spans="1:10">
      <c r="A247" s="1034"/>
      <c r="B247" s="1035"/>
      <c r="C247" s="657" t="s">
        <v>12</v>
      </c>
      <c r="D247" s="1031" t="s">
        <v>111</v>
      </c>
      <c r="E247" s="1032"/>
      <c r="F247" s="658">
        <v>1647968.52</v>
      </c>
      <c r="G247" s="658">
        <v>2359147.63</v>
      </c>
      <c r="H247" s="1037">
        <v>5614896.4000000004</v>
      </c>
      <c r="I247" s="1032"/>
      <c r="J247" s="658">
        <v>4903717.29</v>
      </c>
    </row>
    <row r="248" spans="1:10">
      <c r="A248" s="1035"/>
      <c r="B248" s="657" t="s">
        <v>12</v>
      </c>
      <c r="C248" s="657" t="s">
        <v>111</v>
      </c>
      <c r="D248" s="1031" t="s">
        <v>111</v>
      </c>
      <c r="E248" s="1032"/>
      <c r="F248" s="658">
        <v>-539392095.03999996</v>
      </c>
      <c r="G248" s="658">
        <v>1820142339.45</v>
      </c>
      <c r="H248" s="1037">
        <v>1482777036.46</v>
      </c>
      <c r="I248" s="1032"/>
      <c r="J248" s="658">
        <v>-876757398.02999997</v>
      </c>
    </row>
    <row r="249" spans="1:10">
      <c r="A249" s="1033" t="s">
        <v>50</v>
      </c>
      <c r="B249" s="1033" t="s">
        <v>2814</v>
      </c>
      <c r="C249" s="650" t="s">
        <v>2815</v>
      </c>
      <c r="D249" s="1033" t="s">
        <v>1967</v>
      </c>
      <c r="E249" s="1032"/>
      <c r="F249" s="651">
        <v>5802975.0099999998</v>
      </c>
      <c r="G249" s="651">
        <v>439528541.89999998</v>
      </c>
      <c r="H249" s="1036">
        <v>437732886.89999998</v>
      </c>
      <c r="I249" s="1032"/>
      <c r="J249" s="651">
        <v>4007320.01</v>
      </c>
    </row>
    <row r="250" spans="1:10">
      <c r="A250" s="1034"/>
      <c r="B250" s="1034"/>
      <c r="C250" s="650" t="s">
        <v>2816</v>
      </c>
      <c r="D250" s="1033" t="s">
        <v>2060</v>
      </c>
      <c r="E250" s="1032"/>
      <c r="F250" s="651">
        <v>6900651.6200000001</v>
      </c>
      <c r="G250" s="651">
        <v>58816438.369999997</v>
      </c>
      <c r="H250" s="1036">
        <v>57697711.590000004</v>
      </c>
      <c r="I250" s="1032"/>
      <c r="J250" s="651">
        <v>5781924.8399999999</v>
      </c>
    </row>
    <row r="251" spans="1:10">
      <c r="A251" s="1034"/>
      <c r="B251" s="1034"/>
      <c r="C251" s="650" t="s">
        <v>2817</v>
      </c>
      <c r="D251" s="1033" t="s">
        <v>2061</v>
      </c>
      <c r="E251" s="1032"/>
      <c r="F251" s="651">
        <v>970042.7</v>
      </c>
      <c r="G251" s="651">
        <v>880037.2</v>
      </c>
      <c r="H251" s="1036">
        <v>2643.51</v>
      </c>
      <c r="I251" s="1032"/>
      <c r="J251" s="651">
        <v>92649.01</v>
      </c>
    </row>
    <row r="252" spans="1:10">
      <c r="A252" s="1034"/>
      <c r="B252" s="1034"/>
      <c r="C252" s="650" t="s">
        <v>3112</v>
      </c>
      <c r="D252" s="1033" t="s">
        <v>2068</v>
      </c>
      <c r="E252" s="1032"/>
      <c r="F252" s="651">
        <v>60342.080000000002</v>
      </c>
      <c r="G252" s="651">
        <v>118016459.69</v>
      </c>
      <c r="H252" s="1036">
        <v>118284340.83</v>
      </c>
      <c r="I252" s="1032"/>
      <c r="J252" s="651">
        <v>328223.21999999997</v>
      </c>
    </row>
    <row r="253" spans="1:10">
      <c r="A253" s="1034"/>
      <c r="B253" s="1034"/>
      <c r="C253" s="650" t="s">
        <v>2818</v>
      </c>
      <c r="D253" s="1033" t="s">
        <v>2062</v>
      </c>
      <c r="E253" s="1032"/>
      <c r="F253" s="651">
        <v>510774.61</v>
      </c>
      <c r="G253" s="651">
        <v>21581996.969999999</v>
      </c>
      <c r="H253" s="1036">
        <v>21558719.510000002</v>
      </c>
      <c r="I253" s="1032"/>
      <c r="J253" s="651">
        <v>487497.15</v>
      </c>
    </row>
    <row r="254" spans="1:10">
      <c r="A254" s="1034"/>
      <c r="B254" s="1034"/>
      <c r="C254" s="650" t="s">
        <v>2819</v>
      </c>
      <c r="D254" s="1033" t="s">
        <v>2063</v>
      </c>
      <c r="E254" s="1032"/>
      <c r="F254" s="651">
        <v>3127568.07</v>
      </c>
      <c r="G254" s="651">
        <v>51144559.939999998</v>
      </c>
      <c r="H254" s="1036">
        <v>49848327.420000002</v>
      </c>
      <c r="I254" s="1032"/>
      <c r="J254" s="651">
        <v>1831335.55</v>
      </c>
    </row>
    <row r="255" spans="1:10">
      <c r="A255" s="1034"/>
      <c r="B255" s="1034"/>
      <c r="C255" s="650" t="s">
        <v>3440</v>
      </c>
      <c r="D255" s="1033" t="s">
        <v>3441</v>
      </c>
      <c r="E255" s="1032"/>
      <c r="F255" s="651">
        <v>0</v>
      </c>
      <c r="G255" s="651">
        <v>912</v>
      </c>
      <c r="H255" s="1036">
        <v>912</v>
      </c>
      <c r="I255" s="1032"/>
      <c r="J255" s="651">
        <v>0</v>
      </c>
    </row>
    <row r="256" spans="1:10">
      <c r="A256" s="1034"/>
      <c r="B256" s="1034"/>
      <c r="C256" s="650" t="s">
        <v>3442</v>
      </c>
      <c r="D256" s="1033" t="s">
        <v>3443</v>
      </c>
      <c r="E256" s="1032"/>
      <c r="F256" s="651">
        <v>0</v>
      </c>
      <c r="G256" s="651">
        <v>321</v>
      </c>
      <c r="H256" s="1036">
        <v>1544</v>
      </c>
      <c r="I256" s="1032"/>
      <c r="J256" s="651">
        <v>1223</v>
      </c>
    </row>
    <row r="257" spans="1:15">
      <c r="A257" s="1034"/>
      <c r="B257" s="1035"/>
      <c r="C257" s="657" t="s">
        <v>12</v>
      </c>
      <c r="D257" s="1031" t="s">
        <v>111</v>
      </c>
      <c r="E257" s="1032"/>
      <c r="F257" s="658">
        <v>17372354.09</v>
      </c>
      <c r="G257" s="658">
        <v>689969267.07000005</v>
      </c>
      <c r="H257" s="1037">
        <v>685127085.75999999</v>
      </c>
      <c r="I257" s="1032"/>
      <c r="J257" s="658">
        <v>12530172.779999999</v>
      </c>
      <c r="L257" s="646">
        <f>J257</f>
        <v>12530172.779999999</v>
      </c>
    </row>
    <row r="258" spans="1:15">
      <c r="A258" s="1034"/>
      <c r="B258" s="1033" t="s">
        <v>2820</v>
      </c>
      <c r="C258" s="650" t="s">
        <v>2821</v>
      </c>
      <c r="D258" s="1033" t="s">
        <v>2064</v>
      </c>
      <c r="E258" s="1032"/>
      <c r="F258" s="651">
        <v>6300216</v>
      </c>
      <c r="G258" s="651">
        <v>11199817</v>
      </c>
      <c r="H258" s="1036">
        <v>11860652</v>
      </c>
      <c r="I258" s="1032"/>
      <c r="J258" s="651">
        <v>6961051</v>
      </c>
    </row>
    <row r="259" spans="1:15">
      <c r="A259" s="1034"/>
      <c r="B259" s="1034"/>
      <c r="C259" s="650" t="s">
        <v>2822</v>
      </c>
      <c r="D259" s="1033" t="s">
        <v>2065</v>
      </c>
      <c r="E259" s="1032"/>
      <c r="F259" s="651">
        <v>6263750</v>
      </c>
      <c r="G259" s="651">
        <v>12178734</v>
      </c>
      <c r="H259" s="1036">
        <v>22915757</v>
      </c>
      <c r="I259" s="1032"/>
      <c r="J259" s="651">
        <v>17000773</v>
      </c>
    </row>
    <row r="260" spans="1:15">
      <c r="A260" s="1034"/>
      <c r="B260" s="1034"/>
      <c r="C260" s="650" t="s">
        <v>2823</v>
      </c>
      <c r="D260" s="1033" t="s">
        <v>2066</v>
      </c>
      <c r="E260" s="1032"/>
      <c r="F260" s="651">
        <v>6964.4</v>
      </c>
      <c r="G260" s="651">
        <v>25614.28</v>
      </c>
      <c r="H260" s="1036">
        <v>30020</v>
      </c>
      <c r="I260" s="1032"/>
      <c r="J260" s="651">
        <v>11370.12</v>
      </c>
    </row>
    <row r="261" spans="1:15">
      <c r="A261" s="1034"/>
      <c r="B261" s="1034"/>
      <c r="C261" s="650" t="s">
        <v>2824</v>
      </c>
      <c r="D261" s="1033" t="s">
        <v>2067</v>
      </c>
      <c r="E261" s="1032"/>
      <c r="F261" s="651">
        <v>0</v>
      </c>
      <c r="G261" s="651">
        <v>0</v>
      </c>
      <c r="H261" s="1036">
        <v>0</v>
      </c>
      <c r="I261" s="1032"/>
      <c r="J261" s="651">
        <v>0</v>
      </c>
    </row>
    <row r="262" spans="1:15">
      <c r="A262" s="1034"/>
      <c r="B262" s="1035"/>
      <c r="C262" s="657" t="s">
        <v>12</v>
      </c>
      <c r="D262" s="1031" t="s">
        <v>111</v>
      </c>
      <c r="E262" s="1032"/>
      <c r="F262" s="658">
        <v>12570930.4</v>
      </c>
      <c r="G262" s="658">
        <v>23404165.280000001</v>
      </c>
      <c r="H262" s="1037">
        <v>34806429</v>
      </c>
      <c r="I262" s="1032"/>
      <c r="J262" s="658">
        <v>23973194.120000001</v>
      </c>
      <c r="L262" s="646">
        <f>J262</f>
        <v>23973194.120000001</v>
      </c>
    </row>
    <row r="263" spans="1:15">
      <c r="A263" s="1034"/>
      <c r="B263" s="1033" t="s">
        <v>3444</v>
      </c>
      <c r="C263" s="650" t="s">
        <v>3445</v>
      </c>
      <c r="D263" s="1033" t="s">
        <v>2064</v>
      </c>
      <c r="E263" s="1032"/>
      <c r="F263" s="651">
        <v>0</v>
      </c>
      <c r="G263" s="651">
        <v>0</v>
      </c>
      <c r="H263" s="1036">
        <v>2.56</v>
      </c>
      <c r="I263" s="1032"/>
      <c r="J263" s="651">
        <v>2.56</v>
      </c>
    </row>
    <row r="264" spans="1:15">
      <c r="A264" s="1034"/>
      <c r="B264" s="1034"/>
      <c r="C264" s="650" t="s">
        <v>3446</v>
      </c>
      <c r="D264" s="1033" t="s">
        <v>2066</v>
      </c>
      <c r="E264" s="1032"/>
      <c r="F264" s="651">
        <v>0</v>
      </c>
      <c r="G264" s="651">
        <v>0</v>
      </c>
      <c r="H264" s="1036">
        <v>1007.38</v>
      </c>
      <c r="I264" s="1032"/>
      <c r="J264" s="651">
        <v>1007.38</v>
      </c>
    </row>
    <row r="265" spans="1:15">
      <c r="A265" s="1034"/>
      <c r="B265" s="1035"/>
      <c r="C265" s="657" t="s">
        <v>12</v>
      </c>
      <c r="D265" s="1031" t="s">
        <v>111</v>
      </c>
      <c r="E265" s="1032"/>
      <c r="F265" s="658">
        <v>0</v>
      </c>
      <c r="G265" s="658">
        <v>0</v>
      </c>
      <c r="H265" s="1037">
        <v>1009.94</v>
      </c>
      <c r="I265" s="1032"/>
      <c r="J265" s="658">
        <v>1009.94</v>
      </c>
      <c r="L265" s="646">
        <f>J265</f>
        <v>1009.94</v>
      </c>
    </row>
    <row r="266" spans="1:15">
      <c r="A266" s="1034"/>
      <c r="B266" s="1033" t="s">
        <v>2825</v>
      </c>
      <c r="C266" s="650" t="s">
        <v>3113</v>
      </c>
      <c r="D266" s="1033" t="s">
        <v>1967</v>
      </c>
      <c r="E266" s="1032"/>
      <c r="F266" s="651">
        <v>204423.37</v>
      </c>
      <c r="G266" s="651">
        <v>67109.009999999995</v>
      </c>
      <c r="H266" s="1036">
        <v>62305.86</v>
      </c>
      <c r="I266" s="1032"/>
      <c r="J266" s="651">
        <v>199620.22</v>
      </c>
    </row>
    <row r="267" spans="1:15">
      <c r="A267" s="1034"/>
      <c r="B267" s="1034"/>
      <c r="C267" s="650" t="s">
        <v>3114</v>
      </c>
      <c r="D267" s="1033" t="s">
        <v>2060</v>
      </c>
      <c r="E267" s="1032"/>
      <c r="F267" s="651">
        <v>120976.96000000001</v>
      </c>
      <c r="G267" s="651">
        <v>87279.2</v>
      </c>
      <c r="H267" s="1036">
        <v>1516049.98</v>
      </c>
      <c r="I267" s="1032"/>
      <c r="J267" s="651">
        <v>1549747.74</v>
      </c>
      <c r="N267" s="656">
        <v>1102969</v>
      </c>
    </row>
    <row r="268" spans="1:15">
      <c r="A268" s="1034"/>
      <c r="B268" s="1034"/>
      <c r="C268" s="650" t="s">
        <v>3447</v>
      </c>
      <c r="D268" s="1033" t="s">
        <v>3448</v>
      </c>
      <c r="E268" s="1032"/>
      <c r="F268" s="651">
        <v>0</v>
      </c>
      <c r="G268" s="651">
        <v>7107.06</v>
      </c>
      <c r="H268" s="1036">
        <v>789543.63</v>
      </c>
      <c r="I268" s="1032"/>
      <c r="J268" s="651">
        <v>782436.57</v>
      </c>
      <c r="N268" s="656">
        <v>912209</v>
      </c>
    </row>
    <row r="269" spans="1:15">
      <c r="A269" s="1034"/>
      <c r="B269" s="1034"/>
      <c r="C269" s="650" t="s">
        <v>2826</v>
      </c>
      <c r="D269" s="1033" t="s">
        <v>2068</v>
      </c>
      <c r="E269" s="1032"/>
      <c r="F269" s="651">
        <v>250</v>
      </c>
      <c r="G269" s="651">
        <v>1859</v>
      </c>
      <c r="H269" s="1036">
        <v>1609.7</v>
      </c>
      <c r="I269" s="1032"/>
      <c r="J269" s="651">
        <v>0.7</v>
      </c>
      <c r="N269" s="656">
        <f>N267-N268</f>
        <v>190760</v>
      </c>
      <c r="O269" s="656">
        <v>105030</v>
      </c>
    </row>
    <row r="270" spans="1:15">
      <c r="A270" s="1034"/>
      <c r="B270" s="1034"/>
      <c r="C270" s="650" t="s">
        <v>3115</v>
      </c>
      <c r="D270" s="1033" t="s">
        <v>2062</v>
      </c>
      <c r="E270" s="1032"/>
      <c r="F270" s="651">
        <v>2354.15</v>
      </c>
      <c r="G270" s="651">
        <v>9116.4</v>
      </c>
      <c r="H270" s="1036">
        <v>58120.959999999999</v>
      </c>
      <c r="I270" s="1032"/>
      <c r="J270" s="651">
        <v>51358.71</v>
      </c>
      <c r="O270" s="656">
        <f>N267-O269</f>
        <v>997939</v>
      </c>
    </row>
    <row r="271" spans="1:15">
      <c r="A271" s="1034"/>
      <c r="B271" s="1034"/>
      <c r="C271" s="650" t="s">
        <v>3116</v>
      </c>
      <c r="D271" s="1033" t="s">
        <v>2063</v>
      </c>
      <c r="E271" s="1032"/>
      <c r="F271" s="651">
        <v>29630.97</v>
      </c>
      <c r="G271" s="651">
        <v>175233.03</v>
      </c>
      <c r="H271" s="1036">
        <v>145602.06</v>
      </c>
      <c r="I271" s="1032"/>
      <c r="J271" s="651">
        <v>0</v>
      </c>
    </row>
    <row r="272" spans="1:15">
      <c r="A272" s="1034"/>
      <c r="B272" s="1035"/>
      <c r="C272" s="657" t="s">
        <v>12</v>
      </c>
      <c r="D272" s="1031" t="s">
        <v>111</v>
      </c>
      <c r="E272" s="1032"/>
      <c r="F272" s="658">
        <v>357635.45</v>
      </c>
      <c r="G272" s="658">
        <v>347703.7</v>
      </c>
      <c r="H272" s="1037">
        <v>2573232.19</v>
      </c>
      <c r="I272" s="1032"/>
      <c r="J272" s="658">
        <v>2583163.94</v>
      </c>
      <c r="L272" s="646">
        <f>J272</f>
        <v>2583163.94</v>
      </c>
      <c r="N272" s="645">
        <f>L272+L265+L262+L257</f>
        <v>39087540.780000001</v>
      </c>
    </row>
    <row r="273" spans="1:14">
      <c r="A273" s="1034"/>
      <c r="B273" s="1033" t="s">
        <v>2827</v>
      </c>
      <c r="C273" s="650" t="s">
        <v>2828</v>
      </c>
      <c r="D273" s="1033" t="s">
        <v>2069</v>
      </c>
      <c r="E273" s="1032"/>
      <c r="F273" s="651">
        <v>0</v>
      </c>
      <c r="G273" s="651">
        <v>0</v>
      </c>
      <c r="H273" s="1036">
        <v>0</v>
      </c>
      <c r="I273" s="1032"/>
      <c r="J273" s="651">
        <v>0</v>
      </c>
    </row>
    <row r="274" spans="1:14">
      <c r="A274" s="1034"/>
      <c r="B274" s="1034"/>
      <c r="C274" s="650" t="s">
        <v>2829</v>
      </c>
      <c r="D274" s="1033" t="s">
        <v>2070</v>
      </c>
      <c r="E274" s="1032"/>
      <c r="F274" s="651">
        <v>0</v>
      </c>
      <c r="G274" s="651">
        <v>0</v>
      </c>
      <c r="H274" s="1036">
        <v>0</v>
      </c>
      <c r="I274" s="1032"/>
      <c r="J274" s="651">
        <v>0</v>
      </c>
      <c r="N274" s="656">
        <v>1020552</v>
      </c>
    </row>
    <row r="275" spans="1:14">
      <c r="A275" s="1034"/>
      <c r="B275" s="1034"/>
      <c r="C275" s="650" t="s">
        <v>2830</v>
      </c>
      <c r="D275" s="1033" t="s">
        <v>2071</v>
      </c>
      <c r="E275" s="1032"/>
      <c r="F275" s="651">
        <v>0</v>
      </c>
      <c r="G275" s="651">
        <v>204599.25</v>
      </c>
      <c r="H275" s="1036">
        <v>308435.3</v>
      </c>
      <c r="I275" s="1032"/>
      <c r="J275" s="651">
        <f>103836.05+105030</f>
        <v>208866.05</v>
      </c>
      <c r="N275" s="656">
        <f>N274-N267</f>
        <v>-82417</v>
      </c>
    </row>
    <row r="276" spans="1:14">
      <c r="A276" s="1034"/>
      <c r="B276" s="1034"/>
      <c r="C276" s="650" t="s">
        <v>2831</v>
      </c>
      <c r="D276" s="1033" t="s">
        <v>2072</v>
      </c>
      <c r="E276" s="1032"/>
      <c r="F276" s="651">
        <v>0</v>
      </c>
      <c r="G276" s="651">
        <v>0</v>
      </c>
      <c r="H276" s="1036">
        <v>0</v>
      </c>
      <c r="I276" s="1032"/>
      <c r="J276" s="651">
        <v>0</v>
      </c>
    </row>
    <row r="277" spans="1:14">
      <c r="A277" s="1034"/>
      <c r="B277" s="1034"/>
      <c r="C277" s="650" t="s">
        <v>2832</v>
      </c>
      <c r="D277" s="1033" t="s">
        <v>2833</v>
      </c>
      <c r="E277" s="1032"/>
      <c r="F277" s="651">
        <v>672000</v>
      </c>
      <c r="G277" s="651">
        <v>672000</v>
      </c>
      <c r="H277" s="1036">
        <v>0</v>
      </c>
      <c r="I277" s="1032"/>
      <c r="J277" s="651">
        <v>0</v>
      </c>
    </row>
    <row r="278" spans="1:14">
      <c r="A278" s="1034"/>
      <c r="B278" s="1035"/>
      <c r="C278" s="657" t="s">
        <v>12</v>
      </c>
      <c r="D278" s="1031" t="s">
        <v>111</v>
      </c>
      <c r="E278" s="1032"/>
      <c r="F278" s="658">
        <v>672000</v>
      </c>
      <c r="G278" s="658">
        <v>876599.25</v>
      </c>
      <c r="H278" s="1037">
        <v>308435.3</v>
      </c>
      <c r="I278" s="1032"/>
      <c r="J278" s="658">
        <f>103836.05+105030</f>
        <v>208866.05</v>
      </c>
    </row>
    <row r="279" spans="1:14">
      <c r="A279" s="1034"/>
      <c r="B279" s="1033" t="s">
        <v>2834</v>
      </c>
      <c r="C279" s="650" t="s">
        <v>2835</v>
      </c>
      <c r="D279" s="1033" t="s">
        <v>2836</v>
      </c>
      <c r="E279" s="1032"/>
      <c r="F279" s="651">
        <v>48763.51</v>
      </c>
      <c r="G279" s="651">
        <v>0</v>
      </c>
      <c r="H279" s="1036">
        <v>54412.54</v>
      </c>
      <c r="I279" s="1032"/>
      <c r="J279" s="651">
        <v>103176.05</v>
      </c>
    </row>
    <row r="280" spans="1:14">
      <c r="A280" s="1034"/>
      <c r="B280" s="1035"/>
      <c r="C280" s="657" t="s">
        <v>12</v>
      </c>
      <c r="D280" s="1031" t="s">
        <v>111</v>
      </c>
      <c r="E280" s="1032"/>
      <c r="F280" s="658">
        <v>48763.51</v>
      </c>
      <c r="G280" s="658">
        <v>0</v>
      </c>
      <c r="H280" s="1037">
        <v>54412.54</v>
      </c>
      <c r="I280" s="1032"/>
      <c r="J280" s="658">
        <v>103176.05</v>
      </c>
    </row>
    <row r="281" spans="1:14">
      <c r="A281" s="1034"/>
      <c r="B281" s="1033" t="s">
        <v>2837</v>
      </c>
      <c r="C281" s="650" t="s">
        <v>2838</v>
      </c>
      <c r="D281" s="650" t="s">
        <v>2073</v>
      </c>
      <c r="E281" s="649"/>
      <c r="F281" s="651">
        <v>0</v>
      </c>
      <c r="G281" s="651">
        <v>0</v>
      </c>
      <c r="H281" s="651">
        <v>0</v>
      </c>
      <c r="I281" s="649"/>
      <c r="J281" s="651">
        <v>0</v>
      </c>
    </row>
    <row r="282" spans="1:14">
      <c r="A282" s="1034"/>
      <c r="B282" s="1034"/>
      <c r="C282" s="650" t="s">
        <v>2839</v>
      </c>
      <c r="D282" s="650" t="s">
        <v>2074</v>
      </c>
      <c r="E282" s="649"/>
      <c r="F282" s="651">
        <v>0</v>
      </c>
      <c r="G282" s="651">
        <v>0</v>
      </c>
      <c r="H282" s="651">
        <v>0</v>
      </c>
      <c r="I282" s="649"/>
      <c r="J282" s="651">
        <v>0</v>
      </c>
    </row>
    <row r="283" spans="1:14">
      <c r="A283" s="1034"/>
      <c r="B283" s="1034"/>
      <c r="C283" s="650" t="s">
        <v>2840</v>
      </c>
      <c r="D283" s="650" t="s">
        <v>2075</v>
      </c>
      <c r="E283" s="649"/>
      <c r="F283" s="651">
        <v>0</v>
      </c>
      <c r="G283" s="651">
        <v>0</v>
      </c>
      <c r="H283" s="651">
        <v>0</v>
      </c>
      <c r="I283" s="649"/>
      <c r="J283" s="651">
        <v>0</v>
      </c>
    </row>
    <row r="284" spans="1:14">
      <c r="A284" s="1034"/>
      <c r="B284" s="1034"/>
      <c r="C284" s="650" t="s">
        <v>2841</v>
      </c>
      <c r="D284" s="650" t="s">
        <v>2076</v>
      </c>
      <c r="E284" s="649"/>
      <c r="F284" s="651">
        <v>5300000</v>
      </c>
      <c r="G284" s="651">
        <v>0</v>
      </c>
      <c r="H284" s="651">
        <v>0</v>
      </c>
      <c r="I284" s="649"/>
      <c r="J284" s="659">
        <v>5300000</v>
      </c>
      <c r="L284" s="656" t="s">
        <v>3551</v>
      </c>
      <c r="M284" s="645">
        <f>J284+J297</f>
        <v>11485000</v>
      </c>
    </row>
    <row r="285" spans="1:14">
      <c r="A285" s="1034"/>
      <c r="B285" s="1034"/>
      <c r="C285" s="650" t="s">
        <v>2842</v>
      </c>
      <c r="D285" s="650" t="s">
        <v>2077</v>
      </c>
      <c r="E285" s="649"/>
      <c r="F285" s="651">
        <v>0</v>
      </c>
      <c r="G285" s="651">
        <v>0</v>
      </c>
      <c r="H285" s="651">
        <v>0</v>
      </c>
      <c r="I285" s="649"/>
      <c r="J285" s="651">
        <v>0</v>
      </c>
      <c r="L285" s="656" t="s">
        <v>3550</v>
      </c>
      <c r="M285" s="645">
        <f>J299+J298+J304+J305</f>
        <v>26414340</v>
      </c>
    </row>
    <row r="286" spans="1:14">
      <c r="A286" s="1034"/>
      <c r="B286" s="1034"/>
      <c r="C286" s="650" t="s">
        <v>2843</v>
      </c>
      <c r="D286" s="650" t="s">
        <v>2078</v>
      </c>
      <c r="E286" s="649"/>
      <c r="F286" s="651">
        <v>0</v>
      </c>
      <c r="G286" s="651">
        <v>0</v>
      </c>
      <c r="H286" s="651">
        <v>0</v>
      </c>
      <c r="I286" s="649"/>
      <c r="J286" s="651">
        <v>0</v>
      </c>
      <c r="L286" s="656" t="s">
        <v>3549</v>
      </c>
      <c r="M286" s="645">
        <f>J303+J302</f>
        <v>24802000</v>
      </c>
    </row>
    <row r="287" spans="1:14" ht="15" customHeight="1">
      <c r="A287" s="1034"/>
      <c r="B287" s="1034"/>
      <c r="C287" s="650" t="s">
        <v>2844</v>
      </c>
      <c r="D287" s="650" t="s">
        <v>2079</v>
      </c>
      <c r="E287" s="649"/>
      <c r="F287" s="651">
        <v>0</v>
      </c>
      <c r="G287" s="651">
        <v>0</v>
      </c>
      <c r="H287" s="651">
        <v>0</v>
      </c>
      <c r="I287" s="649"/>
      <c r="J287" s="651">
        <v>0</v>
      </c>
      <c r="L287" s="656" t="s">
        <v>3548</v>
      </c>
      <c r="M287" s="646">
        <f>J300</f>
        <v>4960400</v>
      </c>
    </row>
    <row r="288" spans="1:14">
      <c r="A288" s="1034"/>
      <c r="B288" s="1034"/>
      <c r="C288" s="650" t="s">
        <v>2845</v>
      </c>
      <c r="D288" s="650" t="s">
        <v>2080</v>
      </c>
      <c r="E288" s="649"/>
      <c r="F288" s="651">
        <v>0</v>
      </c>
      <c r="G288" s="651">
        <v>0</v>
      </c>
      <c r="H288" s="651">
        <v>0</v>
      </c>
      <c r="I288" s="649"/>
      <c r="J288" s="651">
        <v>0</v>
      </c>
      <c r="L288" s="656" t="s">
        <v>3547</v>
      </c>
      <c r="M288" s="646">
        <f>J307</f>
        <v>12581450</v>
      </c>
    </row>
    <row r="289" spans="1:13">
      <c r="A289" s="1034"/>
      <c r="B289" s="1034"/>
      <c r="C289" s="650" t="s">
        <v>2846</v>
      </c>
      <c r="D289" s="650" t="s">
        <v>2081</v>
      </c>
      <c r="E289" s="649"/>
      <c r="F289" s="651">
        <v>0</v>
      </c>
      <c r="G289" s="651">
        <v>0</v>
      </c>
      <c r="H289" s="651">
        <v>0</v>
      </c>
      <c r="I289" s="649"/>
      <c r="J289" s="651">
        <v>0</v>
      </c>
      <c r="M289" s="645">
        <f>SUM(M284:M288)</f>
        <v>80243190</v>
      </c>
    </row>
    <row r="290" spans="1:13">
      <c r="A290" s="1034"/>
      <c r="B290" s="1034"/>
      <c r="C290" s="650" t="s">
        <v>2847</v>
      </c>
      <c r="D290" s="650" t="s">
        <v>2082</v>
      </c>
      <c r="E290" s="649"/>
      <c r="F290" s="651">
        <v>0</v>
      </c>
      <c r="G290" s="651">
        <v>0</v>
      </c>
      <c r="H290" s="651">
        <v>0</v>
      </c>
      <c r="I290" s="649"/>
      <c r="J290" s="651">
        <v>0</v>
      </c>
    </row>
    <row r="291" spans="1:13">
      <c r="A291" s="1034"/>
      <c r="B291" s="1034"/>
      <c r="C291" s="650" t="s">
        <v>2848</v>
      </c>
      <c r="D291" s="650" t="s">
        <v>2083</v>
      </c>
      <c r="E291" s="649"/>
      <c r="F291" s="651">
        <v>0</v>
      </c>
      <c r="G291" s="651">
        <v>0</v>
      </c>
      <c r="H291" s="651">
        <v>0</v>
      </c>
      <c r="I291" s="649"/>
      <c r="J291" s="651">
        <v>0</v>
      </c>
    </row>
    <row r="292" spans="1:13" ht="15" customHeight="1">
      <c r="A292" s="1034"/>
      <c r="B292" s="1034"/>
      <c r="C292" s="650" t="s">
        <v>2849</v>
      </c>
      <c r="D292" s="650" t="s">
        <v>2084</v>
      </c>
      <c r="E292" s="649"/>
      <c r="F292" s="651">
        <v>0</v>
      </c>
      <c r="G292" s="651">
        <v>0</v>
      </c>
      <c r="H292" s="651">
        <v>0</v>
      </c>
      <c r="I292" s="649"/>
      <c r="J292" s="651">
        <v>0</v>
      </c>
    </row>
    <row r="293" spans="1:13">
      <c r="A293" s="1034"/>
      <c r="B293" s="1034"/>
      <c r="C293" s="650" t="s">
        <v>2850</v>
      </c>
      <c r="D293" s="650" t="s">
        <v>2085</v>
      </c>
      <c r="E293" s="649"/>
      <c r="F293" s="651">
        <v>5600000</v>
      </c>
      <c r="G293" s="651">
        <v>5600000</v>
      </c>
      <c r="H293" s="651">
        <v>0</v>
      </c>
      <c r="I293" s="649"/>
      <c r="J293" s="651">
        <v>0</v>
      </c>
    </row>
    <row r="294" spans="1:13" ht="15" customHeight="1">
      <c r="A294" s="1034"/>
      <c r="B294" s="1034"/>
      <c r="C294" s="650" t="s">
        <v>2851</v>
      </c>
      <c r="D294" s="650" t="s">
        <v>2086</v>
      </c>
      <c r="E294" s="649"/>
      <c r="F294" s="651">
        <v>3853742.4</v>
      </c>
      <c r="G294" s="651">
        <v>3853742.4</v>
      </c>
      <c r="H294" s="651">
        <v>0</v>
      </c>
      <c r="I294" s="649"/>
      <c r="J294" s="651">
        <v>0</v>
      </c>
    </row>
    <row r="295" spans="1:13">
      <c r="A295" s="1034"/>
      <c r="B295" s="1034"/>
      <c r="C295" s="650" t="s">
        <v>2852</v>
      </c>
      <c r="D295" s="650" t="s">
        <v>2087</v>
      </c>
      <c r="E295" s="649"/>
      <c r="F295" s="651">
        <v>4519350</v>
      </c>
      <c r="G295" s="651">
        <v>4519350</v>
      </c>
      <c r="H295" s="651">
        <v>0</v>
      </c>
      <c r="I295" s="649"/>
      <c r="J295" s="651">
        <v>0</v>
      </c>
    </row>
    <row r="296" spans="1:13">
      <c r="A296" s="1034"/>
      <c r="B296" s="1034"/>
      <c r="C296" s="650" t="s">
        <v>2853</v>
      </c>
      <c r="D296" s="650" t="s">
        <v>2088</v>
      </c>
      <c r="E296" s="649"/>
      <c r="F296" s="651">
        <v>6089700</v>
      </c>
      <c r="G296" s="651">
        <v>6089700</v>
      </c>
      <c r="H296" s="651">
        <v>0</v>
      </c>
      <c r="I296" s="649"/>
      <c r="J296" s="651">
        <v>0</v>
      </c>
    </row>
    <row r="297" spans="1:13" ht="15" customHeight="1">
      <c r="A297" s="1034"/>
      <c r="B297" s="1034"/>
      <c r="C297" s="650" t="s">
        <v>2854</v>
      </c>
      <c r="D297" s="650" t="s">
        <v>2089</v>
      </c>
      <c r="E297" s="649"/>
      <c r="F297" s="651">
        <v>6185000</v>
      </c>
      <c r="G297" s="651">
        <v>0</v>
      </c>
      <c r="H297" s="651">
        <v>0</v>
      </c>
      <c r="I297" s="649"/>
      <c r="J297" s="659">
        <v>6185000</v>
      </c>
    </row>
    <row r="298" spans="1:13" ht="15" customHeight="1">
      <c r="A298" s="1034"/>
      <c r="B298" s="1034"/>
      <c r="C298" s="650" t="s">
        <v>2855</v>
      </c>
      <c r="D298" s="650" t="s">
        <v>2090</v>
      </c>
      <c r="E298" s="649"/>
      <c r="F298" s="651">
        <v>6318300</v>
      </c>
      <c r="G298" s="651">
        <v>0</v>
      </c>
      <c r="H298" s="651">
        <v>0</v>
      </c>
      <c r="I298" s="649"/>
      <c r="J298" s="659">
        <v>6318300</v>
      </c>
    </row>
    <row r="299" spans="1:13">
      <c r="A299" s="1034"/>
      <c r="B299" s="1034"/>
      <c r="C299" s="650" t="s">
        <v>3117</v>
      </c>
      <c r="D299" s="650" t="s">
        <v>3118</v>
      </c>
      <c r="E299" s="649"/>
      <c r="F299" s="651">
        <v>4387080</v>
      </c>
      <c r="G299" s="651">
        <v>0</v>
      </c>
      <c r="H299" s="651">
        <v>0</v>
      </c>
      <c r="I299" s="649"/>
      <c r="J299" s="659">
        <v>4387080</v>
      </c>
    </row>
    <row r="300" spans="1:13">
      <c r="A300" s="1034"/>
      <c r="B300" s="1034"/>
      <c r="C300" s="650" t="s">
        <v>3119</v>
      </c>
      <c r="D300" s="650" t="s">
        <v>3120</v>
      </c>
      <c r="E300" s="649"/>
      <c r="F300" s="651">
        <v>5495300</v>
      </c>
      <c r="G300" s="651">
        <v>1619200</v>
      </c>
      <c r="H300" s="651">
        <v>1084300</v>
      </c>
      <c r="I300" s="649"/>
      <c r="J300" s="659">
        <v>4960400</v>
      </c>
    </row>
    <row r="301" spans="1:13">
      <c r="A301" s="1034"/>
      <c r="B301" s="1034"/>
      <c r="C301" s="650" t="s">
        <v>3121</v>
      </c>
      <c r="D301" s="650" t="s">
        <v>3122</v>
      </c>
      <c r="E301" s="649"/>
      <c r="F301" s="651">
        <v>0</v>
      </c>
      <c r="G301" s="651">
        <v>0</v>
      </c>
      <c r="H301" s="651">
        <v>0</v>
      </c>
      <c r="I301" s="649"/>
      <c r="J301" s="651">
        <v>0</v>
      </c>
    </row>
    <row r="302" spans="1:13">
      <c r="A302" s="1034"/>
      <c r="B302" s="1034"/>
      <c r="C302" s="650" t="s">
        <v>3123</v>
      </c>
      <c r="D302" s="650" t="s">
        <v>3124</v>
      </c>
      <c r="E302" s="649"/>
      <c r="F302" s="651">
        <v>16485900</v>
      </c>
      <c r="G302" s="651">
        <v>4857600</v>
      </c>
      <c r="H302" s="651">
        <v>3252900</v>
      </c>
      <c r="I302" s="649"/>
      <c r="J302" s="651">
        <v>14881200</v>
      </c>
    </row>
    <row r="303" spans="1:13">
      <c r="A303" s="1034"/>
      <c r="B303" s="1034"/>
      <c r="C303" s="650" t="s">
        <v>3125</v>
      </c>
      <c r="D303" s="650" t="s">
        <v>3126</v>
      </c>
      <c r="E303" s="649"/>
      <c r="F303" s="651">
        <v>10990600</v>
      </c>
      <c r="G303" s="651">
        <v>3238400</v>
      </c>
      <c r="H303" s="651">
        <v>2168600</v>
      </c>
      <c r="I303" s="649"/>
      <c r="J303" s="651">
        <v>9920800</v>
      </c>
    </row>
    <row r="304" spans="1:13" ht="15" customHeight="1">
      <c r="A304" s="1034"/>
      <c r="B304" s="1034"/>
      <c r="C304" s="650" t="s">
        <v>3127</v>
      </c>
      <c r="D304" s="650" t="s">
        <v>3128</v>
      </c>
      <c r="E304" s="649"/>
      <c r="F304" s="651">
        <v>10683960</v>
      </c>
      <c r="G304" s="651">
        <v>0</v>
      </c>
      <c r="H304" s="651">
        <v>0</v>
      </c>
      <c r="I304" s="649"/>
      <c r="J304" s="659">
        <v>10683960</v>
      </c>
    </row>
    <row r="305" spans="1:10" ht="15" customHeight="1">
      <c r="A305" s="1034"/>
      <c r="B305" s="1034"/>
      <c r="C305" s="650" t="s">
        <v>3129</v>
      </c>
      <c r="D305" s="650" t="s">
        <v>3130</v>
      </c>
      <c r="E305" s="649"/>
      <c r="F305" s="651">
        <v>5025000</v>
      </c>
      <c r="G305" s="651">
        <v>0</v>
      </c>
      <c r="H305" s="651">
        <v>0</v>
      </c>
      <c r="I305" s="649"/>
      <c r="J305" s="659">
        <v>5025000</v>
      </c>
    </row>
    <row r="306" spans="1:10">
      <c r="A306" s="1034"/>
      <c r="B306" s="1034"/>
      <c r="C306" s="650" t="s">
        <v>3131</v>
      </c>
      <c r="D306" s="650" t="s">
        <v>3132</v>
      </c>
      <c r="E306" s="649"/>
      <c r="F306" s="651">
        <v>0</v>
      </c>
      <c r="G306" s="651">
        <v>0</v>
      </c>
      <c r="H306" s="651">
        <v>0</v>
      </c>
      <c r="I306" s="649"/>
      <c r="J306" s="651">
        <v>0</v>
      </c>
    </row>
    <row r="307" spans="1:10">
      <c r="A307" s="1034"/>
      <c r="B307" s="1034"/>
      <c r="C307" s="650" t="s">
        <v>3449</v>
      </c>
      <c r="D307" s="650" t="s">
        <v>3439</v>
      </c>
      <c r="E307" s="649"/>
      <c r="F307" s="651">
        <v>0</v>
      </c>
      <c r="G307" s="651">
        <v>0</v>
      </c>
      <c r="H307" s="651">
        <v>12581450</v>
      </c>
      <c r="I307" s="649"/>
      <c r="J307" s="659">
        <v>12581450</v>
      </c>
    </row>
    <row r="308" spans="1:10">
      <c r="A308" s="1034"/>
      <c r="B308" s="1035"/>
      <c r="C308" s="657" t="s">
        <v>12</v>
      </c>
      <c r="D308" s="657" t="s">
        <v>111</v>
      </c>
      <c r="E308" s="649"/>
      <c r="F308" s="658">
        <v>90933932.400000006</v>
      </c>
      <c r="G308" s="658">
        <v>29777992.399999999</v>
      </c>
      <c r="H308" s="654">
        <v>19087250</v>
      </c>
      <c r="I308" s="649"/>
      <c r="J308" s="658">
        <v>80243190</v>
      </c>
    </row>
    <row r="309" spans="1:10">
      <c r="A309" s="1034"/>
      <c r="B309" s="1033" t="s">
        <v>2856</v>
      </c>
      <c r="C309" s="650" t="s">
        <v>2857</v>
      </c>
      <c r="D309" s="650" t="s">
        <v>2091</v>
      </c>
      <c r="E309" s="649"/>
      <c r="F309" s="651">
        <v>0</v>
      </c>
      <c r="G309" s="651">
        <v>0</v>
      </c>
      <c r="H309" s="651">
        <v>0</v>
      </c>
      <c r="I309" s="649"/>
      <c r="J309" s="651">
        <v>0</v>
      </c>
    </row>
    <row r="310" spans="1:10" ht="15" customHeight="1">
      <c r="A310" s="1034"/>
      <c r="B310" s="1034"/>
      <c r="C310" s="650" t="s">
        <v>2858</v>
      </c>
      <c r="D310" s="650" t="s">
        <v>2092</v>
      </c>
      <c r="E310" s="649"/>
      <c r="F310" s="651">
        <v>0</v>
      </c>
      <c r="G310" s="651">
        <v>0</v>
      </c>
      <c r="H310" s="651">
        <v>0</v>
      </c>
      <c r="I310" s="649"/>
      <c r="J310" s="651">
        <v>0</v>
      </c>
    </row>
    <row r="311" spans="1:10" ht="15" customHeight="1">
      <c r="A311" s="1034"/>
      <c r="B311" s="1034"/>
      <c r="C311" s="650" t="s">
        <v>2859</v>
      </c>
      <c r="D311" s="650" t="s">
        <v>2093</v>
      </c>
      <c r="E311" s="649"/>
      <c r="F311" s="651">
        <v>240460.56</v>
      </c>
      <c r="G311" s="651">
        <v>956606.86</v>
      </c>
      <c r="H311" s="651">
        <v>1062528.82</v>
      </c>
      <c r="I311" s="649"/>
      <c r="J311" s="651">
        <v>346382.52</v>
      </c>
    </row>
    <row r="312" spans="1:10" ht="15" customHeight="1">
      <c r="A312" s="1034"/>
      <c r="B312" s="1034"/>
      <c r="C312" s="650" t="s">
        <v>2860</v>
      </c>
      <c r="D312" s="650" t="s">
        <v>2094</v>
      </c>
      <c r="E312" s="649"/>
      <c r="F312" s="651">
        <v>0</v>
      </c>
      <c r="G312" s="651">
        <v>0</v>
      </c>
      <c r="H312" s="651">
        <v>0</v>
      </c>
      <c r="I312" s="649"/>
      <c r="J312" s="651">
        <v>0</v>
      </c>
    </row>
    <row r="313" spans="1:10" ht="15" customHeight="1">
      <c r="A313" s="1034"/>
      <c r="B313" s="1034"/>
      <c r="C313" s="650" t="s">
        <v>2861</v>
      </c>
      <c r="D313" s="650" t="s">
        <v>2095</v>
      </c>
      <c r="E313" s="649"/>
      <c r="F313" s="651">
        <v>0</v>
      </c>
      <c r="G313" s="651">
        <v>0</v>
      </c>
      <c r="H313" s="651">
        <v>0</v>
      </c>
      <c r="I313" s="649"/>
      <c r="J313" s="651">
        <v>0</v>
      </c>
    </row>
    <row r="314" spans="1:10" ht="15" customHeight="1">
      <c r="A314" s="1034"/>
      <c r="B314" s="1034"/>
      <c r="C314" s="650" t="s">
        <v>2862</v>
      </c>
      <c r="D314" s="650" t="s">
        <v>2096</v>
      </c>
      <c r="E314" s="649"/>
      <c r="F314" s="651">
        <v>0</v>
      </c>
      <c r="G314" s="651">
        <v>0</v>
      </c>
      <c r="H314" s="651">
        <v>0</v>
      </c>
      <c r="I314" s="649"/>
      <c r="J314" s="651">
        <v>0</v>
      </c>
    </row>
    <row r="315" spans="1:10" ht="15" customHeight="1">
      <c r="A315" s="1034"/>
      <c r="B315" s="1034"/>
      <c r="C315" s="650" t="s">
        <v>2863</v>
      </c>
      <c r="D315" s="650" t="s">
        <v>2097</v>
      </c>
      <c r="E315" s="649"/>
      <c r="F315" s="651">
        <v>0</v>
      </c>
      <c r="G315" s="651">
        <v>0</v>
      </c>
      <c r="H315" s="651">
        <v>0</v>
      </c>
      <c r="I315" s="649"/>
      <c r="J315" s="651">
        <v>0</v>
      </c>
    </row>
    <row r="316" spans="1:10" ht="15" customHeight="1">
      <c r="A316" s="1034"/>
      <c r="B316" s="1034"/>
      <c r="C316" s="650" t="s">
        <v>2864</v>
      </c>
      <c r="D316" s="650" t="s">
        <v>2098</v>
      </c>
      <c r="E316" s="649"/>
      <c r="F316" s="651">
        <v>0</v>
      </c>
      <c r="G316" s="651">
        <v>0</v>
      </c>
      <c r="H316" s="651">
        <v>0</v>
      </c>
      <c r="I316" s="649"/>
      <c r="J316" s="651">
        <v>0</v>
      </c>
    </row>
    <row r="317" spans="1:10" ht="15" customHeight="1">
      <c r="A317" s="1034"/>
      <c r="B317" s="1034"/>
      <c r="C317" s="650" t="s">
        <v>2865</v>
      </c>
      <c r="D317" s="650" t="s">
        <v>2099</v>
      </c>
      <c r="E317" s="649"/>
      <c r="F317" s="651">
        <v>0</v>
      </c>
      <c r="G317" s="651">
        <v>0</v>
      </c>
      <c r="H317" s="651">
        <v>0</v>
      </c>
      <c r="I317" s="649"/>
      <c r="J317" s="651">
        <v>0</v>
      </c>
    </row>
    <row r="318" spans="1:10" ht="15" customHeight="1">
      <c r="A318" s="1034"/>
      <c r="B318" s="1034"/>
      <c r="C318" s="650" t="s">
        <v>2866</v>
      </c>
      <c r="D318" s="650" t="s">
        <v>2100</v>
      </c>
      <c r="E318" s="649"/>
      <c r="F318" s="651">
        <v>0</v>
      </c>
      <c r="G318" s="651">
        <v>0</v>
      </c>
      <c r="H318" s="651">
        <v>0</v>
      </c>
      <c r="I318" s="649"/>
      <c r="J318" s="651">
        <v>0</v>
      </c>
    </row>
    <row r="319" spans="1:10" ht="15" customHeight="1">
      <c r="A319" s="1034"/>
      <c r="B319" s="1034"/>
      <c r="C319" s="650" t="s">
        <v>2867</v>
      </c>
      <c r="D319" s="650" t="s">
        <v>2101</v>
      </c>
      <c r="E319" s="649"/>
      <c r="F319" s="651">
        <v>0</v>
      </c>
      <c r="G319" s="651">
        <v>0</v>
      </c>
      <c r="H319" s="651">
        <v>0</v>
      </c>
      <c r="I319" s="649"/>
      <c r="J319" s="651">
        <v>0</v>
      </c>
    </row>
    <row r="320" spans="1:10" ht="15" customHeight="1">
      <c r="A320" s="1034"/>
      <c r="B320" s="1034"/>
      <c r="C320" s="650" t="s">
        <v>2868</v>
      </c>
      <c r="D320" s="650" t="s">
        <v>2102</v>
      </c>
      <c r="E320" s="649"/>
      <c r="F320" s="651">
        <v>0</v>
      </c>
      <c r="G320" s="651">
        <v>0</v>
      </c>
      <c r="H320" s="651">
        <v>0</v>
      </c>
      <c r="I320" s="649"/>
      <c r="J320" s="651">
        <v>0</v>
      </c>
    </row>
    <row r="321" spans="1:10" ht="15" customHeight="1">
      <c r="A321" s="1034"/>
      <c r="B321" s="1034"/>
      <c r="C321" s="650" t="s">
        <v>2869</v>
      </c>
      <c r="D321" s="650" t="s">
        <v>2103</v>
      </c>
      <c r="E321" s="649"/>
      <c r="F321" s="651">
        <v>254071.3</v>
      </c>
      <c r="G321" s="651">
        <v>419769.93</v>
      </c>
      <c r="H321" s="651">
        <v>165698.63</v>
      </c>
      <c r="I321" s="649"/>
      <c r="J321" s="651">
        <v>0</v>
      </c>
    </row>
    <row r="322" spans="1:10" ht="15" customHeight="1">
      <c r="A322" s="1034"/>
      <c r="B322" s="1034"/>
      <c r="C322" s="650" t="s">
        <v>2870</v>
      </c>
      <c r="D322" s="650" t="s">
        <v>2104</v>
      </c>
      <c r="E322" s="649"/>
      <c r="F322" s="651">
        <v>249529.82</v>
      </c>
      <c r="G322" s="651">
        <v>368358.1</v>
      </c>
      <c r="H322" s="651">
        <v>118828.28</v>
      </c>
      <c r="I322" s="649"/>
      <c r="J322" s="651">
        <v>0</v>
      </c>
    </row>
    <row r="323" spans="1:10" ht="15" customHeight="1">
      <c r="A323" s="1034"/>
      <c r="B323" s="1034"/>
      <c r="C323" s="650" t="s">
        <v>2871</v>
      </c>
      <c r="D323" s="650" t="s">
        <v>2092</v>
      </c>
      <c r="E323" s="649"/>
      <c r="F323" s="651">
        <v>235006.2</v>
      </c>
      <c r="G323" s="651">
        <v>406741.52</v>
      </c>
      <c r="H323" s="651">
        <v>171735.32</v>
      </c>
      <c r="I323" s="649"/>
      <c r="J323" s="651">
        <v>0</v>
      </c>
    </row>
    <row r="324" spans="1:10" ht="15" customHeight="1">
      <c r="A324" s="1034"/>
      <c r="B324" s="1034"/>
      <c r="C324" s="650" t="s">
        <v>2872</v>
      </c>
      <c r="D324" s="650" t="s">
        <v>2105</v>
      </c>
      <c r="E324" s="649"/>
      <c r="F324" s="651">
        <v>0</v>
      </c>
      <c r="G324" s="651">
        <v>0</v>
      </c>
      <c r="H324" s="651">
        <v>0</v>
      </c>
      <c r="I324" s="649"/>
      <c r="J324" s="651">
        <v>0</v>
      </c>
    </row>
    <row r="325" spans="1:10" ht="15" customHeight="1">
      <c r="A325" s="1034"/>
      <c r="B325" s="1034"/>
      <c r="C325" s="650" t="s">
        <v>2873</v>
      </c>
      <c r="D325" s="650" t="s">
        <v>2106</v>
      </c>
      <c r="E325" s="649"/>
      <c r="F325" s="651">
        <v>46011.01</v>
      </c>
      <c r="G325" s="651">
        <v>569386.94999999995</v>
      </c>
      <c r="H325" s="651">
        <v>523375.94</v>
      </c>
      <c r="I325" s="649"/>
      <c r="J325" s="651">
        <v>0</v>
      </c>
    </row>
    <row r="326" spans="1:10" ht="15" customHeight="1">
      <c r="A326" s="1034"/>
      <c r="B326" s="1034"/>
      <c r="C326" s="650" t="s">
        <v>2874</v>
      </c>
      <c r="D326" s="650" t="s">
        <v>2107</v>
      </c>
      <c r="E326" s="649"/>
      <c r="F326" s="651">
        <v>280612.62</v>
      </c>
      <c r="G326" s="651">
        <v>1116341.83</v>
      </c>
      <c r="H326" s="651">
        <v>1239951.07</v>
      </c>
      <c r="I326" s="649"/>
      <c r="J326" s="651">
        <v>404221.86</v>
      </c>
    </row>
    <row r="327" spans="1:10" ht="15" customHeight="1">
      <c r="A327" s="1034"/>
      <c r="B327" s="1034"/>
      <c r="C327" s="650" t="s">
        <v>2875</v>
      </c>
      <c r="D327" s="650" t="s">
        <v>2108</v>
      </c>
      <c r="E327" s="649"/>
      <c r="F327" s="651">
        <v>100654.07</v>
      </c>
      <c r="G327" s="651">
        <v>1181873.1000000001</v>
      </c>
      <c r="H327" s="651">
        <v>1188366.95</v>
      </c>
      <c r="I327" s="649"/>
      <c r="J327" s="651">
        <v>107147.92</v>
      </c>
    </row>
    <row r="328" spans="1:10" ht="15" customHeight="1">
      <c r="A328" s="1034"/>
      <c r="B328" s="1034"/>
      <c r="C328" s="650" t="s">
        <v>3133</v>
      </c>
      <c r="D328" s="650" t="s">
        <v>3134</v>
      </c>
      <c r="E328" s="649"/>
      <c r="F328" s="651">
        <v>290644.06</v>
      </c>
      <c r="G328" s="651">
        <v>1003544.55</v>
      </c>
      <c r="H328" s="651">
        <v>1003544.59</v>
      </c>
      <c r="I328" s="649"/>
      <c r="J328" s="651">
        <v>290644.09999999998</v>
      </c>
    </row>
    <row r="329" spans="1:10" ht="15" customHeight="1">
      <c r="A329" s="1034"/>
      <c r="B329" s="1034"/>
      <c r="C329" s="650" t="s">
        <v>3135</v>
      </c>
      <c r="D329" s="650" t="s">
        <v>3334</v>
      </c>
      <c r="E329" s="649"/>
      <c r="F329" s="651">
        <v>174727.61</v>
      </c>
      <c r="G329" s="651">
        <v>846828.84</v>
      </c>
      <c r="H329" s="651">
        <v>846048.48</v>
      </c>
      <c r="I329" s="649"/>
      <c r="J329" s="651">
        <v>173947.25</v>
      </c>
    </row>
    <row r="330" spans="1:10" ht="15" customHeight="1">
      <c r="A330" s="1034"/>
      <c r="B330" s="1034"/>
      <c r="C330" s="650" t="s">
        <v>3136</v>
      </c>
      <c r="D330" s="650" t="s">
        <v>3137</v>
      </c>
      <c r="E330" s="649"/>
      <c r="F330" s="651">
        <v>0</v>
      </c>
      <c r="G330" s="651">
        <v>0</v>
      </c>
      <c r="H330" s="651">
        <v>0</v>
      </c>
      <c r="I330" s="649"/>
      <c r="J330" s="651">
        <v>0</v>
      </c>
    </row>
    <row r="331" spans="1:10" ht="15" customHeight="1">
      <c r="A331" s="1034"/>
      <c r="B331" s="1034"/>
      <c r="C331" s="650" t="s">
        <v>3138</v>
      </c>
      <c r="D331" s="650" t="s">
        <v>3139</v>
      </c>
      <c r="E331" s="649"/>
      <c r="F331" s="651">
        <v>175111.61</v>
      </c>
      <c r="G331" s="651">
        <v>2591653.44</v>
      </c>
      <c r="H331" s="651">
        <v>2542622.13</v>
      </c>
      <c r="I331" s="649"/>
      <c r="J331" s="651">
        <v>126080.3</v>
      </c>
    </row>
    <row r="332" spans="1:10" ht="15" customHeight="1">
      <c r="A332" s="1034"/>
      <c r="B332" s="1034"/>
      <c r="C332" s="650" t="s">
        <v>3140</v>
      </c>
      <c r="D332" s="650" t="s">
        <v>3141</v>
      </c>
      <c r="E332" s="649"/>
      <c r="F332" s="651">
        <v>120004.95</v>
      </c>
      <c r="G332" s="651">
        <v>1855077.12</v>
      </c>
      <c r="H332" s="651">
        <v>1825075.86</v>
      </c>
      <c r="I332" s="649"/>
      <c r="J332" s="651">
        <v>90003.69</v>
      </c>
    </row>
    <row r="333" spans="1:10" ht="15" customHeight="1">
      <c r="A333" s="1034"/>
      <c r="B333" s="1034"/>
      <c r="C333" s="650" t="s">
        <v>3142</v>
      </c>
      <c r="D333" s="650" t="s">
        <v>3143</v>
      </c>
      <c r="E333" s="649"/>
      <c r="F333" s="651">
        <v>1028331.16</v>
      </c>
      <c r="G333" s="651">
        <v>2509128.0299999998</v>
      </c>
      <c r="H333" s="651">
        <v>2509127.9900000002</v>
      </c>
      <c r="I333" s="649"/>
      <c r="J333" s="651">
        <v>1028331.12</v>
      </c>
    </row>
    <row r="334" spans="1:10" ht="15" customHeight="1">
      <c r="A334" s="1034"/>
      <c r="B334" s="1034"/>
      <c r="C334" s="650" t="s">
        <v>3144</v>
      </c>
      <c r="D334" s="650" t="s">
        <v>3145</v>
      </c>
      <c r="E334" s="649"/>
      <c r="F334" s="651">
        <v>383016.67</v>
      </c>
      <c r="G334" s="651">
        <v>1248223.96</v>
      </c>
      <c r="H334" s="651">
        <v>1251643.74</v>
      </c>
      <c r="I334" s="649"/>
      <c r="J334" s="651">
        <v>386436.45</v>
      </c>
    </row>
    <row r="335" spans="1:10" ht="15" customHeight="1">
      <c r="A335" s="1034"/>
      <c r="B335" s="1034"/>
      <c r="C335" s="650" t="s">
        <v>3146</v>
      </c>
      <c r="D335" s="650" t="s">
        <v>3147</v>
      </c>
      <c r="E335" s="649"/>
      <c r="F335" s="651">
        <v>0</v>
      </c>
      <c r="G335" s="651">
        <v>0</v>
      </c>
      <c r="H335" s="651">
        <v>0</v>
      </c>
      <c r="I335" s="649"/>
      <c r="J335" s="651">
        <v>0</v>
      </c>
    </row>
    <row r="336" spans="1:10" ht="15" customHeight="1">
      <c r="A336" s="1034"/>
      <c r="B336" s="1034"/>
      <c r="C336" s="650" t="s">
        <v>3450</v>
      </c>
      <c r="D336" s="650" t="s">
        <v>3438</v>
      </c>
      <c r="E336" s="660"/>
      <c r="F336" s="651">
        <v>0</v>
      </c>
      <c r="G336" s="651">
        <v>2246881.61</v>
      </c>
      <c r="H336" s="651">
        <v>2724330.48</v>
      </c>
      <c r="I336" s="649"/>
      <c r="J336" s="651">
        <v>477448.87</v>
      </c>
    </row>
    <row r="337" spans="1:10" ht="15" customHeight="1">
      <c r="A337" s="1034"/>
      <c r="B337" s="1034"/>
      <c r="C337" s="650" t="s">
        <v>3451</v>
      </c>
      <c r="D337" s="650" t="s">
        <v>3452</v>
      </c>
      <c r="E337" s="649"/>
      <c r="F337" s="651">
        <v>0</v>
      </c>
      <c r="G337" s="651">
        <v>132229.13</v>
      </c>
      <c r="H337" s="651">
        <v>132229.13</v>
      </c>
      <c r="I337" s="649"/>
      <c r="J337" s="651">
        <v>0</v>
      </c>
    </row>
    <row r="338" spans="1:10">
      <c r="A338" s="1034"/>
      <c r="B338" s="1035"/>
      <c r="C338" s="657" t="s">
        <v>12</v>
      </c>
      <c r="D338" s="657" t="s">
        <v>111</v>
      </c>
      <c r="E338" s="649"/>
      <c r="F338" s="658">
        <v>3578181.64</v>
      </c>
      <c r="G338" s="658">
        <v>17452644.969999999</v>
      </c>
      <c r="H338" s="658">
        <v>17305107.41</v>
      </c>
      <c r="I338" s="649"/>
      <c r="J338" s="658">
        <v>3430644.08</v>
      </c>
    </row>
    <row r="339" spans="1:10">
      <c r="A339" s="1034"/>
      <c r="B339" s="1033" t="s">
        <v>2876</v>
      </c>
      <c r="C339" s="650" t="s">
        <v>2877</v>
      </c>
      <c r="D339" s="1033" t="s">
        <v>1967</v>
      </c>
      <c r="E339" s="1032"/>
      <c r="F339" s="651">
        <v>-14.56</v>
      </c>
      <c r="G339" s="651">
        <v>147196.17000000001</v>
      </c>
      <c r="H339" s="1036">
        <v>147215.10999999999</v>
      </c>
      <c r="I339" s="1032"/>
      <c r="J339" s="651">
        <v>4.38</v>
      </c>
    </row>
    <row r="340" spans="1:10">
      <c r="A340" s="1034"/>
      <c r="B340" s="1034"/>
      <c r="C340" s="650" t="s">
        <v>3453</v>
      </c>
      <c r="D340" s="1033" t="s">
        <v>2068</v>
      </c>
      <c r="E340" s="1032"/>
      <c r="F340" s="651">
        <v>0</v>
      </c>
      <c r="G340" s="651">
        <v>0</v>
      </c>
      <c r="H340" s="1036">
        <v>559.36</v>
      </c>
      <c r="I340" s="1032"/>
      <c r="J340" s="651">
        <v>559.36</v>
      </c>
    </row>
    <row r="341" spans="1:10">
      <c r="A341" s="1034"/>
      <c r="B341" s="1034"/>
      <c r="C341" s="650" t="s">
        <v>2878</v>
      </c>
      <c r="D341" s="1033" t="s">
        <v>2062</v>
      </c>
      <c r="E341" s="1032"/>
      <c r="F341" s="651">
        <v>282.68</v>
      </c>
      <c r="G341" s="651">
        <v>51214.35</v>
      </c>
      <c r="H341" s="1036">
        <v>52191.13</v>
      </c>
      <c r="I341" s="1032"/>
      <c r="J341" s="651">
        <v>1259.46</v>
      </c>
    </row>
    <row r="342" spans="1:10">
      <c r="A342" s="1034"/>
      <c r="B342" s="1035"/>
      <c r="C342" s="657" t="s">
        <v>12</v>
      </c>
      <c r="D342" s="1031" t="s">
        <v>111</v>
      </c>
      <c r="E342" s="1032"/>
      <c r="F342" s="658">
        <v>268.12</v>
      </c>
      <c r="G342" s="658">
        <v>198410.52</v>
      </c>
      <c r="H342" s="1037">
        <v>199965.6</v>
      </c>
      <c r="I342" s="1032"/>
      <c r="J342" s="658">
        <v>1823.2</v>
      </c>
    </row>
    <row r="343" spans="1:10">
      <c r="A343" s="1034"/>
      <c r="B343" s="1033" t="s">
        <v>2879</v>
      </c>
      <c r="C343" s="650" t="s">
        <v>3148</v>
      </c>
      <c r="D343" s="1033" t="s">
        <v>3149</v>
      </c>
      <c r="E343" s="1032"/>
      <c r="F343" s="651">
        <v>0</v>
      </c>
      <c r="G343" s="651">
        <v>1152147.25</v>
      </c>
      <c r="H343" s="1036">
        <v>1152147.25</v>
      </c>
      <c r="I343" s="1032"/>
      <c r="J343" s="651">
        <v>0</v>
      </c>
    </row>
    <row r="344" spans="1:10">
      <c r="A344" s="1034"/>
      <c r="B344" s="1034"/>
      <c r="C344" s="650" t="s">
        <v>3150</v>
      </c>
      <c r="D344" s="1033" t="s">
        <v>3151</v>
      </c>
      <c r="E344" s="1032"/>
      <c r="F344" s="651">
        <v>0</v>
      </c>
      <c r="G344" s="651">
        <v>1884439.47</v>
      </c>
      <c r="H344" s="1036">
        <v>1884439.47</v>
      </c>
      <c r="I344" s="1032"/>
      <c r="J344" s="651">
        <v>0</v>
      </c>
    </row>
    <row r="345" spans="1:10">
      <c r="A345" s="1034"/>
      <c r="B345" s="1034"/>
      <c r="C345" s="650" t="s">
        <v>2880</v>
      </c>
      <c r="D345" s="1033" t="s">
        <v>2066</v>
      </c>
      <c r="E345" s="1032"/>
      <c r="F345" s="651">
        <v>0</v>
      </c>
      <c r="G345" s="651">
        <v>769.96</v>
      </c>
      <c r="H345" s="1036">
        <v>769.96</v>
      </c>
      <c r="I345" s="1032"/>
      <c r="J345" s="651">
        <v>0</v>
      </c>
    </row>
    <row r="346" spans="1:10">
      <c r="A346" s="1034"/>
      <c r="B346" s="1035"/>
      <c r="C346" s="657" t="s">
        <v>12</v>
      </c>
      <c r="D346" s="1031" t="s">
        <v>111</v>
      </c>
      <c r="E346" s="1032"/>
      <c r="F346" s="658">
        <v>0</v>
      </c>
      <c r="G346" s="658">
        <v>3037356.68</v>
      </c>
      <c r="H346" s="1037">
        <v>3037356.68</v>
      </c>
      <c r="I346" s="1032"/>
      <c r="J346" s="658">
        <v>0</v>
      </c>
    </row>
    <row r="347" spans="1:10">
      <c r="A347" s="1034"/>
      <c r="B347" s="1033" t="s">
        <v>2881</v>
      </c>
      <c r="C347" s="650" t="s">
        <v>2882</v>
      </c>
      <c r="D347" s="1033" t="s">
        <v>2109</v>
      </c>
      <c r="E347" s="1032"/>
      <c r="F347" s="651">
        <v>227462.28</v>
      </c>
      <c r="G347" s="651">
        <v>1194236.6599999999</v>
      </c>
      <c r="H347" s="1036">
        <v>1232955</v>
      </c>
      <c r="I347" s="1032"/>
      <c r="J347" s="651">
        <v>266180.62</v>
      </c>
    </row>
    <row r="348" spans="1:10">
      <c r="A348" s="1034"/>
      <c r="B348" s="1034"/>
      <c r="C348" s="650" t="s">
        <v>2883</v>
      </c>
      <c r="D348" s="1033" t="s">
        <v>2110</v>
      </c>
      <c r="E348" s="1032"/>
      <c r="F348" s="651">
        <v>182858.89</v>
      </c>
      <c r="G348" s="651">
        <v>2081441.3</v>
      </c>
      <c r="H348" s="1036">
        <v>3130319.64</v>
      </c>
      <c r="I348" s="1032"/>
      <c r="J348" s="651">
        <v>1231737.23</v>
      </c>
    </row>
    <row r="349" spans="1:10">
      <c r="A349" s="1034"/>
      <c r="B349" s="1034"/>
      <c r="C349" s="650" t="s">
        <v>2884</v>
      </c>
      <c r="D349" s="1033" t="s">
        <v>2067</v>
      </c>
      <c r="E349" s="1032"/>
      <c r="F349" s="651">
        <v>280.52999999999997</v>
      </c>
      <c r="G349" s="651">
        <v>770.34</v>
      </c>
      <c r="H349" s="1036">
        <v>1308.3900000000001</v>
      </c>
      <c r="I349" s="1032"/>
      <c r="J349" s="651">
        <v>818.58</v>
      </c>
    </row>
    <row r="350" spans="1:10">
      <c r="A350" s="1034"/>
      <c r="B350" s="1034"/>
      <c r="C350" s="650" t="s">
        <v>2885</v>
      </c>
      <c r="D350" s="1033" t="s">
        <v>2067</v>
      </c>
      <c r="E350" s="1032"/>
      <c r="F350" s="651">
        <v>0</v>
      </c>
      <c r="G350" s="651">
        <v>0</v>
      </c>
      <c r="H350" s="1036">
        <v>0</v>
      </c>
      <c r="I350" s="1032"/>
      <c r="J350" s="651">
        <v>0</v>
      </c>
    </row>
    <row r="351" spans="1:10">
      <c r="A351" s="1034"/>
      <c r="B351" s="1035"/>
      <c r="C351" s="657" t="s">
        <v>12</v>
      </c>
      <c r="D351" s="1031" t="s">
        <v>111</v>
      </c>
      <c r="E351" s="1032"/>
      <c r="F351" s="658">
        <v>410601.7</v>
      </c>
      <c r="G351" s="658">
        <v>3276448.3</v>
      </c>
      <c r="H351" s="1037">
        <v>4364583.03</v>
      </c>
      <c r="I351" s="1032"/>
      <c r="J351" s="658">
        <v>1498736.43</v>
      </c>
    </row>
    <row r="352" spans="1:10">
      <c r="A352" s="1034"/>
      <c r="B352" s="1033" t="s">
        <v>2886</v>
      </c>
      <c r="C352" s="650" t="s">
        <v>2887</v>
      </c>
      <c r="D352" s="1033" t="s">
        <v>2111</v>
      </c>
      <c r="E352" s="1032"/>
      <c r="F352" s="651">
        <v>87953.11</v>
      </c>
      <c r="G352" s="651">
        <v>506105.58</v>
      </c>
      <c r="H352" s="1036">
        <v>535025.06999999995</v>
      </c>
      <c r="I352" s="1032"/>
      <c r="J352" s="651">
        <v>116872.6</v>
      </c>
    </row>
    <row r="353" spans="1:10">
      <c r="A353" s="1034"/>
      <c r="B353" s="1034"/>
      <c r="C353" s="650" t="s">
        <v>3152</v>
      </c>
      <c r="D353" s="1033" t="s">
        <v>3153</v>
      </c>
      <c r="E353" s="1032"/>
      <c r="F353" s="651">
        <v>8803.8799999999992</v>
      </c>
      <c r="G353" s="651">
        <v>16118.56</v>
      </c>
      <c r="H353" s="1036">
        <v>7314.68</v>
      </c>
      <c r="I353" s="1032"/>
      <c r="J353" s="651">
        <v>0</v>
      </c>
    </row>
    <row r="354" spans="1:10">
      <c r="A354" s="1034"/>
      <c r="B354" s="1034"/>
      <c r="C354" s="650" t="s">
        <v>2888</v>
      </c>
      <c r="D354" s="1033" t="s">
        <v>2112</v>
      </c>
      <c r="E354" s="1032"/>
      <c r="F354" s="651">
        <v>48674.46</v>
      </c>
      <c r="G354" s="651">
        <v>539318.66</v>
      </c>
      <c r="H354" s="1036">
        <v>627014.99</v>
      </c>
      <c r="I354" s="1032"/>
      <c r="J354" s="651">
        <v>136370.79</v>
      </c>
    </row>
    <row r="355" spans="1:10">
      <c r="A355" s="1034"/>
      <c r="B355" s="1034"/>
      <c r="C355" s="650" t="s">
        <v>2889</v>
      </c>
      <c r="D355" s="1033" t="s">
        <v>2113</v>
      </c>
      <c r="E355" s="1032"/>
      <c r="F355" s="651">
        <v>83276.36</v>
      </c>
      <c r="G355" s="651">
        <v>338439.17</v>
      </c>
      <c r="H355" s="1036">
        <v>339196.05</v>
      </c>
      <c r="I355" s="1032"/>
      <c r="J355" s="651">
        <v>84033.24</v>
      </c>
    </row>
    <row r="356" spans="1:10">
      <c r="A356" s="1034"/>
      <c r="B356" s="1034"/>
      <c r="C356" s="650" t="s">
        <v>2890</v>
      </c>
      <c r="D356" s="1033" t="s">
        <v>2114</v>
      </c>
      <c r="E356" s="1032"/>
      <c r="F356" s="651">
        <v>62719.76</v>
      </c>
      <c r="G356" s="651">
        <v>540256.54</v>
      </c>
      <c r="H356" s="1036">
        <v>670140.66</v>
      </c>
      <c r="I356" s="1032"/>
      <c r="J356" s="651">
        <v>192603.88</v>
      </c>
    </row>
    <row r="357" spans="1:10">
      <c r="A357" s="1034"/>
      <c r="B357" s="1034"/>
      <c r="C357" s="650" t="s">
        <v>2891</v>
      </c>
      <c r="D357" s="1033" t="s">
        <v>2115</v>
      </c>
      <c r="E357" s="1032"/>
      <c r="F357" s="651">
        <v>26575.23</v>
      </c>
      <c r="G357" s="651">
        <v>34352.230000000003</v>
      </c>
      <c r="H357" s="1036">
        <v>7777</v>
      </c>
      <c r="I357" s="1032"/>
      <c r="J357" s="651">
        <v>0</v>
      </c>
    </row>
    <row r="358" spans="1:10">
      <c r="A358" s="1034"/>
      <c r="B358" s="1034"/>
      <c r="C358" s="650" t="s">
        <v>2892</v>
      </c>
      <c r="D358" s="1033" t="s">
        <v>2116</v>
      </c>
      <c r="E358" s="1032"/>
      <c r="F358" s="651">
        <v>119109.05</v>
      </c>
      <c r="G358" s="651">
        <v>545267.22</v>
      </c>
      <c r="H358" s="1036">
        <v>530334.42000000004</v>
      </c>
      <c r="I358" s="1032"/>
      <c r="J358" s="651">
        <v>104176.25</v>
      </c>
    </row>
    <row r="359" spans="1:10">
      <c r="A359" s="1034"/>
      <c r="B359" s="1035"/>
      <c r="C359" s="657" t="s">
        <v>12</v>
      </c>
      <c r="D359" s="1031" t="s">
        <v>111</v>
      </c>
      <c r="E359" s="1032"/>
      <c r="F359" s="658">
        <v>437111.85</v>
      </c>
      <c r="G359" s="658">
        <v>2519857.96</v>
      </c>
      <c r="H359" s="1037">
        <v>2716802.87</v>
      </c>
      <c r="I359" s="1032"/>
      <c r="J359" s="658">
        <v>634056.76</v>
      </c>
    </row>
    <row r="360" spans="1:10">
      <c r="A360" s="1034"/>
      <c r="B360" s="1033" t="s">
        <v>2893</v>
      </c>
      <c r="C360" s="650" t="s">
        <v>2894</v>
      </c>
      <c r="D360" s="1033" t="s">
        <v>2117</v>
      </c>
      <c r="E360" s="1032"/>
      <c r="F360" s="651">
        <v>9786.93</v>
      </c>
      <c r="G360" s="651">
        <v>71053.16</v>
      </c>
      <c r="H360" s="1036">
        <v>61266.23</v>
      </c>
      <c r="I360" s="1032"/>
      <c r="J360" s="651">
        <v>0</v>
      </c>
    </row>
    <row r="361" spans="1:10">
      <c r="A361" s="1034"/>
      <c r="B361" s="1034"/>
      <c r="C361" s="650" t="s">
        <v>2895</v>
      </c>
      <c r="D361" s="1033" t="s">
        <v>2118</v>
      </c>
      <c r="E361" s="1032"/>
      <c r="F361" s="651">
        <v>0</v>
      </c>
      <c r="G361" s="651">
        <v>0</v>
      </c>
      <c r="H361" s="1036">
        <v>0</v>
      </c>
      <c r="I361" s="1032"/>
      <c r="J361" s="651">
        <v>0</v>
      </c>
    </row>
    <row r="362" spans="1:10">
      <c r="A362" s="1034"/>
      <c r="B362" s="1034"/>
      <c r="C362" s="650" t="s">
        <v>2896</v>
      </c>
      <c r="D362" s="1033" t="s">
        <v>2119</v>
      </c>
      <c r="E362" s="1032"/>
      <c r="F362" s="651">
        <v>12945.49</v>
      </c>
      <c r="G362" s="651">
        <v>101366.98</v>
      </c>
      <c r="H362" s="1036">
        <v>88421.49</v>
      </c>
      <c r="I362" s="1032"/>
      <c r="J362" s="651">
        <v>0</v>
      </c>
    </row>
    <row r="363" spans="1:10">
      <c r="A363" s="1034"/>
      <c r="B363" s="1034"/>
      <c r="C363" s="650" t="s">
        <v>2897</v>
      </c>
      <c r="D363" s="1033" t="s">
        <v>2120</v>
      </c>
      <c r="E363" s="1032"/>
      <c r="F363" s="651">
        <v>7536.09</v>
      </c>
      <c r="G363" s="651">
        <v>100101.55</v>
      </c>
      <c r="H363" s="1036">
        <v>98937.21</v>
      </c>
      <c r="I363" s="1032"/>
      <c r="J363" s="651">
        <v>6371.75</v>
      </c>
    </row>
    <row r="364" spans="1:10">
      <c r="A364" s="1034"/>
      <c r="B364" s="1034"/>
      <c r="C364" s="650" t="s">
        <v>2898</v>
      </c>
      <c r="D364" s="1033" t="s">
        <v>2121</v>
      </c>
      <c r="E364" s="1032"/>
      <c r="F364" s="651">
        <v>15419.66</v>
      </c>
      <c r="G364" s="651">
        <v>223338.74</v>
      </c>
      <c r="H364" s="1036">
        <v>224944.08</v>
      </c>
      <c r="I364" s="1032"/>
      <c r="J364" s="651">
        <v>17025</v>
      </c>
    </row>
    <row r="365" spans="1:10">
      <c r="A365" s="1034"/>
      <c r="B365" s="1034"/>
      <c r="C365" s="650" t="s">
        <v>2899</v>
      </c>
      <c r="D365" s="1033" t="s">
        <v>2122</v>
      </c>
      <c r="E365" s="1032"/>
      <c r="F365" s="651">
        <v>5800</v>
      </c>
      <c r="G365" s="651">
        <v>109882.42</v>
      </c>
      <c r="H365" s="1036">
        <v>109457.42</v>
      </c>
      <c r="I365" s="1032"/>
      <c r="J365" s="651">
        <v>5375</v>
      </c>
    </row>
    <row r="366" spans="1:10">
      <c r="A366" s="1034"/>
      <c r="B366" s="1034"/>
      <c r="C366" s="650" t="s">
        <v>2900</v>
      </c>
      <c r="D366" s="1033" t="s">
        <v>2123</v>
      </c>
      <c r="E366" s="1032"/>
      <c r="F366" s="651">
        <v>891.57</v>
      </c>
      <c r="G366" s="651">
        <v>12920.58</v>
      </c>
      <c r="H366" s="1036">
        <v>12897.64</v>
      </c>
      <c r="I366" s="1032"/>
      <c r="J366" s="651">
        <v>868.63</v>
      </c>
    </row>
    <row r="367" spans="1:10">
      <c r="A367" s="1034"/>
      <c r="B367" s="1034"/>
      <c r="C367" s="650" t="s">
        <v>3154</v>
      </c>
      <c r="D367" s="1033" t="s">
        <v>3155</v>
      </c>
      <c r="E367" s="1032"/>
      <c r="F367" s="651">
        <v>0</v>
      </c>
      <c r="G367" s="651">
        <v>57.75</v>
      </c>
      <c r="H367" s="1036">
        <v>57.75</v>
      </c>
      <c r="I367" s="1032"/>
      <c r="J367" s="651">
        <v>0</v>
      </c>
    </row>
    <row r="368" spans="1:10">
      <c r="A368" s="1034"/>
      <c r="B368" s="1034"/>
      <c r="C368" s="650" t="s">
        <v>3454</v>
      </c>
      <c r="D368" s="1033" t="s">
        <v>3455</v>
      </c>
      <c r="E368" s="1032"/>
      <c r="F368" s="651">
        <v>0</v>
      </c>
      <c r="G368" s="651">
        <v>72240.679999999993</v>
      </c>
      <c r="H368" s="1036">
        <v>88651.58</v>
      </c>
      <c r="I368" s="1032"/>
      <c r="J368" s="651">
        <v>16410.900000000001</v>
      </c>
    </row>
    <row r="369" spans="1:10">
      <c r="A369" s="1034"/>
      <c r="B369" s="1035"/>
      <c r="C369" s="657" t="s">
        <v>12</v>
      </c>
      <c r="D369" s="1031" t="s">
        <v>111</v>
      </c>
      <c r="E369" s="1032"/>
      <c r="F369" s="658">
        <v>52379.74</v>
      </c>
      <c r="G369" s="658">
        <v>690961.86</v>
      </c>
      <c r="H369" s="1037">
        <v>684633.4</v>
      </c>
      <c r="I369" s="1032"/>
      <c r="J369" s="658">
        <v>46051.28</v>
      </c>
    </row>
    <row r="370" spans="1:10">
      <c r="A370" s="1034"/>
      <c r="B370" s="1033" t="s">
        <v>2901</v>
      </c>
      <c r="C370" s="650" t="s">
        <v>2902</v>
      </c>
      <c r="D370" s="1033" t="s">
        <v>2124</v>
      </c>
      <c r="E370" s="1032"/>
      <c r="F370" s="651">
        <v>-320230.53000000003</v>
      </c>
      <c r="G370" s="651">
        <v>5890811.0899999999</v>
      </c>
      <c r="H370" s="1036">
        <v>5507607.2000000002</v>
      </c>
      <c r="I370" s="1032"/>
      <c r="J370" s="651">
        <v>-703434.42</v>
      </c>
    </row>
    <row r="371" spans="1:10">
      <c r="A371" s="1034"/>
      <c r="B371" s="1034"/>
      <c r="C371" s="650" t="s">
        <v>2903</v>
      </c>
      <c r="D371" s="1033" t="s">
        <v>2125</v>
      </c>
      <c r="E371" s="1032"/>
      <c r="F371" s="651">
        <v>-71723.55</v>
      </c>
      <c r="G371" s="651">
        <v>270426.62</v>
      </c>
      <c r="H371" s="1036">
        <v>105416.92</v>
      </c>
      <c r="I371" s="1032"/>
      <c r="J371" s="651">
        <v>-236733.25</v>
      </c>
    </row>
    <row r="372" spans="1:10">
      <c r="A372" s="1034"/>
      <c r="B372" s="1034"/>
      <c r="C372" s="650" t="s">
        <v>2904</v>
      </c>
      <c r="D372" s="1033" t="s">
        <v>2126</v>
      </c>
      <c r="E372" s="1032"/>
      <c r="F372" s="651">
        <v>-679866.71</v>
      </c>
      <c r="G372" s="651">
        <v>5568449.8399999999</v>
      </c>
      <c r="H372" s="1036">
        <v>6004368.0099999998</v>
      </c>
      <c r="I372" s="1032"/>
      <c r="J372" s="651">
        <v>-243948.54</v>
      </c>
    </row>
    <row r="373" spans="1:10">
      <c r="A373" s="1034"/>
      <c r="B373" s="1034"/>
      <c r="C373" s="650" t="s">
        <v>3456</v>
      </c>
      <c r="D373" s="1033" t="s">
        <v>3457</v>
      </c>
      <c r="E373" s="1032"/>
      <c r="F373" s="651">
        <v>0</v>
      </c>
      <c r="G373" s="651">
        <v>6353.65</v>
      </c>
      <c r="H373" s="1036">
        <v>47904.4</v>
      </c>
      <c r="I373" s="1032"/>
      <c r="J373" s="651">
        <v>41550.75</v>
      </c>
    </row>
    <row r="374" spans="1:10">
      <c r="A374" s="1034"/>
      <c r="B374" s="1034"/>
      <c r="C374" s="650" t="s">
        <v>2905</v>
      </c>
      <c r="D374" s="1033" t="s">
        <v>2127</v>
      </c>
      <c r="E374" s="1032"/>
      <c r="F374" s="651">
        <v>-495071.37</v>
      </c>
      <c r="G374" s="651">
        <v>2928105.86</v>
      </c>
      <c r="H374" s="1036">
        <v>2865658.77</v>
      </c>
      <c r="I374" s="1032"/>
      <c r="J374" s="651">
        <v>-557518.46</v>
      </c>
    </row>
    <row r="375" spans="1:10">
      <c r="A375" s="1034"/>
      <c r="B375" s="1034"/>
      <c r="C375" s="650" t="s">
        <v>2906</v>
      </c>
      <c r="D375" s="1033" t="s">
        <v>2128</v>
      </c>
      <c r="E375" s="1032"/>
      <c r="F375" s="651">
        <v>7921073.0099999998</v>
      </c>
      <c r="G375" s="651">
        <v>3934956.64</v>
      </c>
      <c r="H375" s="1036">
        <v>4808598.16</v>
      </c>
      <c r="I375" s="1032"/>
      <c r="J375" s="651">
        <v>8794714.5299999993</v>
      </c>
    </row>
    <row r="376" spans="1:10">
      <c r="A376" s="1034"/>
      <c r="B376" s="1034"/>
      <c r="C376" s="650" t="s">
        <v>2907</v>
      </c>
      <c r="D376" s="1033" t="s">
        <v>2129</v>
      </c>
      <c r="E376" s="1032"/>
      <c r="F376" s="651">
        <v>-12478.1</v>
      </c>
      <c r="G376" s="651">
        <v>260539.05</v>
      </c>
      <c r="H376" s="1036">
        <v>66383.399999999994</v>
      </c>
      <c r="I376" s="1032"/>
      <c r="J376" s="651">
        <v>-206633.75</v>
      </c>
    </row>
    <row r="377" spans="1:10">
      <c r="A377" s="1034"/>
      <c r="B377" s="1034"/>
      <c r="C377" s="650" t="s">
        <v>2908</v>
      </c>
      <c r="D377" s="1033" t="s">
        <v>2130</v>
      </c>
      <c r="E377" s="1032"/>
      <c r="F377" s="651">
        <v>-1035041.22</v>
      </c>
      <c r="G377" s="651">
        <v>2381231.5099999998</v>
      </c>
      <c r="H377" s="1036">
        <v>2452385.0299999998</v>
      </c>
      <c r="I377" s="1032"/>
      <c r="J377" s="651">
        <v>-963887.7</v>
      </c>
    </row>
    <row r="378" spans="1:10">
      <c r="A378" s="1034"/>
      <c r="B378" s="1034"/>
      <c r="C378" s="650" t="s">
        <v>3458</v>
      </c>
      <c r="D378" s="1033" t="s">
        <v>3459</v>
      </c>
      <c r="E378" s="1032"/>
      <c r="F378" s="651">
        <v>0</v>
      </c>
      <c r="G378" s="651">
        <v>0</v>
      </c>
      <c r="H378" s="1036">
        <v>2083.34</v>
      </c>
      <c r="I378" s="1032"/>
      <c r="J378" s="651">
        <v>2083.34</v>
      </c>
    </row>
    <row r="379" spans="1:10">
      <c r="A379" s="1034"/>
      <c r="B379" s="1035"/>
      <c r="C379" s="657" t="s">
        <v>12</v>
      </c>
      <c r="D379" s="1031" t="s">
        <v>111</v>
      </c>
      <c r="E379" s="1032"/>
      <c r="F379" s="658">
        <v>5306661.53</v>
      </c>
      <c r="G379" s="658">
        <v>21240874.260000002</v>
      </c>
      <c r="H379" s="1037">
        <v>21860405.23</v>
      </c>
      <c r="I379" s="1032"/>
      <c r="J379" s="658">
        <v>5926192.5</v>
      </c>
    </row>
    <row r="380" spans="1:10">
      <c r="A380" s="1034"/>
      <c r="B380" s="1033" t="s">
        <v>2909</v>
      </c>
      <c r="C380" s="650" t="s">
        <v>2910</v>
      </c>
      <c r="D380" s="1033" t="s">
        <v>2131</v>
      </c>
      <c r="E380" s="1032"/>
      <c r="F380" s="651">
        <v>0</v>
      </c>
      <c r="G380" s="651">
        <v>1141027.21</v>
      </c>
      <c r="H380" s="1036">
        <v>1141027.21</v>
      </c>
      <c r="I380" s="1032"/>
      <c r="J380" s="651">
        <v>0</v>
      </c>
    </row>
    <row r="381" spans="1:10">
      <c r="A381" s="1034"/>
      <c r="B381" s="1034"/>
      <c r="C381" s="650" t="s">
        <v>3156</v>
      </c>
      <c r="D381" s="1033" t="s">
        <v>3157</v>
      </c>
      <c r="E381" s="1032"/>
      <c r="F381" s="651">
        <v>0</v>
      </c>
      <c r="G381" s="651">
        <v>1681939.47</v>
      </c>
      <c r="H381" s="1036">
        <v>1681939.47</v>
      </c>
      <c r="I381" s="1032"/>
      <c r="J381" s="651">
        <v>0</v>
      </c>
    </row>
    <row r="382" spans="1:10">
      <c r="A382" s="1034"/>
      <c r="B382" s="1035"/>
      <c r="C382" s="657" t="s">
        <v>12</v>
      </c>
      <c r="D382" s="1031" t="s">
        <v>111</v>
      </c>
      <c r="E382" s="1032"/>
      <c r="F382" s="658">
        <v>0</v>
      </c>
      <c r="G382" s="658">
        <v>2822966.68</v>
      </c>
      <c r="H382" s="1037">
        <v>2822966.68</v>
      </c>
      <c r="I382" s="1032"/>
      <c r="J382" s="658">
        <v>0</v>
      </c>
    </row>
    <row r="383" spans="1:10">
      <c r="A383" s="1034"/>
      <c r="B383" s="1033" t="s">
        <v>3335</v>
      </c>
      <c r="C383" s="650" t="s">
        <v>3158</v>
      </c>
      <c r="D383" s="1033" t="s">
        <v>2010</v>
      </c>
      <c r="E383" s="1032"/>
      <c r="F383" s="651">
        <v>246194.97</v>
      </c>
      <c r="G383" s="651">
        <v>1472833.91</v>
      </c>
      <c r="H383" s="1036">
        <v>1373329.91</v>
      </c>
      <c r="I383" s="1032"/>
      <c r="J383" s="651">
        <v>146690.97</v>
      </c>
    </row>
    <row r="384" spans="1:10">
      <c r="A384" s="1034"/>
      <c r="B384" s="1034"/>
      <c r="C384" s="650" t="s">
        <v>3159</v>
      </c>
      <c r="D384" s="1033" t="s">
        <v>1981</v>
      </c>
      <c r="E384" s="1032"/>
      <c r="F384" s="651">
        <v>10549.1</v>
      </c>
      <c r="G384" s="651">
        <v>28899.52</v>
      </c>
      <c r="H384" s="1036">
        <v>19484.72</v>
      </c>
      <c r="I384" s="1032"/>
      <c r="J384" s="651">
        <v>1134.3</v>
      </c>
    </row>
    <row r="385" spans="1:10">
      <c r="A385" s="1034"/>
      <c r="B385" s="1034"/>
      <c r="C385" s="650" t="s">
        <v>3160</v>
      </c>
      <c r="D385" s="1033" t="s">
        <v>2011</v>
      </c>
      <c r="E385" s="1032"/>
      <c r="F385" s="651">
        <v>73941.2</v>
      </c>
      <c r="G385" s="651">
        <v>562753.55000000005</v>
      </c>
      <c r="H385" s="1036">
        <v>603482.99</v>
      </c>
      <c r="I385" s="1032"/>
      <c r="J385" s="651">
        <v>114670.64</v>
      </c>
    </row>
    <row r="386" spans="1:10">
      <c r="A386" s="1034"/>
      <c r="B386" s="1034"/>
      <c r="C386" s="650" t="s">
        <v>3161</v>
      </c>
      <c r="D386" s="1033" t="s">
        <v>2012</v>
      </c>
      <c r="E386" s="1032"/>
      <c r="F386" s="651">
        <v>83337.990000000005</v>
      </c>
      <c r="G386" s="651">
        <v>347511.38</v>
      </c>
      <c r="H386" s="1036">
        <v>311925.56</v>
      </c>
      <c r="I386" s="1032"/>
      <c r="J386" s="651">
        <v>47752.17</v>
      </c>
    </row>
    <row r="387" spans="1:10">
      <c r="A387" s="1034"/>
      <c r="B387" s="1034"/>
      <c r="C387" s="650" t="s">
        <v>3162</v>
      </c>
      <c r="D387" s="1033" t="s">
        <v>2013</v>
      </c>
      <c r="E387" s="1032"/>
      <c r="F387" s="651">
        <v>47636.58</v>
      </c>
      <c r="G387" s="651">
        <v>385726.2</v>
      </c>
      <c r="H387" s="1036">
        <v>391293.94</v>
      </c>
      <c r="I387" s="1032"/>
      <c r="J387" s="651">
        <v>53204.32</v>
      </c>
    </row>
    <row r="388" spans="1:10">
      <c r="A388" s="1034"/>
      <c r="B388" s="1034"/>
      <c r="C388" s="650" t="s">
        <v>3163</v>
      </c>
      <c r="D388" s="1033" t="s">
        <v>2014</v>
      </c>
      <c r="E388" s="1032"/>
      <c r="F388" s="651">
        <v>227.57</v>
      </c>
      <c r="G388" s="651">
        <v>1920.06</v>
      </c>
      <c r="H388" s="1036">
        <v>1781.15</v>
      </c>
      <c r="I388" s="1032"/>
      <c r="J388" s="651">
        <v>88.66</v>
      </c>
    </row>
    <row r="389" spans="1:10">
      <c r="A389" s="1034"/>
      <c r="B389" s="1034"/>
      <c r="C389" s="650" t="s">
        <v>3164</v>
      </c>
      <c r="D389" s="1033" t="s">
        <v>2015</v>
      </c>
      <c r="E389" s="1032"/>
      <c r="F389" s="651">
        <v>18621.52</v>
      </c>
      <c r="G389" s="651">
        <v>157679.79</v>
      </c>
      <c r="H389" s="1036">
        <v>145859.97</v>
      </c>
      <c r="I389" s="1032"/>
      <c r="J389" s="651">
        <v>6801.7</v>
      </c>
    </row>
    <row r="390" spans="1:10">
      <c r="A390" s="1034"/>
      <c r="B390" s="1035"/>
      <c r="C390" s="657" t="s">
        <v>12</v>
      </c>
      <c r="D390" s="1031" t="s">
        <v>111</v>
      </c>
      <c r="E390" s="1032"/>
      <c r="F390" s="658">
        <v>480508.93</v>
      </c>
      <c r="G390" s="658">
        <v>2957324.41</v>
      </c>
      <c r="H390" s="1037">
        <v>2847158.24</v>
      </c>
      <c r="I390" s="1032"/>
      <c r="J390" s="658">
        <v>370342.76</v>
      </c>
    </row>
    <row r="391" spans="1:10">
      <c r="A391" s="1034"/>
      <c r="B391" s="1033" t="s">
        <v>2911</v>
      </c>
      <c r="C391" s="650" t="s">
        <v>2912</v>
      </c>
      <c r="D391" s="1033" t="s">
        <v>2010</v>
      </c>
      <c r="E391" s="1032"/>
      <c r="F391" s="651">
        <v>254586.95</v>
      </c>
      <c r="G391" s="651">
        <v>1314769.45</v>
      </c>
      <c r="H391" s="1036">
        <v>1187324.05</v>
      </c>
      <c r="I391" s="1032"/>
      <c r="J391" s="651">
        <v>127141.55</v>
      </c>
    </row>
    <row r="392" spans="1:10">
      <c r="A392" s="1034"/>
      <c r="B392" s="1034"/>
      <c r="C392" s="650" t="s">
        <v>3165</v>
      </c>
      <c r="D392" s="1033" t="s">
        <v>1981</v>
      </c>
      <c r="E392" s="1032"/>
      <c r="F392" s="651">
        <v>18493.830000000002</v>
      </c>
      <c r="G392" s="651">
        <v>80230.25</v>
      </c>
      <c r="H392" s="1036">
        <v>62194.239999999998</v>
      </c>
      <c r="I392" s="1032"/>
      <c r="J392" s="651">
        <v>457.82</v>
      </c>
    </row>
    <row r="393" spans="1:10">
      <c r="A393" s="1034"/>
      <c r="B393" s="1034"/>
      <c r="C393" s="650" t="s">
        <v>2913</v>
      </c>
      <c r="D393" s="1033" t="s">
        <v>2011</v>
      </c>
      <c r="E393" s="1032"/>
      <c r="F393" s="651">
        <v>144805.56</v>
      </c>
      <c r="G393" s="651">
        <v>1036223.07</v>
      </c>
      <c r="H393" s="1036">
        <v>1040055.57</v>
      </c>
      <c r="I393" s="1032"/>
      <c r="J393" s="651">
        <v>148638.06</v>
      </c>
    </row>
    <row r="394" spans="1:10">
      <c r="A394" s="1034"/>
      <c r="B394" s="1034"/>
      <c r="C394" s="650" t="s">
        <v>2914</v>
      </c>
      <c r="D394" s="1033" t="s">
        <v>2012</v>
      </c>
      <c r="E394" s="1032"/>
      <c r="F394" s="651">
        <v>86194.47</v>
      </c>
      <c r="G394" s="651">
        <v>388574.32</v>
      </c>
      <c r="H394" s="1036">
        <v>341075.76</v>
      </c>
      <c r="I394" s="1032"/>
      <c r="J394" s="651">
        <v>38695.910000000003</v>
      </c>
    </row>
    <row r="395" spans="1:10">
      <c r="A395" s="1034"/>
      <c r="B395" s="1034"/>
      <c r="C395" s="650" t="s">
        <v>2915</v>
      </c>
      <c r="D395" s="1033" t="s">
        <v>2013</v>
      </c>
      <c r="E395" s="1032"/>
      <c r="F395" s="651">
        <v>42265.51</v>
      </c>
      <c r="G395" s="651">
        <v>252455.92</v>
      </c>
      <c r="H395" s="1036">
        <v>233444.09</v>
      </c>
      <c r="I395" s="1032"/>
      <c r="J395" s="651">
        <v>23253.68</v>
      </c>
    </row>
    <row r="396" spans="1:10">
      <c r="A396" s="1034"/>
      <c r="B396" s="1034"/>
      <c r="C396" s="650" t="s">
        <v>2916</v>
      </c>
      <c r="D396" s="1033" t="s">
        <v>2014</v>
      </c>
      <c r="E396" s="1032"/>
      <c r="F396" s="651">
        <v>5771.01</v>
      </c>
      <c r="G396" s="651">
        <v>6750.72</v>
      </c>
      <c r="H396" s="1036">
        <v>991.88</v>
      </c>
      <c r="I396" s="1032"/>
      <c r="J396" s="651">
        <v>12.17</v>
      </c>
    </row>
    <row r="397" spans="1:10">
      <c r="A397" s="1034"/>
      <c r="B397" s="1034"/>
      <c r="C397" s="650" t="s">
        <v>3166</v>
      </c>
      <c r="D397" s="1033" t="s">
        <v>2015</v>
      </c>
      <c r="E397" s="1032"/>
      <c r="F397" s="651">
        <v>6446.91</v>
      </c>
      <c r="G397" s="651">
        <v>23627.8</v>
      </c>
      <c r="H397" s="1036">
        <v>17180.89</v>
      </c>
      <c r="I397" s="1032"/>
      <c r="J397" s="651">
        <v>0</v>
      </c>
    </row>
    <row r="398" spans="1:10">
      <c r="A398" s="1034"/>
      <c r="B398" s="1035"/>
      <c r="C398" s="657" t="s">
        <v>12</v>
      </c>
      <c r="D398" s="1031" t="s">
        <v>111</v>
      </c>
      <c r="E398" s="1032"/>
      <c r="F398" s="658">
        <v>558564.24</v>
      </c>
      <c r="G398" s="658">
        <v>3102631.53</v>
      </c>
      <c r="H398" s="1037">
        <v>2882266.48</v>
      </c>
      <c r="I398" s="1032"/>
      <c r="J398" s="658">
        <v>338199.19</v>
      </c>
    </row>
    <row r="399" spans="1:10">
      <c r="A399" s="1034"/>
      <c r="B399" s="1033" t="s">
        <v>3460</v>
      </c>
      <c r="C399" s="650" t="s">
        <v>3461</v>
      </c>
      <c r="D399" s="1033" t="s">
        <v>3462</v>
      </c>
      <c r="E399" s="1032"/>
      <c r="F399" s="651">
        <v>0</v>
      </c>
      <c r="G399" s="651">
        <v>1124105.3</v>
      </c>
      <c r="H399" s="1036">
        <v>1232407.3</v>
      </c>
      <c r="I399" s="1032"/>
      <c r="J399" s="651">
        <v>108302</v>
      </c>
    </row>
    <row r="400" spans="1:10">
      <c r="A400" s="1034"/>
      <c r="B400" s="1034"/>
      <c r="C400" s="650" t="s">
        <v>3463</v>
      </c>
      <c r="D400" s="1033" t="s">
        <v>3464</v>
      </c>
      <c r="E400" s="1032"/>
      <c r="F400" s="651">
        <v>0</v>
      </c>
      <c r="G400" s="651">
        <v>1192937.2</v>
      </c>
      <c r="H400" s="1036">
        <v>1628562.87</v>
      </c>
      <c r="I400" s="1032"/>
      <c r="J400" s="651">
        <v>435625.67</v>
      </c>
    </row>
    <row r="401" spans="1:10">
      <c r="A401" s="1034"/>
      <c r="B401" s="1035"/>
      <c r="C401" s="657" t="s">
        <v>12</v>
      </c>
      <c r="D401" s="1031" t="s">
        <v>111</v>
      </c>
      <c r="E401" s="1032"/>
      <c r="F401" s="658">
        <v>0</v>
      </c>
      <c r="G401" s="658">
        <v>2317042.5</v>
      </c>
      <c r="H401" s="1037">
        <v>2860970.17</v>
      </c>
      <c r="I401" s="1032"/>
      <c r="J401" s="658">
        <v>543927.67000000004</v>
      </c>
    </row>
    <row r="402" spans="1:10">
      <c r="A402" s="1034"/>
      <c r="B402" s="1033" t="s">
        <v>2917</v>
      </c>
      <c r="C402" s="650" t="s">
        <v>2918</v>
      </c>
      <c r="D402" s="1033" t="s">
        <v>2132</v>
      </c>
      <c r="E402" s="1032"/>
      <c r="F402" s="651">
        <v>362043729.43000001</v>
      </c>
      <c r="G402" s="651">
        <v>0</v>
      </c>
      <c r="H402" s="1036">
        <v>329276149.60000002</v>
      </c>
      <c r="I402" s="1032"/>
      <c r="J402" s="651">
        <v>691319879.02999997</v>
      </c>
    </row>
    <row r="403" spans="1:10">
      <c r="A403" s="1034"/>
      <c r="B403" s="1035"/>
      <c r="C403" s="657" t="s">
        <v>12</v>
      </c>
      <c r="D403" s="1031" t="s">
        <v>111</v>
      </c>
      <c r="E403" s="1032"/>
      <c r="F403" s="658">
        <v>362043729.43000001</v>
      </c>
      <c r="G403" s="658">
        <v>0</v>
      </c>
      <c r="H403" s="1037">
        <v>329276149.60000002</v>
      </c>
      <c r="I403" s="1032"/>
      <c r="J403" s="658">
        <v>691319879.02999997</v>
      </c>
    </row>
    <row r="404" spans="1:10">
      <c r="A404" s="1034"/>
      <c r="B404" s="1033" t="s">
        <v>2919</v>
      </c>
      <c r="C404" s="650" t="s">
        <v>2920</v>
      </c>
      <c r="D404" s="1033" t="s">
        <v>2133</v>
      </c>
      <c r="E404" s="1032"/>
      <c r="F404" s="651">
        <v>-1910147.61</v>
      </c>
      <c r="G404" s="651">
        <v>5186835.53</v>
      </c>
      <c r="H404" s="1036">
        <v>9878485.1400000006</v>
      </c>
      <c r="I404" s="1032"/>
      <c r="J404" s="651">
        <f>2781502-912209</f>
        <v>1869293</v>
      </c>
    </row>
    <row r="405" spans="1:10">
      <c r="A405" s="1034"/>
      <c r="B405" s="1034"/>
      <c r="C405" s="650" t="s">
        <v>2921</v>
      </c>
      <c r="D405" s="1033" t="s">
        <v>2134</v>
      </c>
      <c r="E405" s="1032"/>
      <c r="F405" s="651">
        <v>52490.71</v>
      </c>
      <c r="G405" s="651">
        <v>410630.31</v>
      </c>
      <c r="H405" s="1036">
        <v>364775.2</v>
      </c>
      <c r="I405" s="1032"/>
      <c r="J405" s="651">
        <v>6635.6</v>
      </c>
    </row>
    <row r="406" spans="1:10">
      <c r="A406" s="1034"/>
      <c r="B406" s="1034"/>
      <c r="C406" s="650" t="s">
        <v>2922</v>
      </c>
      <c r="D406" s="1033" t="s">
        <v>2135</v>
      </c>
      <c r="E406" s="1032"/>
      <c r="F406" s="651">
        <v>385179.45</v>
      </c>
      <c r="G406" s="651">
        <v>5296404.17</v>
      </c>
      <c r="H406" s="1036">
        <v>5365140.53</v>
      </c>
      <c r="I406" s="1032"/>
      <c r="J406" s="651">
        <v>453915.81</v>
      </c>
    </row>
    <row r="407" spans="1:10">
      <c r="A407" s="1034"/>
      <c r="B407" s="1034"/>
      <c r="C407" s="650" t="s">
        <v>3465</v>
      </c>
      <c r="D407" s="1033" t="s">
        <v>3466</v>
      </c>
      <c r="E407" s="1032"/>
      <c r="F407" s="651">
        <v>0</v>
      </c>
      <c r="G407" s="651">
        <v>12133.44</v>
      </c>
      <c r="H407" s="1036">
        <v>12133.44</v>
      </c>
      <c r="I407" s="1032"/>
      <c r="J407" s="651">
        <v>0</v>
      </c>
    </row>
    <row r="408" spans="1:10">
      <c r="A408" s="1034"/>
      <c r="B408" s="1034"/>
      <c r="C408" s="650" t="s">
        <v>2923</v>
      </c>
      <c r="D408" s="1033" t="s">
        <v>2136</v>
      </c>
      <c r="E408" s="1032"/>
      <c r="F408" s="651">
        <v>131459.23000000001</v>
      </c>
      <c r="G408" s="651">
        <v>170665.11</v>
      </c>
      <c r="H408" s="1036">
        <v>403014.83</v>
      </c>
      <c r="I408" s="1032"/>
      <c r="J408" s="651">
        <v>363808.95</v>
      </c>
    </row>
    <row r="409" spans="1:10">
      <c r="A409" s="1034"/>
      <c r="B409" s="1034"/>
      <c r="C409" s="650" t="s">
        <v>2924</v>
      </c>
      <c r="D409" s="1033" t="s">
        <v>2137</v>
      </c>
      <c r="E409" s="1032"/>
      <c r="F409" s="651">
        <v>1770555.25</v>
      </c>
      <c r="G409" s="651">
        <v>7011033.96</v>
      </c>
      <c r="H409" s="1036">
        <v>6764358.3799999999</v>
      </c>
      <c r="I409" s="1032"/>
      <c r="J409" s="651">
        <v>1523879.67</v>
      </c>
    </row>
    <row r="410" spans="1:10">
      <c r="A410" s="1034"/>
      <c r="B410" s="1034"/>
      <c r="C410" s="650" t="s">
        <v>3167</v>
      </c>
      <c r="D410" s="1033" t="s">
        <v>3168</v>
      </c>
      <c r="E410" s="1032"/>
      <c r="F410" s="651">
        <v>267328.14</v>
      </c>
      <c r="G410" s="651">
        <v>1438342.77</v>
      </c>
      <c r="H410" s="1036">
        <v>2831088.7</v>
      </c>
      <c r="I410" s="1032"/>
      <c r="J410" s="651">
        <v>1660074.07</v>
      </c>
    </row>
    <row r="411" spans="1:10">
      <c r="A411" s="1034"/>
      <c r="B411" s="1034"/>
      <c r="C411" s="650" t="s">
        <v>3467</v>
      </c>
      <c r="D411" s="1033" t="s">
        <v>3468</v>
      </c>
      <c r="E411" s="1032"/>
      <c r="F411" s="651">
        <v>0</v>
      </c>
      <c r="G411" s="651">
        <v>45535.46</v>
      </c>
      <c r="H411" s="1036">
        <v>68825.81</v>
      </c>
      <c r="I411" s="1032"/>
      <c r="J411" s="651">
        <v>23290.35</v>
      </c>
    </row>
    <row r="412" spans="1:10">
      <c r="A412" s="1034"/>
      <c r="B412" s="1035"/>
      <c r="C412" s="657" t="s">
        <v>12</v>
      </c>
      <c r="D412" s="1031" t="s">
        <v>111</v>
      </c>
      <c r="E412" s="1032"/>
      <c r="F412" s="658">
        <v>696865.17</v>
      </c>
      <c r="G412" s="658">
        <v>19571580.75</v>
      </c>
      <c r="H412" s="1037">
        <v>25687822.030000001</v>
      </c>
      <c r="I412" s="1032"/>
      <c r="J412" s="658">
        <v>6813106.4500000002</v>
      </c>
    </row>
    <row r="413" spans="1:10">
      <c r="A413" s="1034"/>
      <c r="B413" s="1033" t="s">
        <v>2925</v>
      </c>
      <c r="C413" s="650" t="s">
        <v>2926</v>
      </c>
      <c r="D413" s="1033" t="s">
        <v>2138</v>
      </c>
      <c r="E413" s="1032"/>
      <c r="F413" s="651">
        <v>275000</v>
      </c>
      <c r="G413" s="651">
        <v>275000</v>
      </c>
      <c r="H413" s="1036">
        <v>0</v>
      </c>
      <c r="I413" s="1032"/>
      <c r="J413" s="651">
        <v>0</v>
      </c>
    </row>
    <row r="414" spans="1:10">
      <c r="A414" s="1034"/>
      <c r="B414" s="1034"/>
      <c r="C414" s="650" t="s">
        <v>2927</v>
      </c>
      <c r="D414" s="1033" t="s">
        <v>2139</v>
      </c>
      <c r="E414" s="1032"/>
      <c r="F414" s="651">
        <v>0</v>
      </c>
      <c r="G414" s="651">
        <v>825972.78</v>
      </c>
      <c r="H414" s="1036">
        <v>825972.78</v>
      </c>
      <c r="I414" s="1032"/>
      <c r="J414" s="651">
        <v>0</v>
      </c>
    </row>
    <row r="415" spans="1:10">
      <c r="A415" s="1034"/>
      <c r="B415" s="1034"/>
      <c r="C415" s="650" t="s">
        <v>2928</v>
      </c>
      <c r="D415" s="1033" t="s">
        <v>2140</v>
      </c>
      <c r="E415" s="1032"/>
      <c r="F415" s="651">
        <v>185379.02</v>
      </c>
      <c r="G415" s="651">
        <v>367141.66</v>
      </c>
      <c r="H415" s="1036">
        <v>504000</v>
      </c>
      <c r="I415" s="1032"/>
      <c r="J415" s="651">
        <v>322237.36</v>
      </c>
    </row>
    <row r="416" spans="1:10">
      <c r="A416" s="1034"/>
      <c r="B416" s="1034"/>
      <c r="C416" s="650" t="s">
        <v>2929</v>
      </c>
      <c r="D416" s="1033" t="s">
        <v>2141</v>
      </c>
      <c r="E416" s="1032"/>
      <c r="F416" s="651">
        <v>2095323.57</v>
      </c>
      <c r="G416" s="651">
        <v>2250051.59</v>
      </c>
      <c r="H416" s="1036">
        <v>2823913.48</v>
      </c>
      <c r="I416" s="1032"/>
      <c r="J416" s="651">
        <v>2669185.46</v>
      </c>
    </row>
    <row r="417" spans="1:10">
      <c r="A417" s="1034"/>
      <c r="B417" s="1034"/>
      <c r="C417" s="650" t="s">
        <v>2930</v>
      </c>
      <c r="D417" s="1033" t="s">
        <v>3169</v>
      </c>
      <c r="E417" s="1032"/>
      <c r="F417" s="651">
        <v>313808.65000000002</v>
      </c>
      <c r="G417" s="651">
        <v>630661.71</v>
      </c>
      <c r="H417" s="1036">
        <v>705324.99</v>
      </c>
      <c r="I417" s="1032"/>
      <c r="J417" s="651">
        <v>388471.93</v>
      </c>
    </row>
    <row r="418" spans="1:10">
      <c r="A418" s="1034"/>
      <c r="B418" s="1034"/>
      <c r="C418" s="650" t="s">
        <v>3170</v>
      </c>
      <c r="D418" s="1033" t="s">
        <v>3171</v>
      </c>
      <c r="E418" s="1032"/>
      <c r="F418" s="651">
        <v>0</v>
      </c>
      <c r="G418" s="651">
        <v>15214.27</v>
      </c>
      <c r="H418" s="1036">
        <v>15214.27</v>
      </c>
      <c r="I418" s="1032"/>
      <c r="J418" s="651">
        <v>0</v>
      </c>
    </row>
    <row r="419" spans="1:10">
      <c r="A419" s="1034"/>
      <c r="B419" s="1034"/>
      <c r="C419" s="650" t="s">
        <v>2931</v>
      </c>
      <c r="D419" s="1033" t="s">
        <v>2143</v>
      </c>
      <c r="E419" s="1032"/>
      <c r="F419" s="651">
        <v>0</v>
      </c>
      <c r="G419" s="651">
        <v>17514.27</v>
      </c>
      <c r="H419" s="1036">
        <v>17514.27</v>
      </c>
      <c r="I419" s="1032"/>
      <c r="J419" s="651">
        <v>0</v>
      </c>
    </row>
    <row r="420" spans="1:10">
      <c r="A420" s="1034"/>
      <c r="B420" s="1034"/>
      <c r="C420" s="650" t="s">
        <v>3172</v>
      </c>
      <c r="D420" s="1033" t="s">
        <v>3173</v>
      </c>
      <c r="E420" s="1032"/>
      <c r="F420" s="651">
        <v>0</v>
      </c>
      <c r="G420" s="651">
        <v>0</v>
      </c>
      <c r="H420" s="1036">
        <v>0</v>
      </c>
      <c r="I420" s="1032"/>
      <c r="J420" s="651">
        <v>0</v>
      </c>
    </row>
    <row r="421" spans="1:10">
      <c r="A421" s="1034"/>
      <c r="B421" s="1034"/>
      <c r="C421" s="650" t="s">
        <v>3469</v>
      </c>
      <c r="D421" s="1033" t="s">
        <v>3470</v>
      </c>
      <c r="E421" s="1032"/>
      <c r="F421" s="651">
        <v>0</v>
      </c>
      <c r="G421" s="651">
        <v>158755.69</v>
      </c>
      <c r="H421" s="1036">
        <v>158755.69</v>
      </c>
      <c r="I421" s="1032"/>
      <c r="J421" s="651">
        <v>0</v>
      </c>
    </row>
    <row r="422" spans="1:10">
      <c r="A422" s="1034"/>
      <c r="B422" s="1034"/>
      <c r="C422" s="650" t="s">
        <v>3471</v>
      </c>
      <c r="D422" s="1033" t="s">
        <v>3472</v>
      </c>
      <c r="E422" s="1032"/>
      <c r="F422" s="651">
        <v>0</v>
      </c>
      <c r="G422" s="651">
        <v>59445.2</v>
      </c>
      <c r="H422" s="1036">
        <v>44468.67</v>
      </c>
      <c r="I422" s="1032"/>
      <c r="J422" s="651">
        <v>-14976.53</v>
      </c>
    </row>
    <row r="423" spans="1:10">
      <c r="A423" s="1034"/>
      <c r="B423" s="1035"/>
      <c r="C423" s="657" t="s">
        <v>12</v>
      </c>
      <c r="D423" s="1031" t="s">
        <v>111</v>
      </c>
      <c r="E423" s="1032"/>
      <c r="F423" s="658">
        <v>2869511.24</v>
      </c>
      <c r="G423" s="658">
        <v>4599757.17</v>
      </c>
      <c r="H423" s="1037">
        <v>5095164.1500000004</v>
      </c>
      <c r="I423" s="1032"/>
      <c r="J423" s="658">
        <v>3364918.22</v>
      </c>
    </row>
    <row r="424" spans="1:10">
      <c r="A424" s="1034"/>
      <c r="B424" s="1033" t="s">
        <v>2932</v>
      </c>
      <c r="C424" s="650" t="s">
        <v>2933</v>
      </c>
      <c r="D424" s="1033" t="s">
        <v>2144</v>
      </c>
      <c r="E424" s="1032"/>
      <c r="F424" s="651">
        <v>0</v>
      </c>
      <c r="G424" s="651">
        <v>19434163.390000001</v>
      </c>
      <c r="H424" s="1036">
        <v>19434163.390000001</v>
      </c>
      <c r="I424" s="1032"/>
      <c r="J424" s="651">
        <v>0</v>
      </c>
    </row>
    <row r="425" spans="1:10">
      <c r="A425" s="1034"/>
      <c r="B425" s="1034"/>
      <c r="C425" s="650" t="s">
        <v>2934</v>
      </c>
      <c r="D425" s="1033" t="s">
        <v>2145</v>
      </c>
      <c r="E425" s="1032"/>
      <c r="F425" s="651">
        <v>181268.45</v>
      </c>
      <c r="G425" s="651">
        <v>2546997.61</v>
      </c>
      <c r="H425" s="1036">
        <v>2845405.95</v>
      </c>
      <c r="I425" s="1032"/>
      <c r="J425" s="651">
        <v>479676.79</v>
      </c>
    </row>
    <row r="426" spans="1:10">
      <c r="A426" s="1034"/>
      <c r="B426" s="1034"/>
      <c r="C426" s="650" t="s">
        <v>2935</v>
      </c>
      <c r="D426" s="1033" t="s">
        <v>2146</v>
      </c>
      <c r="E426" s="1032"/>
      <c r="F426" s="651">
        <v>9240.68</v>
      </c>
      <c r="G426" s="651">
        <v>621957.99</v>
      </c>
      <c r="H426" s="1036">
        <v>644193.07999999996</v>
      </c>
      <c r="I426" s="1032"/>
      <c r="J426" s="651">
        <v>31475.77</v>
      </c>
    </row>
    <row r="427" spans="1:10">
      <c r="A427" s="1034"/>
      <c r="B427" s="1034"/>
      <c r="C427" s="650" t="s">
        <v>2936</v>
      </c>
      <c r="D427" s="1033" t="s">
        <v>2147</v>
      </c>
      <c r="E427" s="1032"/>
      <c r="F427" s="651">
        <v>5597426.21</v>
      </c>
      <c r="G427" s="651">
        <v>3627400.96</v>
      </c>
      <c r="H427" s="1036">
        <v>4633322.68</v>
      </c>
      <c r="I427" s="1032"/>
      <c r="J427" s="651">
        <v>6603347.9299999997</v>
      </c>
    </row>
    <row r="428" spans="1:10">
      <c r="A428" s="1034"/>
      <c r="B428" s="1034"/>
      <c r="C428" s="650" t="s">
        <v>2937</v>
      </c>
      <c r="D428" s="1033" t="s">
        <v>2148</v>
      </c>
      <c r="E428" s="1032"/>
      <c r="F428" s="651">
        <v>3120</v>
      </c>
      <c r="G428" s="651">
        <v>9253</v>
      </c>
      <c r="H428" s="1036">
        <v>6133</v>
      </c>
      <c r="I428" s="1032"/>
      <c r="J428" s="651">
        <v>0</v>
      </c>
    </row>
    <row r="429" spans="1:10">
      <c r="A429" s="1034"/>
      <c r="B429" s="1034"/>
      <c r="C429" s="650" t="s">
        <v>2938</v>
      </c>
      <c r="D429" s="1033" t="s">
        <v>2149</v>
      </c>
      <c r="E429" s="1032"/>
      <c r="F429" s="651">
        <v>477741.22</v>
      </c>
      <c r="G429" s="651">
        <v>5727762.4199999999</v>
      </c>
      <c r="H429" s="1036">
        <v>5616054.0300000003</v>
      </c>
      <c r="I429" s="1032"/>
      <c r="J429" s="651">
        <v>366032.83</v>
      </c>
    </row>
    <row r="430" spans="1:10">
      <c r="A430" s="1034"/>
      <c r="B430" s="1034"/>
      <c r="C430" s="650" t="s">
        <v>3473</v>
      </c>
      <c r="D430" s="1033" t="s">
        <v>3474</v>
      </c>
      <c r="E430" s="1032"/>
      <c r="F430" s="651">
        <v>0</v>
      </c>
      <c r="G430" s="651">
        <v>68937.5</v>
      </c>
      <c r="H430" s="1036">
        <v>68937.5</v>
      </c>
      <c r="I430" s="1032"/>
      <c r="J430" s="651">
        <v>0</v>
      </c>
    </row>
    <row r="431" spans="1:10">
      <c r="A431" s="1034"/>
      <c r="B431" s="1034"/>
      <c r="C431" s="650" t="s">
        <v>3475</v>
      </c>
      <c r="D431" s="1033" t="s">
        <v>3476</v>
      </c>
      <c r="E431" s="1032"/>
      <c r="F431" s="651">
        <v>0</v>
      </c>
      <c r="G431" s="651">
        <v>91013.53</v>
      </c>
      <c r="H431" s="1036">
        <v>157622.70000000001</v>
      </c>
      <c r="I431" s="1032"/>
      <c r="J431" s="651">
        <v>66609.17</v>
      </c>
    </row>
    <row r="432" spans="1:10">
      <c r="A432" s="1034"/>
      <c r="B432" s="1035"/>
      <c r="C432" s="657" t="s">
        <v>12</v>
      </c>
      <c r="D432" s="1031" t="s">
        <v>111</v>
      </c>
      <c r="E432" s="1032"/>
      <c r="F432" s="658">
        <v>6268796.5599999996</v>
      </c>
      <c r="G432" s="658">
        <v>32127486.399999999</v>
      </c>
      <c r="H432" s="1037">
        <v>33405832.329999998</v>
      </c>
      <c r="I432" s="1032"/>
      <c r="J432" s="658">
        <v>7547142.4900000002</v>
      </c>
    </row>
    <row r="433" spans="1:10">
      <c r="A433" s="1034"/>
      <c r="B433" s="1033" t="s">
        <v>2939</v>
      </c>
      <c r="C433" s="650" t="s">
        <v>2940</v>
      </c>
      <c r="D433" s="1033" t="s">
        <v>2150</v>
      </c>
      <c r="E433" s="1032"/>
      <c r="F433" s="651">
        <v>0</v>
      </c>
      <c r="G433" s="651">
        <v>841.95</v>
      </c>
      <c r="H433" s="1036">
        <v>841.95</v>
      </c>
      <c r="I433" s="1032"/>
      <c r="J433" s="651">
        <v>0</v>
      </c>
    </row>
    <row r="434" spans="1:10">
      <c r="A434" s="1034"/>
      <c r="B434" s="1034"/>
      <c r="C434" s="650" t="s">
        <v>2941</v>
      </c>
      <c r="D434" s="1033" t="s">
        <v>2151</v>
      </c>
      <c r="E434" s="1032"/>
      <c r="F434" s="651">
        <v>0</v>
      </c>
      <c r="G434" s="651">
        <v>0</v>
      </c>
      <c r="H434" s="1036">
        <v>0</v>
      </c>
      <c r="I434" s="1032"/>
      <c r="J434" s="651">
        <v>0</v>
      </c>
    </row>
    <row r="435" spans="1:10">
      <c r="A435" s="1034"/>
      <c r="B435" s="1034"/>
      <c r="C435" s="650" t="s">
        <v>2942</v>
      </c>
      <c r="D435" s="1033" t="s">
        <v>2152</v>
      </c>
      <c r="E435" s="1032"/>
      <c r="F435" s="651">
        <v>0</v>
      </c>
      <c r="G435" s="651">
        <v>65967806.210000001</v>
      </c>
      <c r="H435" s="1036">
        <v>65967806.210000001</v>
      </c>
      <c r="I435" s="1032"/>
      <c r="J435" s="651">
        <v>0</v>
      </c>
    </row>
    <row r="436" spans="1:10">
      <c r="A436" s="1034"/>
      <c r="B436" s="1034"/>
      <c r="C436" s="650" t="s">
        <v>2943</v>
      </c>
      <c r="D436" s="1033" t="s">
        <v>2153</v>
      </c>
      <c r="E436" s="1032"/>
      <c r="F436" s="651">
        <v>0</v>
      </c>
      <c r="G436" s="651">
        <v>6480.32</v>
      </c>
      <c r="H436" s="1036">
        <v>6481.33</v>
      </c>
      <c r="I436" s="1032"/>
      <c r="J436" s="651">
        <v>1.01</v>
      </c>
    </row>
    <row r="437" spans="1:10">
      <c r="A437" s="1034"/>
      <c r="B437" s="1034"/>
      <c r="C437" s="650" t="s">
        <v>2944</v>
      </c>
      <c r="D437" s="1033" t="s">
        <v>2154</v>
      </c>
      <c r="E437" s="1032"/>
      <c r="F437" s="651">
        <v>-563297.91</v>
      </c>
      <c r="G437" s="651">
        <v>9177.02</v>
      </c>
      <c r="H437" s="1036">
        <v>572927.23</v>
      </c>
      <c r="I437" s="1032"/>
      <c r="J437" s="651">
        <v>452.3</v>
      </c>
    </row>
    <row r="438" spans="1:10">
      <c r="A438" s="1034"/>
      <c r="B438" s="1034"/>
      <c r="C438" s="650" t="s">
        <v>3174</v>
      </c>
      <c r="D438" s="1033" t="s">
        <v>3175</v>
      </c>
      <c r="E438" s="1032"/>
      <c r="F438" s="651">
        <v>188044.39</v>
      </c>
      <c r="G438" s="651">
        <v>9605452.6600000001</v>
      </c>
      <c r="H438" s="1036">
        <v>9424572.4000000004</v>
      </c>
      <c r="I438" s="1032"/>
      <c r="J438" s="651">
        <v>7164.13</v>
      </c>
    </row>
    <row r="439" spans="1:10">
      <c r="A439" s="1034"/>
      <c r="B439" s="1034"/>
      <c r="C439" s="650" t="s">
        <v>2945</v>
      </c>
      <c r="D439" s="1033" t="s">
        <v>2155</v>
      </c>
      <c r="E439" s="1032"/>
      <c r="F439" s="651">
        <v>1118932.8600000001</v>
      </c>
      <c r="G439" s="651">
        <v>16312996.16</v>
      </c>
      <c r="H439" s="1036">
        <v>15194063.65</v>
      </c>
      <c r="I439" s="1032"/>
      <c r="J439" s="651">
        <v>0.35</v>
      </c>
    </row>
    <row r="440" spans="1:10">
      <c r="A440" s="1034"/>
      <c r="B440" s="1034"/>
      <c r="C440" s="650" t="s">
        <v>2946</v>
      </c>
      <c r="D440" s="1033" t="s">
        <v>2156</v>
      </c>
      <c r="E440" s="1032"/>
      <c r="F440" s="651">
        <v>549928.27</v>
      </c>
      <c r="G440" s="651">
        <v>266452.92</v>
      </c>
      <c r="H440" s="1036">
        <v>60894.91</v>
      </c>
      <c r="I440" s="1032"/>
      <c r="J440" s="651">
        <v>344370.26</v>
      </c>
    </row>
    <row r="441" spans="1:10">
      <c r="A441" s="1034"/>
      <c r="B441" s="1034"/>
      <c r="C441" s="650" t="s">
        <v>3176</v>
      </c>
      <c r="D441" s="1033" t="s">
        <v>3177</v>
      </c>
      <c r="E441" s="1032"/>
      <c r="F441" s="651">
        <v>346442.06</v>
      </c>
      <c r="G441" s="651">
        <v>4297.45</v>
      </c>
      <c r="H441" s="1036">
        <v>0.61</v>
      </c>
      <c r="I441" s="1032"/>
      <c r="J441" s="651">
        <v>342145.22</v>
      </c>
    </row>
    <row r="442" spans="1:10">
      <c r="A442" s="1034"/>
      <c r="B442" s="1035"/>
      <c r="C442" s="657" t="s">
        <v>12</v>
      </c>
      <c r="D442" s="1031" t="s">
        <v>111</v>
      </c>
      <c r="E442" s="1032"/>
      <c r="F442" s="658">
        <v>1640049.67</v>
      </c>
      <c r="G442" s="658">
        <v>92173504.689999998</v>
      </c>
      <c r="H442" s="1037">
        <v>91227588.290000007</v>
      </c>
      <c r="I442" s="1032"/>
      <c r="J442" s="658">
        <v>694133.27</v>
      </c>
    </row>
    <row r="443" spans="1:10">
      <c r="A443" s="1034"/>
      <c r="B443" s="1033" t="s">
        <v>2947</v>
      </c>
      <c r="C443" s="650" t="s">
        <v>2948</v>
      </c>
      <c r="D443" s="1033" t="s">
        <v>2157</v>
      </c>
      <c r="E443" s="1032"/>
      <c r="F443" s="651">
        <v>136096.31</v>
      </c>
      <c r="G443" s="651">
        <v>1523342.96</v>
      </c>
      <c r="H443" s="1036">
        <v>931040.58</v>
      </c>
      <c r="I443" s="1032"/>
      <c r="J443" s="651">
        <v>-456206.07</v>
      </c>
    </row>
    <row r="444" spans="1:10">
      <c r="A444" s="1034"/>
      <c r="B444" s="1034"/>
      <c r="C444" s="650" t="s">
        <v>2949</v>
      </c>
      <c r="D444" s="1033" t="s">
        <v>2158</v>
      </c>
      <c r="E444" s="1032"/>
      <c r="F444" s="651">
        <v>291351.84999999998</v>
      </c>
      <c r="G444" s="651">
        <v>778639.02</v>
      </c>
      <c r="H444" s="1036">
        <v>602728.86</v>
      </c>
      <c r="I444" s="1032"/>
      <c r="J444" s="651">
        <v>115441.69</v>
      </c>
    </row>
    <row r="445" spans="1:10">
      <c r="A445" s="1034"/>
      <c r="B445" s="1034"/>
      <c r="C445" s="650" t="s">
        <v>2950</v>
      </c>
      <c r="D445" s="1033" t="s">
        <v>2159</v>
      </c>
      <c r="E445" s="1032"/>
      <c r="F445" s="651">
        <v>57950.1</v>
      </c>
      <c r="G445" s="651">
        <v>0</v>
      </c>
      <c r="H445" s="1036">
        <v>0</v>
      </c>
      <c r="I445" s="1032"/>
      <c r="J445" s="651">
        <v>57950.1</v>
      </c>
    </row>
    <row r="446" spans="1:10">
      <c r="A446" s="1034"/>
      <c r="B446" s="1034"/>
      <c r="C446" s="650" t="s">
        <v>2951</v>
      </c>
      <c r="D446" s="1033" t="s">
        <v>2160</v>
      </c>
      <c r="E446" s="1032"/>
      <c r="F446" s="651">
        <v>28737.09</v>
      </c>
      <c r="G446" s="651">
        <v>0</v>
      </c>
      <c r="H446" s="1036">
        <v>0</v>
      </c>
      <c r="I446" s="1032"/>
      <c r="J446" s="651">
        <v>28737.09</v>
      </c>
    </row>
    <row r="447" spans="1:10">
      <c r="A447" s="1034"/>
      <c r="B447" s="1034"/>
      <c r="C447" s="650" t="s">
        <v>2952</v>
      </c>
      <c r="D447" s="1033" t="s">
        <v>2161</v>
      </c>
      <c r="E447" s="1032"/>
      <c r="F447" s="651">
        <v>678838.95</v>
      </c>
      <c r="G447" s="651">
        <v>1518847.81</v>
      </c>
      <c r="H447" s="1036">
        <v>1143775.72</v>
      </c>
      <c r="I447" s="1032"/>
      <c r="J447" s="651">
        <v>303766.86</v>
      </c>
    </row>
    <row r="448" spans="1:10">
      <c r="A448" s="1034"/>
      <c r="B448" s="1034"/>
      <c r="C448" s="650" t="s">
        <v>2953</v>
      </c>
      <c r="D448" s="1033" t="s">
        <v>2162</v>
      </c>
      <c r="E448" s="1032"/>
      <c r="F448" s="651">
        <v>433880.18</v>
      </c>
      <c r="G448" s="651">
        <v>781247.9</v>
      </c>
      <c r="H448" s="1036">
        <v>684617.2</v>
      </c>
      <c r="I448" s="1032"/>
      <c r="J448" s="651">
        <v>337249.48</v>
      </c>
    </row>
    <row r="449" spans="1:10">
      <c r="A449" s="1034"/>
      <c r="B449" s="1034"/>
      <c r="C449" s="650" t="s">
        <v>2954</v>
      </c>
      <c r="D449" s="1033" t="s">
        <v>2163</v>
      </c>
      <c r="E449" s="1032"/>
      <c r="F449" s="651">
        <v>723630.28</v>
      </c>
      <c r="G449" s="651">
        <v>1519735.43</v>
      </c>
      <c r="H449" s="1036">
        <v>1001161.21</v>
      </c>
      <c r="I449" s="1032"/>
      <c r="J449" s="651">
        <v>205056.06</v>
      </c>
    </row>
    <row r="450" spans="1:10">
      <c r="A450" s="1034"/>
      <c r="B450" s="1034"/>
      <c r="C450" s="650" t="s">
        <v>2955</v>
      </c>
      <c r="D450" s="1033" t="s">
        <v>2164</v>
      </c>
      <c r="E450" s="1032"/>
      <c r="F450" s="651">
        <v>224176.09</v>
      </c>
      <c r="G450" s="651">
        <v>779767.08</v>
      </c>
      <c r="H450" s="1036">
        <v>625643.96</v>
      </c>
      <c r="I450" s="1032"/>
      <c r="J450" s="651">
        <v>70052.97</v>
      </c>
    </row>
    <row r="451" spans="1:10">
      <c r="A451" s="1034"/>
      <c r="B451" s="1034"/>
      <c r="C451" s="650" t="s">
        <v>2956</v>
      </c>
      <c r="D451" s="1033" t="s">
        <v>2165</v>
      </c>
      <c r="E451" s="1032"/>
      <c r="F451" s="651">
        <v>866391.04000000004</v>
      </c>
      <c r="G451" s="651">
        <v>1540269.55</v>
      </c>
      <c r="H451" s="1036">
        <v>1926609.03</v>
      </c>
      <c r="I451" s="1032"/>
      <c r="J451" s="651">
        <v>1252730.52</v>
      </c>
    </row>
    <row r="452" spans="1:10">
      <c r="A452" s="1034"/>
      <c r="B452" s="1034"/>
      <c r="C452" s="650" t="s">
        <v>2957</v>
      </c>
      <c r="D452" s="1033" t="s">
        <v>2166</v>
      </c>
      <c r="E452" s="1032"/>
      <c r="F452" s="651">
        <v>473303</v>
      </c>
      <c r="G452" s="651">
        <v>814230.94</v>
      </c>
      <c r="H452" s="1036">
        <v>976763.57</v>
      </c>
      <c r="I452" s="1032"/>
      <c r="J452" s="651">
        <v>635835.63</v>
      </c>
    </row>
    <row r="453" spans="1:10">
      <c r="A453" s="1034"/>
      <c r="B453" s="1034"/>
      <c r="C453" s="650" t="s">
        <v>2958</v>
      </c>
      <c r="D453" s="1033" t="s">
        <v>2167</v>
      </c>
      <c r="E453" s="1032"/>
      <c r="F453" s="651">
        <v>-16637.87</v>
      </c>
      <c r="G453" s="651">
        <v>1535910.22</v>
      </c>
      <c r="H453" s="1036">
        <v>1007900.69</v>
      </c>
      <c r="I453" s="1032"/>
      <c r="J453" s="651">
        <v>-544647.4</v>
      </c>
    </row>
    <row r="454" spans="1:10">
      <c r="A454" s="1034"/>
      <c r="B454" s="1034"/>
      <c r="C454" s="650" t="s">
        <v>2959</v>
      </c>
      <c r="D454" s="1033" t="s">
        <v>2168</v>
      </c>
      <c r="E454" s="1032"/>
      <c r="F454" s="651">
        <v>154990.96</v>
      </c>
      <c r="G454" s="651">
        <v>786147.05</v>
      </c>
      <c r="H454" s="1036">
        <v>626168.01</v>
      </c>
      <c r="I454" s="1032"/>
      <c r="J454" s="651">
        <v>-4988.08</v>
      </c>
    </row>
    <row r="455" spans="1:10">
      <c r="A455" s="1034"/>
      <c r="B455" s="1034"/>
      <c r="C455" s="650" t="s">
        <v>2960</v>
      </c>
      <c r="D455" s="1033" t="s">
        <v>2169</v>
      </c>
      <c r="E455" s="1032"/>
      <c r="F455" s="651">
        <v>15282.9</v>
      </c>
      <c r="G455" s="651">
        <v>17727.02</v>
      </c>
      <c r="H455" s="1036">
        <v>29390.22</v>
      </c>
      <c r="I455" s="1032"/>
      <c r="J455" s="651">
        <v>26946.1</v>
      </c>
    </row>
    <row r="456" spans="1:10">
      <c r="A456" s="1034"/>
      <c r="B456" s="1034"/>
      <c r="C456" s="650" t="s">
        <v>3178</v>
      </c>
      <c r="D456" s="1033" t="s">
        <v>3179</v>
      </c>
      <c r="E456" s="1032"/>
      <c r="F456" s="651">
        <v>180</v>
      </c>
      <c r="G456" s="651">
        <v>0</v>
      </c>
      <c r="H456" s="1036">
        <v>173.25</v>
      </c>
      <c r="I456" s="1032"/>
      <c r="J456" s="651">
        <v>353.25</v>
      </c>
    </row>
    <row r="457" spans="1:10">
      <c r="A457" s="1034"/>
      <c r="B457" s="1034"/>
      <c r="C457" s="650" t="s">
        <v>3477</v>
      </c>
      <c r="D457" s="1033" t="s">
        <v>3478</v>
      </c>
      <c r="E457" s="1032"/>
      <c r="F457" s="651">
        <v>0</v>
      </c>
      <c r="G457" s="651">
        <v>4580</v>
      </c>
      <c r="H457" s="1036">
        <v>491718</v>
      </c>
      <c r="I457" s="1032"/>
      <c r="J457" s="651">
        <v>487138</v>
      </c>
    </row>
    <row r="458" spans="1:10">
      <c r="A458" s="1034"/>
      <c r="B458" s="1034"/>
      <c r="C458" s="650" t="s">
        <v>3479</v>
      </c>
      <c r="D458" s="1033" t="s">
        <v>3480</v>
      </c>
      <c r="E458" s="1032"/>
      <c r="F458" s="651">
        <v>0</v>
      </c>
      <c r="G458" s="651">
        <v>1717.5</v>
      </c>
      <c r="H458" s="1036">
        <v>184394.28</v>
      </c>
      <c r="I458" s="1032"/>
      <c r="J458" s="651">
        <v>182676.78</v>
      </c>
    </row>
    <row r="459" spans="1:10">
      <c r="A459" s="1034"/>
      <c r="B459" s="1035"/>
      <c r="C459" s="657" t="s">
        <v>12</v>
      </c>
      <c r="D459" s="1031" t="s">
        <v>111</v>
      </c>
      <c r="E459" s="1032"/>
      <c r="F459" s="658">
        <v>4068170.88</v>
      </c>
      <c r="G459" s="658">
        <v>11602162.48</v>
      </c>
      <c r="H459" s="1037">
        <v>10232084.58</v>
      </c>
      <c r="I459" s="1032"/>
      <c r="J459" s="658">
        <v>2698092.98</v>
      </c>
    </row>
    <row r="460" spans="1:10">
      <c r="A460" s="1034"/>
      <c r="B460" s="1033" t="s">
        <v>2961</v>
      </c>
      <c r="C460" s="650" t="s">
        <v>2962</v>
      </c>
      <c r="D460" s="1033" t="s">
        <v>3481</v>
      </c>
      <c r="E460" s="1032"/>
      <c r="F460" s="651">
        <v>0</v>
      </c>
      <c r="G460" s="651">
        <v>1102269</v>
      </c>
      <c r="H460" s="1036">
        <v>2205238</v>
      </c>
      <c r="I460" s="1032"/>
      <c r="J460" s="651">
        <v>0</v>
      </c>
    </row>
    <row r="461" spans="1:10">
      <c r="A461" s="1034"/>
      <c r="B461" s="1035"/>
      <c r="C461" s="657" t="s">
        <v>12</v>
      </c>
      <c r="D461" s="1031" t="s">
        <v>111</v>
      </c>
      <c r="E461" s="1032"/>
      <c r="F461" s="658">
        <v>0</v>
      </c>
      <c r="G461" s="658">
        <v>1102269</v>
      </c>
      <c r="H461" s="1037">
        <v>2205238</v>
      </c>
      <c r="I461" s="1032"/>
      <c r="J461" s="658">
        <v>0</v>
      </c>
    </row>
    <row r="462" spans="1:10">
      <c r="A462" s="1034"/>
      <c r="B462" s="1033" t="s">
        <v>2963</v>
      </c>
      <c r="C462" s="650" t="s">
        <v>2964</v>
      </c>
      <c r="D462" s="1033" t="s">
        <v>2036</v>
      </c>
      <c r="E462" s="1032"/>
      <c r="F462" s="651">
        <v>-49302.05</v>
      </c>
      <c r="G462" s="651">
        <v>24512</v>
      </c>
      <c r="H462" s="1036">
        <v>73814.05</v>
      </c>
      <c r="I462" s="1032"/>
      <c r="J462" s="651">
        <v>0</v>
      </c>
    </row>
    <row r="463" spans="1:10">
      <c r="A463" s="1034"/>
      <c r="B463" s="1034"/>
      <c r="C463" s="650" t="s">
        <v>2965</v>
      </c>
      <c r="D463" s="1033" t="s">
        <v>2171</v>
      </c>
      <c r="E463" s="1032"/>
      <c r="F463" s="651">
        <v>0</v>
      </c>
      <c r="G463" s="651">
        <v>0</v>
      </c>
      <c r="H463" s="1036">
        <v>0</v>
      </c>
      <c r="I463" s="1032"/>
      <c r="J463" s="651">
        <v>0</v>
      </c>
    </row>
    <row r="464" spans="1:10">
      <c r="A464" s="1034"/>
      <c r="B464" s="1034"/>
      <c r="C464" s="650" t="s">
        <v>2966</v>
      </c>
      <c r="D464" s="1033" t="s">
        <v>2172</v>
      </c>
      <c r="E464" s="1032"/>
      <c r="F464" s="651">
        <v>81023.789999999994</v>
      </c>
      <c r="G464" s="651">
        <v>0</v>
      </c>
      <c r="H464" s="1036">
        <v>0</v>
      </c>
      <c r="I464" s="1032"/>
      <c r="J464" s="651">
        <v>81023.789999999994</v>
      </c>
    </row>
    <row r="465" spans="1:10">
      <c r="A465" s="1034"/>
      <c r="B465" s="1034"/>
      <c r="C465" s="650" t="s">
        <v>2967</v>
      </c>
      <c r="D465" s="1033" t="s">
        <v>2173</v>
      </c>
      <c r="E465" s="1032"/>
      <c r="F465" s="651">
        <v>118266.77</v>
      </c>
      <c r="G465" s="651">
        <v>0</v>
      </c>
      <c r="H465" s="1036">
        <v>0</v>
      </c>
      <c r="I465" s="1032"/>
      <c r="J465" s="651">
        <v>118266.77</v>
      </c>
    </row>
    <row r="466" spans="1:10">
      <c r="A466" s="1034"/>
      <c r="B466" s="1034"/>
      <c r="C466" s="650" t="s">
        <v>2968</v>
      </c>
      <c r="D466" s="1033" t="s">
        <v>2174</v>
      </c>
      <c r="E466" s="1032"/>
      <c r="F466" s="651">
        <v>531793.98</v>
      </c>
      <c r="G466" s="651">
        <v>65055.87</v>
      </c>
      <c r="H466" s="1036">
        <v>430.5</v>
      </c>
      <c r="I466" s="1032"/>
      <c r="J466" s="651">
        <v>467168.61</v>
      </c>
    </row>
    <row r="467" spans="1:10">
      <c r="A467" s="1034"/>
      <c r="B467" s="1034"/>
      <c r="C467" s="650" t="s">
        <v>2969</v>
      </c>
      <c r="D467" s="1033" t="s">
        <v>2175</v>
      </c>
      <c r="E467" s="1032"/>
      <c r="F467" s="651">
        <v>0</v>
      </c>
      <c r="G467" s="651">
        <v>563771.28</v>
      </c>
      <c r="H467" s="1036">
        <v>563750</v>
      </c>
      <c r="I467" s="1032"/>
      <c r="J467" s="651">
        <v>-21.28</v>
      </c>
    </row>
    <row r="468" spans="1:10">
      <c r="A468" s="1034"/>
      <c r="B468" s="1035"/>
      <c r="C468" s="657" t="s">
        <v>12</v>
      </c>
      <c r="D468" s="1031" t="s">
        <v>111</v>
      </c>
      <c r="E468" s="1032"/>
      <c r="F468" s="658">
        <v>681782.49</v>
      </c>
      <c r="G468" s="658">
        <v>653339.15</v>
      </c>
      <c r="H468" s="1037">
        <v>637994.55000000005</v>
      </c>
      <c r="I468" s="1032"/>
      <c r="J468" s="658">
        <v>666437.89</v>
      </c>
    </row>
    <row r="469" spans="1:10">
      <c r="A469" s="1034"/>
      <c r="B469" s="1033" t="s">
        <v>3482</v>
      </c>
      <c r="C469" s="650" t="s">
        <v>3483</v>
      </c>
      <c r="D469" s="1033" t="s">
        <v>3484</v>
      </c>
      <c r="E469" s="1032"/>
      <c r="F469" s="651">
        <v>0</v>
      </c>
      <c r="G469" s="651">
        <v>194681.68</v>
      </c>
      <c r="H469" s="1036">
        <v>235482.8</v>
      </c>
      <c r="I469" s="1032"/>
      <c r="J469" s="651">
        <v>40801.120000000003</v>
      </c>
    </row>
    <row r="470" spans="1:10">
      <c r="A470" s="1034"/>
      <c r="B470" s="1035"/>
      <c r="C470" s="657" t="s">
        <v>12</v>
      </c>
      <c r="D470" s="1031" t="s">
        <v>111</v>
      </c>
      <c r="E470" s="1032"/>
      <c r="F470" s="658">
        <v>0</v>
      </c>
      <c r="G470" s="658">
        <v>194681.68</v>
      </c>
      <c r="H470" s="1037">
        <v>235482.8</v>
      </c>
      <c r="I470" s="1032"/>
      <c r="J470" s="658">
        <v>40801.120000000003</v>
      </c>
    </row>
    <row r="471" spans="1:10">
      <c r="A471" s="1034"/>
      <c r="B471" s="1033" t="s">
        <v>2970</v>
      </c>
      <c r="C471" s="650" t="s">
        <v>2971</v>
      </c>
      <c r="D471" s="1033" t="s">
        <v>2176</v>
      </c>
      <c r="E471" s="1032"/>
      <c r="F471" s="651">
        <v>0</v>
      </c>
      <c r="G471" s="651">
        <v>0</v>
      </c>
      <c r="H471" s="1036">
        <v>0</v>
      </c>
      <c r="I471" s="1032"/>
      <c r="J471" s="651">
        <v>0</v>
      </c>
    </row>
    <row r="472" spans="1:10">
      <c r="A472" s="1034"/>
      <c r="B472" s="1035"/>
      <c r="C472" s="657" t="s">
        <v>12</v>
      </c>
      <c r="D472" s="1031" t="s">
        <v>111</v>
      </c>
      <c r="E472" s="1032"/>
      <c r="F472" s="658">
        <v>0</v>
      </c>
      <c r="G472" s="658">
        <v>0</v>
      </c>
      <c r="H472" s="1037">
        <v>0</v>
      </c>
      <c r="I472" s="1032"/>
      <c r="J472" s="658">
        <v>0</v>
      </c>
    </row>
    <row r="473" spans="1:10">
      <c r="A473" s="1034"/>
      <c r="B473" s="1033" t="s">
        <v>2972</v>
      </c>
      <c r="C473" s="650" t="s">
        <v>2973</v>
      </c>
      <c r="D473" s="1033" t="s">
        <v>2010</v>
      </c>
      <c r="E473" s="1032"/>
      <c r="F473" s="651">
        <v>-5318.37</v>
      </c>
      <c r="G473" s="651">
        <v>45234919.689999998</v>
      </c>
      <c r="H473" s="1036">
        <v>45234919.689999998</v>
      </c>
      <c r="I473" s="1032"/>
      <c r="J473" s="651">
        <v>-5318.37</v>
      </c>
    </row>
    <row r="474" spans="1:10">
      <c r="A474" s="1034"/>
      <c r="B474" s="1034"/>
      <c r="C474" s="650" t="s">
        <v>2974</v>
      </c>
      <c r="D474" s="1033" t="s">
        <v>1981</v>
      </c>
      <c r="E474" s="1032"/>
      <c r="F474" s="651">
        <v>0</v>
      </c>
      <c r="G474" s="651">
        <v>372009.67</v>
      </c>
      <c r="H474" s="1036">
        <v>372009.67</v>
      </c>
      <c r="I474" s="1032"/>
      <c r="J474" s="651">
        <v>0</v>
      </c>
    </row>
    <row r="475" spans="1:10">
      <c r="A475" s="1034"/>
      <c r="B475" s="1034"/>
      <c r="C475" s="650" t="s">
        <v>2975</v>
      </c>
      <c r="D475" s="1033" t="s">
        <v>2011</v>
      </c>
      <c r="E475" s="1032"/>
      <c r="F475" s="651">
        <v>2537.3000000000002</v>
      </c>
      <c r="G475" s="651">
        <v>65449921.890000001</v>
      </c>
      <c r="H475" s="1036">
        <v>65446811.359999999</v>
      </c>
      <c r="I475" s="1032"/>
      <c r="J475" s="651">
        <v>-573.23</v>
      </c>
    </row>
    <row r="476" spans="1:10">
      <c r="A476" s="1034"/>
      <c r="B476" s="1034"/>
      <c r="C476" s="650" t="s">
        <v>3485</v>
      </c>
      <c r="D476" s="1033" t="s">
        <v>3486</v>
      </c>
      <c r="E476" s="1032"/>
      <c r="F476" s="651">
        <v>0</v>
      </c>
      <c r="G476" s="651">
        <v>5574210.0899999999</v>
      </c>
      <c r="H476" s="1036">
        <v>5574210.0899999999</v>
      </c>
      <c r="I476" s="1032"/>
      <c r="J476" s="651">
        <v>0</v>
      </c>
    </row>
    <row r="477" spans="1:10">
      <c r="A477" s="1034"/>
      <c r="B477" s="1034"/>
      <c r="C477" s="650" t="s">
        <v>2976</v>
      </c>
      <c r="D477" s="1033" t="s">
        <v>2012</v>
      </c>
      <c r="E477" s="1032"/>
      <c r="F477" s="651">
        <v>-162.52000000000001</v>
      </c>
      <c r="G477" s="651">
        <v>39809322.130000003</v>
      </c>
      <c r="H477" s="1036">
        <v>39809751.039999999</v>
      </c>
      <c r="I477" s="1032"/>
      <c r="J477" s="651">
        <v>266.39</v>
      </c>
    </row>
    <row r="478" spans="1:10">
      <c r="A478" s="1034"/>
      <c r="B478" s="1034"/>
      <c r="C478" s="650" t="s">
        <v>2977</v>
      </c>
      <c r="D478" s="1033" t="s">
        <v>2013</v>
      </c>
      <c r="E478" s="1032"/>
      <c r="F478" s="651">
        <v>-3242.73</v>
      </c>
      <c r="G478" s="651">
        <v>88805817.280000001</v>
      </c>
      <c r="H478" s="1036">
        <v>88840990.590000004</v>
      </c>
      <c r="I478" s="1032"/>
      <c r="J478" s="651">
        <v>31930.58</v>
      </c>
    </row>
    <row r="479" spans="1:10">
      <c r="A479" s="1034"/>
      <c r="B479" s="1034"/>
      <c r="C479" s="650" t="s">
        <v>2978</v>
      </c>
      <c r="D479" s="1033" t="s">
        <v>2014</v>
      </c>
      <c r="E479" s="1032"/>
      <c r="F479" s="651">
        <v>34053.79</v>
      </c>
      <c r="G479" s="651">
        <v>3351964.91</v>
      </c>
      <c r="H479" s="1036">
        <v>3325102.44</v>
      </c>
      <c r="I479" s="1032"/>
      <c r="J479" s="651">
        <v>7191.32</v>
      </c>
    </row>
    <row r="480" spans="1:10">
      <c r="A480" s="1034"/>
      <c r="B480" s="1034"/>
      <c r="C480" s="650" t="s">
        <v>2979</v>
      </c>
      <c r="D480" s="1033" t="s">
        <v>2015</v>
      </c>
      <c r="E480" s="1032"/>
      <c r="F480" s="651">
        <v>19029.66</v>
      </c>
      <c r="G480" s="651">
        <v>30323193.329999998</v>
      </c>
      <c r="H480" s="1036">
        <v>30304163.670000002</v>
      </c>
      <c r="I480" s="1032"/>
      <c r="J480" s="651">
        <v>0</v>
      </c>
    </row>
    <row r="481" spans="1:12">
      <c r="A481" s="1034"/>
      <c r="B481" s="1034"/>
      <c r="C481" s="650" t="s">
        <v>3180</v>
      </c>
      <c r="D481" s="1033" t="s">
        <v>3181</v>
      </c>
      <c r="E481" s="1032"/>
      <c r="F481" s="651">
        <v>0</v>
      </c>
      <c r="G481" s="651">
        <v>8883.31</v>
      </c>
      <c r="H481" s="1036">
        <v>8883.31</v>
      </c>
      <c r="I481" s="1032"/>
      <c r="J481" s="651">
        <v>0</v>
      </c>
    </row>
    <row r="482" spans="1:12">
      <c r="A482" s="1034"/>
      <c r="B482" s="1035"/>
      <c r="C482" s="657" t="s">
        <v>12</v>
      </c>
      <c r="D482" s="1031" t="s">
        <v>111</v>
      </c>
      <c r="E482" s="1032"/>
      <c r="F482" s="658">
        <v>46897.13</v>
      </c>
      <c r="G482" s="658">
        <v>278930242.30000001</v>
      </c>
      <c r="H482" s="1037">
        <v>278916841.86000001</v>
      </c>
      <c r="I482" s="1032"/>
      <c r="J482" s="658">
        <v>33496.69</v>
      </c>
    </row>
    <row r="483" spans="1:12">
      <c r="A483" s="1034"/>
      <c r="B483" s="1033" t="s">
        <v>2980</v>
      </c>
      <c r="C483" s="650" t="s">
        <v>2981</v>
      </c>
      <c r="D483" s="1033" t="s">
        <v>1904</v>
      </c>
      <c r="E483" s="1032"/>
      <c r="F483" s="651">
        <v>25392783.370000001</v>
      </c>
      <c r="G483" s="651">
        <v>0</v>
      </c>
      <c r="H483" s="1036">
        <v>0</v>
      </c>
      <c r="I483" s="1032"/>
      <c r="J483" s="651">
        <v>25392783.370000001</v>
      </c>
    </row>
    <row r="484" spans="1:12">
      <c r="A484" s="1034"/>
      <c r="B484" s="1035"/>
      <c r="C484" s="657" t="s">
        <v>12</v>
      </c>
      <c r="D484" s="1031" t="s">
        <v>111</v>
      </c>
      <c r="E484" s="1032"/>
      <c r="F484" s="658">
        <v>25392783.370000001</v>
      </c>
      <c r="G484" s="658">
        <v>0</v>
      </c>
      <c r="H484" s="1037">
        <v>0</v>
      </c>
      <c r="I484" s="1032"/>
      <c r="J484" s="658">
        <v>25392783.370000001</v>
      </c>
    </row>
    <row r="485" spans="1:12">
      <c r="A485" s="1034"/>
      <c r="B485" s="1033" t="s">
        <v>2982</v>
      </c>
      <c r="C485" s="650" t="s">
        <v>2983</v>
      </c>
      <c r="D485" s="1033" t="s">
        <v>2177</v>
      </c>
      <c r="E485" s="1032"/>
      <c r="F485" s="651">
        <v>171955.71</v>
      </c>
      <c r="G485" s="651">
        <v>0</v>
      </c>
      <c r="H485" s="1036">
        <v>0</v>
      </c>
      <c r="I485" s="1032"/>
      <c r="J485" s="651">
        <v>171955.71</v>
      </c>
    </row>
    <row r="486" spans="1:12">
      <c r="A486" s="1034"/>
      <c r="B486" s="1034"/>
      <c r="C486" s="650" t="s">
        <v>2984</v>
      </c>
      <c r="D486" s="1033" t="s">
        <v>2178</v>
      </c>
      <c r="E486" s="1032"/>
      <c r="F486" s="651">
        <v>1086365.1299999999</v>
      </c>
      <c r="G486" s="651">
        <v>0</v>
      </c>
      <c r="H486" s="1036">
        <v>0</v>
      </c>
      <c r="I486" s="1032"/>
      <c r="J486" s="651">
        <v>1086365.1299999999</v>
      </c>
    </row>
    <row r="487" spans="1:12">
      <c r="A487" s="1034"/>
      <c r="B487" s="1034"/>
      <c r="C487" s="650" t="s">
        <v>2985</v>
      </c>
      <c r="D487" s="1033" t="s">
        <v>2179</v>
      </c>
      <c r="E487" s="1032"/>
      <c r="F487" s="651">
        <v>-2121641.2599999998</v>
      </c>
      <c r="G487" s="651">
        <v>0</v>
      </c>
      <c r="H487" s="1036">
        <v>23632.61</v>
      </c>
      <c r="I487" s="1032"/>
      <c r="J487" s="651">
        <v>-2098008.65</v>
      </c>
    </row>
    <row r="488" spans="1:12">
      <c r="A488" s="1034"/>
      <c r="B488" s="1035"/>
      <c r="C488" s="657" t="s">
        <v>12</v>
      </c>
      <c r="D488" s="1031" t="s">
        <v>111</v>
      </c>
      <c r="E488" s="1032"/>
      <c r="F488" s="658">
        <v>-863320.42</v>
      </c>
      <c r="G488" s="658">
        <v>0</v>
      </c>
      <c r="H488" s="1037">
        <v>23632.61</v>
      </c>
      <c r="I488" s="1032"/>
      <c r="J488" s="658">
        <v>-839687.81</v>
      </c>
    </row>
    <row r="489" spans="1:12">
      <c r="A489" s="1034"/>
      <c r="B489" s="1033" t="s">
        <v>2986</v>
      </c>
      <c r="C489" s="650" t="s">
        <v>2987</v>
      </c>
      <c r="D489" s="1033" t="s">
        <v>2180</v>
      </c>
      <c r="E489" s="1032"/>
      <c r="F489" s="651">
        <v>3766945.91</v>
      </c>
      <c r="G489" s="651">
        <v>1363780.26</v>
      </c>
      <c r="H489" s="1036">
        <v>1771558.47</v>
      </c>
      <c r="I489" s="1032"/>
      <c r="J489" s="651">
        <v>4174724.12</v>
      </c>
    </row>
    <row r="490" spans="1:12">
      <c r="A490" s="1034"/>
      <c r="B490" s="1035"/>
      <c r="C490" s="657" t="s">
        <v>12</v>
      </c>
      <c r="D490" s="1031" t="s">
        <v>111</v>
      </c>
      <c r="E490" s="1032"/>
      <c r="F490" s="658">
        <v>3766945.91</v>
      </c>
      <c r="G490" s="658">
        <v>1363780.26</v>
      </c>
      <c r="H490" s="1037">
        <v>1771558.47</v>
      </c>
      <c r="I490" s="1032"/>
      <c r="J490" s="658">
        <v>4174724.12</v>
      </c>
    </row>
    <row r="491" spans="1:12">
      <c r="A491" s="1035"/>
      <c r="B491" s="657" t="s">
        <v>12</v>
      </c>
      <c r="C491" s="657" t="s">
        <v>111</v>
      </c>
      <c r="D491" s="1031" t="s">
        <v>111</v>
      </c>
      <c r="E491" s="1032"/>
      <c r="F491" s="658">
        <v>539392105.02999997</v>
      </c>
      <c r="G491" s="658">
        <v>1246311051.25</v>
      </c>
      <c r="H491" s="1037">
        <v>1582255459.79</v>
      </c>
      <c r="I491" s="1032"/>
      <c r="J491" s="658">
        <v>875336513.57000005</v>
      </c>
    </row>
    <row r="492" spans="1:12">
      <c r="A492" s="1033" t="s">
        <v>2717</v>
      </c>
      <c r="B492" s="1033" t="s">
        <v>2718</v>
      </c>
      <c r="C492" s="650" t="s">
        <v>2719</v>
      </c>
      <c r="D492" s="1033" t="s">
        <v>2720</v>
      </c>
      <c r="E492" s="1032"/>
      <c r="F492" s="651">
        <v>0</v>
      </c>
      <c r="G492" s="651">
        <v>2405.7399999999998</v>
      </c>
      <c r="H492" s="1036">
        <v>403426.91</v>
      </c>
      <c r="I492" s="1032"/>
      <c r="J492" s="651">
        <v>401021.17</v>
      </c>
      <c r="L492" s="646"/>
    </row>
    <row r="493" spans="1:12">
      <c r="A493" s="1034"/>
      <c r="B493" s="1035"/>
      <c r="C493" s="657" t="s">
        <v>12</v>
      </c>
      <c r="D493" s="1031" t="s">
        <v>111</v>
      </c>
      <c r="E493" s="1032"/>
      <c r="F493" s="658">
        <v>0</v>
      </c>
      <c r="G493" s="658">
        <v>2405.7399999999998</v>
      </c>
      <c r="H493" s="1037">
        <v>403426.91</v>
      </c>
      <c r="I493" s="1032"/>
      <c r="J493" s="658">
        <v>401021.17</v>
      </c>
      <c r="L493" s="646">
        <f>J493</f>
        <v>401021.17</v>
      </c>
    </row>
    <row r="494" spans="1:12">
      <c r="A494" s="1034"/>
      <c r="B494" s="1033" t="s">
        <v>2721</v>
      </c>
      <c r="C494" s="650" t="s">
        <v>2722</v>
      </c>
      <c r="D494" s="1033" t="s">
        <v>2181</v>
      </c>
      <c r="E494" s="1032"/>
      <c r="F494" s="651">
        <v>0</v>
      </c>
      <c r="G494" s="651">
        <v>504361.7</v>
      </c>
      <c r="H494" s="1036">
        <v>8925957.7599999998</v>
      </c>
      <c r="I494" s="1032"/>
      <c r="J494" s="651">
        <v>8421596.0600000005</v>
      </c>
    </row>
    <row r="495" spans="1:12">
      <c r="A495" s="1034"/>
      <c r="B495" s="1034"/>
      <c r="C495" s="650" t="s">
        <v>2723</v>
      </c>
      <c r="D495" s="1033" t="s">
        <v>3182</v>
      </c>
      <c r="E495" s="1032"/>
      <c r="F495" s="651">
        <v>0</v>
      </c>
      <c r="G495" s="651">
        <v>7155.03</v>
      </c>
      <c r="H495" s="1036">
        <v>19490.400000000001</v>
      </c>
      <c r="I495" s="1032"/>
      <c r="J495" s="651">
        <v>12335.37</v>
      </c>
    </row>
    <row r="496" spans="1:12">
      <c r="A496" s="1034"/>
      <c r="B496" s="1034"/>
      <c r="C496" s="650" t="s">
        <v>2725</v>
      </c>
      <c r="D496" s="1033" t="s">
        <v>3183</v>
      </c>
      <c r="E496" s="1032"/>
      <c r="F496" s="651">
        <v>0</v>
      </c>
      <c r="G496" s="651">
        <v>563647.31999999995</v>
      </c>
      <c r="H496" s="1036">
        <v>14065500.75</v>
      </c>
      <c r="I496" s="1032"/>
      <c r="J496" s="651">
        <v>13501853.43</v>
      </c>
    </row>
    <row r="497" spans="1:12">
      <c r="A497" s="1034"/>
      <c r="B497" s="1034"/>
      <c r="C497" s="650" t="s">
        <v>3487</v>
      </c>
      <c r="D497" s="1033" t="s">
        <v>3488</v>
      </c>
      <c r="E497" s="1032"/>
      <c r="F497" s="651">
        <v>0</v>
      </c>
      <c r="G497" s="651">
        <v>4088.97</v>
      </c>
      <c r="H497" s="1036">
        <v>2880401.43</v>
      </c>
      <c r="I497" s="1032"/>
      <c r="J497" s="651">
        <v>2876312.46</v>
      </c>
    </row>
    <row r="498" spans="1:12">
      <c r="A498" s="1034"/>
      <c r="B498" s="1034"/>
      <c r="C498" s="650" t="s">
        <v>2727</v>
      </c>
      <c r="D498" s="1033" t="s">
        <v>3184</v>
      </c>
      <c r="E498" s="1032"/>
      <c r="F498" s="651">
        <v>0</v>
      </c>
      <c r="G498" s="651">
        <v>260304.46</v>
      </c>
      <c r="H498" s="1036">
        <v>11285574.01</v>
      </c>
      <c r="I498" s="1032"/>
      <c r="J498" s="651">
        <v>11025269.550000001</v>
      </c>
    </row>
    <row r="499" spans="1:12">
      <c r="A499" s="1034"/>
      <c r="B499" s="1034"/>
      <c r="C499" s="650" t="s">
        <v>2729</v>
      </c>
      <c r="D499" s="1033" t="s">
        <v>2182</v>
      </c>
      <c r="E499" s="1032"/>
      <c r="F499" s="651">
        <v>0</v>
      </c>
      <c r="G499" s="651">
        <v>505626.06</v>
      </c>
      <c r="H499" s="1036">
        <v>32855430.940000001</v>
      </c>
      <c r="I499" s="1032"/>
      <c r="J499" s="651">
        <v>32349804.879999999</v>
      </c>
    </row>
    <row r="500" spans="1:12">
      <c r="A500" s="1034"/>
      <c r="B500" s="1034"/>
      <c r="C500" s="650" t="s">
        <v>2730</v>
      </c>
      <c r="D500" s="1033" t="s">
        <v>3185</v>
      </c>
      <c r="E500" s="1032"/>
      <c r="F500" s="651">
        <v>0</v>
      </c>
      <c r="G500" s="651">
        <v>417462.98</v>
      </c>
      <c r="H500" s="1036">
        <v>12134083.5</v>
      </c>
      <c r="I500" s="1032"/>
      <c r="J500" s="651">
        <v>11716620.52</v>
      </c>
    </row>
    <row r="501" spans="1:12">
      <c r="A501" s="1034"/>
      <c r="B501" s="1035"/>
      <c r="C501" s="657" t="s">
        <v>12</v>
      </c>
      <c r="D501" s="1031" t="s">
        <v>111</v>
      </c>
      <c r="E501" s="1032"/>
      <c r="F501" s="658">
        <v>0</v>
      </c>
      <c r="G501" s="658">
        <v>2262646.52</v>
      </c>
      <c r="H501" s="1037">
        <v>82166438.790000007</v>
      </c>
      <c r="I501" s="1032"/>
      <c r="J501" s="658">
        <v>79903792.269999996</v>
      </c>
      <c r="L501" s="646">
        <f>J501</f>
        <v>79903792.269999996</v>
      </c>
    </row>
    <row r="502" spans="1:12">
      <c r="A502" s="1034"/>
      <c r="B502" s="1033" t="s">
        <v>2732</v>
      </c>
      <c r="C502" s="650" t="s">
        <v>3186</v>
      </c>
      <c r="D502" s="1033" t="s">
        <v>3187</v>
      </c>
      <c r="E502" s="1032"/>
      <c r="F502" s="651">
        <v>0</v>
      </c>
      <c r="G502" s="651">
        <v>0</v>
      </c>
      <c r="H502" s="1036">
        <v>3196.38</v>
      </c>
      <c r="I502" s="1032"/>
      <c r="J502" s="651">
        <v>3196.38</v>
      </c>
    </row>
    <row r="503" spans="1:12">
      <c r="A503" s="1034"/>
      <c r="B503" s="1034"/>
      <c r="C503" s="650" t="s">
        <v>3188</v>
      </c>
      <c r="D503" s="1033" t="s">
        <v>3189</v>
      </c>
      <c r="E503" s="1032"/>
      <c r="F503" s="651">
        <v>0</v>
      </c>
      <c r="G503" s="651">
        <v>0</v>
      </c>
      <c r="H503" s="1036">
        <v>204.69</v>
      </c>
      <c r="I503" s="1032"/>
      <c r="J503" s="651">
        <v>204.69</v>
      </c>
    </row>
    <row r="504" spans="1:12">
      <c r="A504" s="1034"/>
      <c r="B504" s="1034"/>
      <c r="C504" s="650" t="s">
        <v>2733</v>
      </c>
      <c r="D504" s="1033" t="s">
        <v>2183</v>
      </c>
      <c r="E504" s="1032"/>
      <c r="F504" s="651">
        <v>0</v>
      </c>
      <c r="G504" s="651">
        <v>598.92999999999995</v>
      </c>
      <c r="H504" s="1036">
        <v>1192.93</v>
      </c>
      <c r="I504" s="1032"/>
      <c r="J504" s="651">
        <v>594</v>
      </c>
    </row>
    <row r="505" spans="1:12">
      <c r="A505" s="1034"/>
      <c r="B505" s="1035"/>
      <c r="C505" s="657" t="s">
        <v>12</v>
      </c>
      <c r="D505" s="1031" t="s">
        <v>111</v>
      </c>
      <c r="E505" s="1032"/>
      <c r="F505" s="658">
        <v>0</v>
      </c>
      <c r="G505" s="658">
        <v>598.92999999999995</v>
      </c>
      <c r="H505" s="1037">
        <v>4594</v>
      </c>
      <c r="I505" s="1032"/>
      <c r="J505" s="658">
        <v>3995.07</v>
      </c>
      <c r="L505" s="646">
        <f>J505</f>
        <v>3995.07</v>
      </c>
    </row>
    <row r="506" spans="1:12">
      <c r="A506" s="1034"/>
      <c r="B506" s="1033" t="s">
        <v>2734</v>
      </c>
      <c r="C506" s="650" t="s">
        <v>2735</v>
      </c>
      <c r="D506" s="1033" t="s">
        <v>3190</v>
      </c>
      <c r="E506" s="1032"/>
      <c r="F506" s="651">
        <v>0</v>
      </c>
      <c r="G506" s="651">
        <v>0</v>
      </c>
      <c r="H506" s="1036">
        <v>115054.1</v>
      </c>
      <c r="I506" s="1032"/>
      <c r="J506" s="651">
        <v>115054.1</v>
      </c>
    </row>
    <row r="507" spans="1:12">
      <c r="A507" s="1034"/>
      <c r="B507" s="1034"/>
      <c r="C507" s="650" t="s">
        <v>3191</v>
      </c>
      <c r="D507" s="1033" t="s">
        <v>3336</v>
      </c>
      <c r="E507" s="1032"/>
      <c r="F507" s="651">
        <v>0</v>
      </c>
      <c r="G507" s="651">
        <v>0</v>
      </c>
      <c r="H507" s="1036">
        <v>2376.02</v>
      </c>
      <c r="I507" s="1032"/>
      <c r="J507" s="651">
        <v>2376.02</v>
      </c>
    </row>
    <row r="508" spans="1:12">
      <c r="A508" s="1034"/>
      <c r="B508" s="1034"/>
      <c r="C508" s="650" t="s">
        <v>2737</v>
      </c>
      <c r="D508" s="1033" t="s">
        <v>2184</v>
      </c>
      <c r="E508" s="1032"/>
      <c r="F508" s="651">
        <v>0</v>
      </c>
      <c r="G508" s="651">
        <v>0</v>
      </c>
      <c r="H508" s="1036">
        <v>125009.63</v>
      </c>
      <c r="I508" s="1032"/>
      <c r="J508" s="651">
        <v>125009.63</v>
      </c>
      <c r="K508" s="656" t="s">
        <v>334</v>
      </c>
    </row>
    <row r="509" spans="1:12">
      <c r="A509" s="1034"/>
      <c r="B509" s="1034"/>
      <c r="C509" s="650" t="s">
        <v>2738</v>
      </c>
      <c r="D509" s="1033" t="s">
        <v>2739</v>
      </c>
      <c r="E509" s="1032"/>
      <c r="F509" s="651">
        <v>0</v>
      </c>
      <c r="G509" s="651">
        <v>0</v>
      </c>
      <c r="H509" s="1036">
        <v>60354.74</v>
      </c>
      <c r="I509" s="1032"/>
      <c r="J509" s="651">
        <v>60354.74</v>
      </c>
    </row>
    <row r="510" spans="1:12">
      <c r="A510" s="1034"/>
      <c r="B510" s="1034"/>
      <c r="C510" s="650" t="s">
        <v>2740</v>
      </c>
      <c r="D510" s="1033" t="s">
        <v>2741</v>
      </c>
      <c r="E510" s="1032"/>
      <c r="F510" s="651">
        <v>0</v>
      </c>
      <c r="G510" s="651">
        <v>0</v>
      </c>
      <c r="H510" s="1036">
        <v>137524.96</v>
      </c>
      <c r="I510" s="1032"/>
      <c r="J510" s="651">
        <v>137524.96</v>
      </c>
    </row>
    <row r="511" spans="1:12">
      <c r="A511" s="1034"/>
      <c r="B511" s="1034"/>
      <c r="C511" s="650" t="s">
        <v>2742</v>
      </c>
      <c r="D511" s="1033" t="s">
        <v>2743</v>
      </c>
      <c r="E511" s="1032"/>
      <c r="F511" s="651">
        <v>0</v>
      </c>
      <c r="G511" s="651">
        <v>0</v>
      </c>
      <c r="H511" s="1036">
        <v>175.13</v>
      </c>
      <c r="I511" s="1032"/>
      <c r="J511" s="651">
        <v>175.13</v>
      </c>
      <c r="L511" s="646"/>
    </row>
    <row r="512" spans="1:12">
      <c r="A512" s="1034"/>
      <c r="B512" s="1034"/>
      <c r="C512" s="650" t="s">
        <v>3195</v>
      </c>
      <c r="D512" s="1033" t="s">
        <v>2762</v>
      </c>
      <c r="E512" s="1032"/>
      <c r="F512" s="651">
        <v>0</v>
      </c>
      <c r="G512" s="651">
        <v>0</v>
      </c>
      <c r="H512" s="1036">
        <v>128243.71</v>
      </c>
      <c r="I512" s="1032"/>
      <c r="J512" s="651">
        <v>128243.71</v>
      </c>
    </row>
    <row r="513" spans="1:12">
      <c r="A513" s="1034"/>
      <c r="B513" s="1035"/>
      <c r="C513" s="657" t="s">
        <v>12</v>
      </c>
      <c r="D513" s="1031" t="s">
        <v>111</v>
      </c>
      <c r="E513" s="1032"/>
      <c r="F513" s="658">
        <v>0</v>
      </c>
      <c r="G513" s="658">
        <v>0</v>
      </c>
      <c r="H513" s="1037">
        <v>568738.29</v>
      </c>
      <c r="I513" s="1032"/>
      <c r="J513" s="658">
        <v>568738.29</v>
      </c>
      <c r="L513" s="646">
        <f>J513</f>
        <v>568738.29</v>
      </c>
    </row>
    <row r="514" spans="1:12">
      <c r="A514" s="1034"/>
      <c r="B514" s="1033" t="s">
        <v>2744</v>
      </c>
      <c r="C514" s="650" t="s">
        <v>2745</v>
      </c>
      <c r="D514" s="1033" t="s">
        <v>2746</v>
      </c>
      <c r="E514" s="1032"/>
      <c r="F514" s="651">
        <v>0</v>
      </c>
      <c r="G514" s="651">
        <v>0</v>
      </c>
      <c r="H514" s="1036">
        <v>41078.089999999997</v>
      </c>
      <c r="I514" s="1032"/>
      <c r="J514" s="651">
        <v>41078.089999999997</v>
      </c>
    </row>
    <row r="515" spans="1:12">
      <c r="A515" s="1034"/>
      <c r="B515" s="1034"/>
      <c r="C515" s="650" t="s">
        <v>3196</v>
      </c>
      <c r="D515" s="1033" t="s">
        <v>3337</v>
      </c>
      <c r="E515" s="1032"/>
      <c r="F515" s="651">
        <v>0</v>
      </c>
      <c r="G515" s="651">
        <v>0</v>
      </c>
      <c r="H515" s="1036">
        <v>2154.3200000000002</v>
      </c>
      <c r="I515" s="1032"/>
      <c r="J515" s="651">
        <v>2154.3200000000002</v>
      </c>
    </row>
    <row r="516" spans="1:12">
      <c r="A516" s="1034"/>
      <c r="B516" s="1034"/>
      <c r="C516" s="650" t="s">
        <v>2747</v>
      </c>
      <c r="D516" s="1033" t="s">
        <v>2184</v>
      </c>
      <c r="E516" s="1032"/>
      <c r="F516" s="651">
        <v>0</v>
      </c>
      <c r="G516" s="651">
        <v>0</v>
      </c>
      <c r="H516" s="1036">
        <v>44979.040000000001</v>
      </c>
      <c r="I516" s="1032"/>
      <c r="J516" s="651">
        <v>44979.040000000001</v>
      </c>
    </row>
    <row r="517" spans="1:12">
      <c r="A517" s="1034"/>
      <c r="B517" s="1034"/>
      <c r="C517" s="650" t="s">
        <v>2748</v>
      </c>
      <c r="D517" s="1033" t="s">
        <v>2749</v>
      </c>
      <c r="E517" s="1032"/>
      <c r="F517" s="651">
        <v>0</v>
      </c>
      <c r="G517" s="651">
        <v>0</v>
      </c>
      <c r="H517" s="1036">
        <v>30141.25</v>
      </c>
      <c r="I517" s="1032"/>
      <c r="J517" s="651">
        <v>30141.25</v>
      </c>
    </row>
    <row r="518" spans="1:12">
      <c r="A518" s="1034"/>
      <c r="B518" s="1034"/>
      <c r="C518" s="650" t="s">
        <v>2750</v>
      </c>
      <c r="D518" s="1033" t="s">
        <v>2741</v>
      </c>
      <c r="E518" s="1032"/>
      <c r="F518" s="651">
        <v>0</v>
      </c>
      <c r="G518" s="651">
        <v>0</v>
      </c>
      <c r="H518" s="1036">
        <v>31281.59</v>
      </c>
      <c r="I518" s="1032"/>
      <c r="J518" s="651">
        <v>31281.59</v>
      </c>
    </row>
    <row r="519" spans="1:12">
      <c r="A519" s="1034"/>
      <c r="B519" s="1034"/>
      <c r="C519" s="650" t="s">
        <v>2751</v>
      </c>
      <c r="D519" s="1033" t="s">
        <v>3194</v>
      </c>
      <c r="E519" s="1032"/>
      <c r="F519" s="651">
        <v>0</v>
      </c>
      <c r="G519" s="651">
        <v>0</v>
      </c>
      <c r="H519" s="1036">
        <v>17.38</v>
      </c>
      <c r="I519" s="1032"/>
      <c r="J519" s="651">
        <v>17.38</v>
      </c>
      <c r="L519" s="646"/>
    </row>
    <row r="520" spans="1:12">
      <c r="A520" s="1034"/>
      <c r="B520" s="1034"/>
      <c r="C520" s="650" t="s">
        <v>3197</v>
      </c>
      <c r="D520" s="1033" t="s">
        <v>2762</v>
      </c>
      <c r="E520" s="1032"/>
      <c r="F520" s="651">
        <v>0</v>
      </c>
      <c r="G520" s="651">
        <v>0</v>
      </c>
      <c r="H520" s="1036">
        <v>7499.39</v>
      </c>
      <c r="I520" s="1032"/>
      <c r="J520" s="651">
        <v>7499.39</v>
      </c>
    </row>
    <row r="521" spans="1:12">
      <c r="A521" s="1034"/>
      <c r="B521" s="1035"/>
      <c r="C521" s="657" t="s">
        <v>12</v>
      </c>
      <c r="D521" s="1031" t="s">
        <v>111</v>
      </c>
      <c r="E521" s="1032"/>
      <c r="F521" s="658">
        <v>0</v>
      </c>
      <c r="G521" s="658">
        <v>0</v>
      </c>
      <c r="H521" s="1037">
        <v>157151.06</v>
      </c>
      <c r="I521" s="1032"/>
      <c r="J521" s="658">
        <v>157151.06</v>
      </c>
      <c r="L521" s="646">
        <f>J521</f>
        <v>157151.06</v>
      </c>
    </row>
    <row r="522" spans="1:12">
      <c r="A522" s="1034"/>
      <c r="B522" s="1033" t="s">
        <v>3338</v>
      </c>
      <c r="C522" s="650" t="s">
        <v>3198</v>
      </c>
      <c r="D522" s="1033" t="s">
        <v>2746</v>
      </c>
      <c r="E522" s="1032"/>
      <c r="F522" s="651">
        <v>0</v>
      </c>
      <c r="G522" s="651">
        <v>0</v>
      </c>
      <c r="H522" s="1036">
        <v>84844.61</v>
      </c>
      <c r="I522" s="1032"/>
      <c r="J522" s="651">
        <v>84844.61</v>
      </c>
    </row>
    <row r="523" spans="1:12">
      <c r="A523" s="1034"/>
      <c r="B523" s="1034"/>
      <c r="C523" s="650" t="s">
        <v>3199</v>
      </c>
      <c r="D523" s="1033" t="s">
        <v>3192</v>
      </c>
      <c r="E523" s="1032"/>
      <c r="F523" s="651">
        <v>0</v>
      </c>
      <c r="G523" s="651">
        <v>0</v>
      </c>
      <c r="H523" s="1036">
        <v>1969.77</v>
      </c>
      <c r="I523" s="1032"/>
      <c r="J523" s="651">
        <v>1969.77</v>
      </c>
    </row>
    <row r="524" spans="1:12">
      <c r="A524" s="1034"/>
      <c r="B524" s="1034"/>
      <c r="C524" s="650" t="s">
        <v>3200</v>
      </c>
      <c r="D524" s="1033" t="s">
        <v>2184</v>
      </c>
      <c r="E524" s="1032"/>
      <c r="F524" s="651">
        <v>0</v>
      </c>
      <c r="G524" s="651">
        <v>0</v>
      </c>
      <c r="H524" s="1036">
        <v>86387.73</v>
      </c>
      <c r="I524" s="1032"/>
      <c r="J524" s="651">
        <v>86387.73</v>
      </c>
    </row>
    <row r="525" spans="1:12">
      <c r="A525" s="1034"/>
      <c r="B525" s="1034"/>
      <c r="C525" s="650" t="s">
        <v>3201</v>
      </c>
      <c r="D525" s="1033" t="s">
        <v>3339</v>
      </c>
      <c r="E525" s="1032"/>
      <c r="F525" s="651">
        <v>0</v>
      </c>
      <c r="G525" s="651">
        <v>0</v>
      </c>
      <c r="H525" s="1036">
        <v>51251.49</v>
      </c>
      <c r="I525" s="1032"/>
      <c r="J525" s="651">
        <v>51251.49</v>
      </c>
    </row>
    <row r="526" spans="1:12">
      <c r="A526" s="1034"/>
      <c r="B526" s="1034"/>
      <c r="C526" s="650" t="s">
        <v>3202</v>
      </c>
      <c r="D526" s="1033" t="s">
        <v>3193</v>
      </c>
      <c r="E526" s="1032"/>
      <c r="F526" s="651">
        <v>0</v>
      </c>
      <c r="G526" s="651">
        <v>0</v>
      </c>
      <c r="H526" s="1036">
        <v>78442.28</v>
      </c>
      <c r="I526" s="1032"/>
      <c r="J526" s="651">
        <v>78442.28</v>
      </c>
    </row>
    <row r="527" spans="1:12">
      <c r="A527" s="1034"/>
      <c r="B527" s="1034"/>
      <c r="C527" s="650" t="s">
        <v>3489</v>
      </c>
      <c r="D527" s="1033" t="s">
        <v>2743</v>
      </c>
      <c r="E527" s="1032"/>
      <c r="F527" s="651">
        <v>0</v>
      </c>
      <c r="G527" s="651">
        <v>0</v>
      </c>
      <c r="H527" s="1036">
        <v>158.27000000000001</v>
      </c>
      <c r="I527" s="1032"/>
      <c r="J527" s="651">
        <v>158.27000000000001</v>
      </c>
    </row>
    <row r="528" spans="1:12">
      <c r="A528" s="1034"/>
      <c r="B528" s="1034"/>
      <c r="C528" s="650" t="s">
        <v>3203</v>
      </c>
      <c r="D528" s="1033" t="s">
        <v>2762</v>
      </c>
      <c r="E528" s="1032"/>
      <c r="F528" s="651">
        <v>0</v>
      </c>
      <c r="G528" s="651">
        <v>0</v>
      </c>
      <c r="H528" s="1036">
        <v>34816.89</v>
      </c>
      <c r="I528" s="1032"/>
      <c r="J528" s="651">
        <v>34816.89</v>
      </c>
    </row>
    <row r="529" spans="1:12">
      <c r="A529" s="1034"/>
      <c r="B529" s="1035"/>
      <c r="C529" s="657" t="s">
        <v>12</v>
      </c>
      <c r="D529" s="1031" t="s">
        <v>111</v>
      </c>
      <c r="E529" s="1032"/>
      <c r="F529" s="658">
        <v>0</v>
      </c>
      <c r="G529" s="658">
        <v>0</v>
      </c>
      <c r="H529" s="1037">
        <v>337871.04</v>
      </c>
      <c r="I529" s="1032"/>
      <c r="J529" s="658">
        <v>337871.04</v>
      </c>
      <c r="L529" s="646">
        <f>J529</f>
        <v>337871.04</v>
      </c>
    </row>
    <row r="530" spans="1:12">
      <c r="A530" s="1034"/>
      <c r="B530" s="1033" t="s">
        <v>2752</v>
      </c>
      <c r="C530" s="650" t="s">
        <v>2753</v>
      </c>
      <c r="D530" s="1033" t="s">
        <v>2185</v>
      </c>
      <c r="E530" s="1032"/>
      <c r="F530" s="651">
        <v>0</v>
      </c>
      <c r="G530" s="651">
        <v>382184.25</v>
      </c>
      <c r="H530" s="1036">
        <v>615975.47</v>
      </c>
      <c r="I530" s="1032"/>
      <c r="J530" s="651">
        <v>233791.22</v>
      </c>
    </row>
    <row r="531" spans="1:12">
      <c r="A531" s="1034"/>
      <c r="B531" s="1034"/>
      <c r="C531" s="650" t="s">
        <v>3204</v>
      </c>
      <c r="D531" s="1033" t="s">
        <v>3205</v>
      </c>
      <c r="E531" s="1032"/>
      <c r="F531" s="651">
        <v>0</v>
      </c>
      <c r="G531" s="651">
        <v>9116.89</v>
      </c>
      <c r="H531" s="1036">
        <v>8736.14</v>
      </c>
      <c r="I531" s="1032"/>
      <c r="J531" s="651">
        <v>-380.75</v>
      </c>
    </row>
    <row r="532" spans="1:12">
      <c r="A532" s="1034"/>
      <c r="B532" s="1034"/>
      <c r="C532" s="650" t="s">
        <v>3206</v>
      </c>
      <c r="D532" s="1033" t="s">
        <v>3207</v>
      </c>
      <c r="E532" s="1032"/>
      <c r="F532" s="651">
        <v>0</v>
      </c>
      <c r="G532" s="651">
        <v>295974.65999999997</v>
      </c>
      <c r="H532" s="1036">
        <v>580989.92000000004</v>
      </c>
      <c r="I532" s="1032"/>
      <c r="J532" s="651">
        <v>285015.26</v>
      </c>
    </row>
    <row r="533" spans="1:12">
      <c r="A533" s="1034"/>
      <c r="B533" s="1034"/>
      <c r="C533" s="650" t="s">
        <v>3490</v>
      </c>
      <c r="D533" s="1033" t="s">
        <v>3430</v>
      </c>
      <c r="E533" s="1032"/>
      <c r="F533" s="651">
        <v>0</v>
      </c>
      <c r="G533" s="651">
        <v>0</v>
      </c>
      <c r="H533" s="1036">
        <v>1573.91</v>
      </c>
      <c r="I533" s="1032"/>
      <c r="J533" s="651">
        <v>1573.91</v>
      </c>
    </row>
    <row r="534" spans="1:12">
      <c r="A534" s="1034"/>
      <c r="B534" s="1034"/>
      <c r="C534" s="650" t="s">
        <v>3208</v>
      </c>
      <c r="D534" s="1033" t="s">
        <v>3209</v>
      </c>
      <c r="E534" s="1032"/>
      <c r="F534" s="651">
        <v>0</v>
      </c>
      <c r="G534" s="651">
        <v>107796.46</v>
      </c>
      <c r="H534" s="1036">
        <v>256888.15</v>
      </c>
      <c r="I534" s="1032"/>
      <c r="J534" s="651">
        <v>149091.69</v>
      </c>
    </row>
    <row r="535" spans="1:12">
      <c r="A535" s="1034"/>
      <c r="B535" s="1034"/>
      <c r="C535" s="650" t="s">
        <v>3210</v>
      </c>
      <c r="D535" s="1033" t="s">
        <v>3211</v>
      </c>
      <c r="E535" s="1032"/>
      <c r="F535" s="651">
        <v>0</v>
      </c>
      <c r="G535" s="651">
        <v>127217.07</v>
      </c>
      <c r="H535" s="1036">
        <v>403400.29</v>
      </c>
      <c r="I535" s="1032"/>
      <c r="J535" s="651">
        <v>276183.21999999997</v>
      </c>
    </row>
    <row r="536" spans="1:12">
      <c r="A536" s="1034"/>
      <c r="B536" s="1034"/>
      <c r="C536" s="650" t="s">
        <v>3212</v>
      </c>
      <c r="D536" s="1033" t="s">
        <v>3213</v>
      </c>
      <c r="E536" s="1032"/>
      <c r="F536" s="651">
        <v>0</v>
      </c>
      <c r="G536" s="651">
        <v>440.56</v>
      </c>
      <c r="H536" s="1036">
        <v>964.42</v>
      </c>
      <c r="I536" s="1032"/>
      <c r="J536" s="651">
        <v>523.86</v>
      </c>
      <c r="L536" s="646">
        <v>47556</v>
      </c>
    </row>
    <row r="537" spans="1:12">
      <c r="A537" s="1034"/>
      <c r="B537" s="1034"/>
      <c r="C537" s="650" t="s">
        <v>3214</v>
      </c>
      <c r="D537" s="1033" t="s">
        <v>3215</v>
      </c>
      <c r="E537" s="1032"/>
      <c r="F537" s="651">
        <v>0</v>
      </c>
      <c r="G537" s="651">
        <v>27932.71</v>
      </c>
      <c r="H537" s="1036">
        <v>102662.79</v>
      </c>
      <c r="I537" s="1032"/>
      <c r="J537" s="651">
        <v>74730.080000000002</v>
      </c>
      <c r="L537" s="656">
        <v>47566</v>
      </c>
    </row>
    <row r="538" spans="1:12">
      <c r="A538" s="1034"/>
      <c r="B538" s="1035"/>
      <c r="C538" s="657" t="s">
        <v>12</v>
      </c>
      <c r="D538" s="1031" t="s">
        <v>111</v>
      </c>
      <c r="E538" s="1032"/>
      <c r="F538" s="658">
        <v>0</v>
      </c>
      <c r="G538" s="658">
        <v>950662.6</v>
      </c>
      <c r="H538" s="1037">
        <v>1971191.09</v>
      </c>
      <c r="I538" s="1032"/>
      <c r="J538" s="658">
        <v>1020528.49</v>
      </c>
      <c r="L538" s="646">
        <f>J538</f>
        <v>1020528.49</v>
      </c>
    </row>
    <row r="539" spans="1:12">
      <c r="A539" s="1034"/>
      <c r="B539" s="1033" t="s">
        <v>2754</v>
      </c>
      <c r="C539" s="650" t="s">
        <v>2755</v>
      </c>
      <c r="D539" s="1033" t="s">
        <v>2746</v>
      </c>
      <c r="E539" s="1032"/>
      <c r="F539" s="651">
        <v>0</v>
      </c>
      <c r="G539" s="651">
        <v>243300.09</v>
      </c>
      <c r="H539" s="1036">
        <v>322594.14</v>
      </c>
      <c r="I539" s="1032"/>
      <c r="J539" s="651">
        <v>79294.05</v>
      </c>
    </row>
    <row r="540" spans="1:12">
      <c r="A540" s="1034"/>
      <c r="B540" s="1034"/>
      <c r="C540" s="650" t="s">
        <v>3216</v>
      </c>
      <c r="D540" s="1033" t="s">
        <v>3340</v>
      </c>
      <c r="E540" s="1032"/>
      <c r="F540" s="651">
        <v>0</v>
      </c>
      <c r="G540" s="651">
        <v>11195.76</v>
      </c>
      <c r="H540" s="1036">
        <v>9176.65</v>
      </c>
      <c r="I540" s="1032"/>
      <c r="J540" s="651">
        <v>-2019.11</v>
      </c>
    </row>
    <row r="541" spans="1:12">
      <c r="A541" s="1034"/>
      <c r="B541" s="1034"/>
      <c r="C541" s="650" t="s">
        <v>2756</v>
      </c>
      <c r="D541" s="1033" t="s">
        <v>2184</v>
      </c>
      <c r="E541" s="1032"/>
      <c r="F541" s="651">
        <v>0</v>
      </c>
      <c r="G541" s="651">
        <v>230954.47</v>
      </c>
      <c r="H541" s="1036">
        <v>339938.62</v>
      </c>
      <c r="I541" s="1032"/>
      <c r="J541" s="651">
        <v>108984.15</v>
      </c>
      <c r="L541" s="656">
        <f>82671788.38-401021</f>
        <v>82270767.379999995</v>
      </c>
    </row>
    <row r="542" spans="1:12">
      <c r="A542" s="1034"/>
      <c r="B542" s="1034"/>
      <c r="C542" s="650" t="s">
        <v>2757</v>
      </c>
      <c r="D542" s="1033" t="s">
        <v>2758</v>
      </c>
      <c r="E542" s="1032"/>
      <c r="F542" s="651">
        <v>0</v>
      </c>
      <c r="G542" s="651">
        <v>63750.19</v>
      </c>
      <c r="H542" s="1036">
        <v>97543.92</v>
      </c>
      <c r="I542" s="1032"/>
      <c r="J542" s="651">
        <v>33793.730000000003</v>
      </c>
    </row>
    <row r="543" spans="1:12">
      <c r="A543" s="1034"/>
      <c r="B543" s="1034"/>
      <c r="C543" s="650" t="s">
        <v>2759</v>
      </c>
      <c r="D543" s="1033" t="s">
        <v>2741</v>
      </c>
      <c r="E543" s="1032"/>
      <c r="F543" s="651">
        <v>0</v>
      </c>
      <c r="G543" s="651">
        <v>54778.6</v>
      </c>
      <c r="H543" s="1036">
        <v>105385.39</v>
      </c>
      <c r="I543" s="1032"/>
      <c r="J543" s="651">
        <v>50606.79</v>
      </c>
    </row>
    <row r="544" spans="1:12">
      <c r="A544" s="1034"/>
      <c r="B544" s="1034"/>
      <c r="C544" s="650" t="s">
        <v>2760</v>
      </c>
      <c r="D544" s="1033" t="s">
        <v>2743</v>
      </c>
      <c r="E544" s="1032"/>
      <c r="F544" s="651">
        <v>0</v>
      </c>
      <c r="G544" s="651">
        <v>10.36</v>
      </c>
      <c r="H544" s="1036">
        <v>38.08</v>
      </c>
      <c r="I544" s="1032"/>
      <c r="J544" s="651">
        <v>27.72</v>
      </c>
      <c r="L544" s="646"/>
    </row>
    <row r="545" spans="1:16">
      <c r="A545" s="1034"/>
      <c r="B545" s="1034"/>
      <c r="C545" s="650" t="s">
        <v>2761</v>
      </c>
      <c r="D545" s="1033" t="s">
        <v>2762</v>
      </c>
      <c r="E545" s="1032"/>
      <c r="F545" s="651">
        <v>0</v>
      </c>
      <c r="G545" s="651">
        <v>5547.98</v>
      </c>
      <c r="H545" s="1036">
        <v>13551.64</v>
      </c>
      <c r="I545" s="1032"/>
      <c r="J545" s="651">
        <v>8003.66</v>
      </c>
    </row>
    <row r="546" spans="1:16">
      <c r="A546" s="1034"/>
      <c r="B546" s="1035"/>
      <c r="C546" s="657" t="s">
        <v>12</v>
      </c>
      <c r="D546" s="1031" t="s">
        <v>111</v>
      </c>
      <c r="E546" s="1032"/>
      <c r="F546" s="658">
        <v>0</v>
      </c>
      <c r="G546" s="658">
        <v>609537.44999999995</v>
      </c>
      <c r="H546" s="1037">
        <v>888228.44</v>
      </c>
      <c r="I546" s="1032"/>
      <c r="J546" s="658">
        <v>278690.99</v>
      </c>
      <c r="L546" s="646">
        <f>J546</f>
        <v>278690.99</v>
      </c>
      <c r="N546" s="645"/>
      <c r="P546" s="645"/>
    </row>
    <row r="547" spans="1:16">
      <c r="A547" s="1034"/>
      <c r="B547" s="1033" t="s">
        <v>2763</v>
      </c>
      <c r="C547" s="650" t="s">
        <v>3217</v>
      </c>
      <c r="D547" s="1033" t="s">
        <v>3218</v>
      </c>
      <c r="E547" s="1032"/>
      <c r="F547" s="651">
        <v>0</v>
      </c>
      <c r="G547" s="651">
        <v>455851.66</v>
      </c>
      <c r="H547" s="1036">
        <v>1521550.57</v>
      </c>
      <c r="I547" s="1032"/>
      <c r="J547" s="651">
        <v>1065698.9099999999</v>
      </c>
      <c r="L547" s="645">
        <f>SUM(L492:L546)</f>
        <v>165037677.75999999</v>
      </c>
      <c r="M547" s="646">
        <f>L493</f>
        <v>401021.17</v>
      </c>
    </row>
    <row r="548" spans="1:16">
      <c r="A548" s="1034"/>
      <c r="B548" s="1034"/>
      <c r="C548" s="650" t="s">
        <v>3219</v>
      </c>
      <c r="D548" s="1033" t="s">
        <v>3220</v>
      </c>
      <c r="E548" s="1032"/>
      <c r="F548" s="651">
        <v>0</v>
      </c>
      <c r="G548" s="651">
        <v>418773.25</v>
      </c>
      <c r="H548" s="1036">
        <v>778558.29</v>
      </c>
      <c r="I548" s="1032"/>
      <c r="J548" s="651">
        <v>359785.04</v>
      </c>
      <c r="L548" s="645">
        <f>J548+J552+J555+J560+J565</f>
        <v>1683857.43</v>
      </c>
    </row>
    <row r="549" spans="1:16">
      <c r="A549" s="1034"/>
      <c r="B549" s="1034"/>
      <c r="C549" s="650" t="s">
        <v>2764</v>
      </c>
      <c r="D549" s="1033" t="s">
        <v>2186</v>
      </c>
      <c r="E549" s="1032"/>
      <c r="F549" s="651">
        <v>0</v>
      </c>
      <c r="G549" s="651">
        <v>35</v>
      </c>
      <c r="H549" s="1036">
        <v>0</v>
      </c>
      <c r="I549" s="1032"/>
      <c r="J549" s="651">
        <v>-35</v>
      </c>
      <c r="L549" s="645">
        <f>J549+J550+J553+J556+J561+J566</f>
        <v>-975</v>
      </c>
    </row>
    <row r="550" spans="1:16">
      <c r="A550" s="1034"/>
      <c r="B550" s="1034"/>
      <c r="C550" s="650" t="s">
        <v>2765</v>
      </c>
      <c r="D550" s="1033" t="s">
        <v>2187</v>
      </c>
      <c r="E550" s="1032"/>
      <c r="F550" s="651">
        <v>0</v>
      </c>
      <c r="G550" s="651">
        <v>0</v>
      </c>
      <c r="H550" s="1036">
        <v>0</v>
      </c>
      <c r="I550" s="1032"/>
      <c r="J550" s="651">
        <v>0</v>
      </c>
      <c r="L550" s="645">
        <f>J558+J563+J568+J570</f>
        <v>-120</v>
      </c>
    </row>
    <row r="551" spans="1:16">
      <c r="A551" s="1034"/>
      <c r="B551" s="1034"/>
      <c r="C551" s="650" t="s">
        <v>2766</v>
      </c>
      <c r="D551" s="1033" t="s">
        <v>2188</v>
      </c>
      <c r="E551" s="1032"/>
      <c r="F551" s="651">
        <v>0</v>
      </c>
      <c r="G551" s="651">
        <v>455851.66</v>
      </c>
      <c r="H551" s="1036">
        <v>1517491.32</v>
      </c>
      <c r="I551" s="1032"/>
      <c r="J551" s="651">
        <v>1061639.6599999999</v>
      </c>
      <c r="L551" s="645">
        <f>J557+J562+J567+J569</f>
        <v>-175</v>
      </c>
    </row>
    <row r="552" spans="1:16">
      <c r="A552" s="1034"/>
      <c r="B552" s="1034"/>
      <c r="C552" s="650" t="s">
        <v>3221</v>
      </c>
      <c r="D552" s="1033" t="s">
        <v>3222</v>
      </c>
      <c r="E552" s="1032"/>
      <c r="F552" s="651">
        <v>0</v>
      </c>
      <c r="G552" s="651">
        <v>418444.28</v>
      </c>
      <c r="H552" s="1036">
        <v>778266.43</v>
      </c>
      <c r="I552" s="1032"/>
      <c r="J552" s="651">
        <v>359822.15</v>
      </c>
      <c r="L552" s="646"/>
    </row>
    <row r="553" spans="1:16">
      <c r="A553" s="1034"/>
      <c r="B553" s="1034"/>
      <c r="C553" s="650" t="s">
        <v>2767</v>
      </c>
      <c r="D553" s="1033" t="s">
        <v>2189</v>
      </c>
      <c r="E553" s="1032"/>
      <c r="F553" s="651">
        <v>0</v>
      </c>
      <c r="G553" s="651">
        <v>700</v>
      </c>
      <c r="H553" s="1036">
        <v>0</v>
      </c>
      <c r="I553" s="1032"/>
      <c r="J553" s="651">
        <v>-700</v>
      </c>
    </row>
    <row r="554" spans="1:16">
      <c r="A554" s="1034"/>
      <c r="B554" s="1034"/>
      <c r="C554" s="650" t="s">
        <v>2768</v>
      </c>
      <c r="D554" s="1033" t="s">
        <v>2190</v>
      </c>
      <c r="E554" s="1032"/>
      <c r="F554" s="651">
        <v>0</v>
      </c>
      <c r="G554" s="651">
        <v>455851.66</v>
      </c>
      <c r="H554" s="1036">
        <v>1517723.78</v>
      </c>
      <c r="I554" s="1032"/>
      <c r="J554" s="651">
        <v>1061872.1200000001</v>
      </c>
    </row>
    <row r="555" spans="1:16">
      <c r="A555" s="1034"/>
      <c r="B555" s="1034"/>
      <c r="C555" s="650" t="s">
        <v>3223</v>
      </c>
      <c r="D555" s="1033" t="s">
        <v>3224</v>
      </c>
      <c r="E555" s="1032"/>
      <c r="F555" s="651">
        <v>0</v>
      </c>
      <c r="G555" s="651">
        <v>418444.28</v>
      </c>
      <c r="H555" s="1036">
        <v>779354.92</v>
      </c>
      <c r="I555" s="1032"/>
      <c r="J555" s="651">
        <v>360910.64</v>
      </c>
    </row>
    <row r="556" spans="1:16">
      <c r="A556" s="1034"/>
      <c r="B556" s="1034"/>
      <c r="C556" s="650" t="s">
        <v>2769</v>
      </c>
      <c r="D556" s="1033" t="s">
        <v>2191</v>
      </c>
      <c r="E556" s="1032"/>
      <c r="F556" s="651">
        <v>0</v>
      </c>
      <c r="G556" s="651">
        <v>240</v>
      </c>
      <c r="H556" s="1036">
        <v>0</v>
      </c>
      <c r="I556" s="1032"/>
      <c r="J556" s="651">
        <v>-240</v>
      </c>
    </row>
    <row r="557" spans="1:16">
      <c r="A557" s="1034"/>
      <c r="B557" s="1034"/>
      <c r="C557" s="650" t="s">
        <v>2770</v>
      </c>
      <c r="D557" s="1033" t="s">
        <v>2192</v>
      </c>
      <c r="E557" s="1032"/>
      <c r="F557" s="651">
        <v>0</v>
      </c>
      <c r="G557" s="651">
        <v>50</v>
      </c>
      <c r="H557" s="1036">
        <v>0</v>
      </c>
      <c r="I557" s="1032"/>
      <c r="J557" s="651">
        <v>-50</v>
      </c>
    </row>
    <row r="558" spans="1:16">
      <c r="A558" s="1034"/>
      <c r="B558" s="1034"/>
      <c r="C558" s="650" t="s">
        <v>2771</v>
      </c>
      <c r="D558" s="1033" t="s">
        <v>2193</v>
      </c>
      <c r="E558" s="1032"/>
      <c r="F558" s="651">
        <v>0</v>
      </c>
      <c r="G558" s="651">
        <v>120</v>
      </c>
      <c r="H558" s="1036">
        <v>0</v>
      </c>
      <c r="I558" s="1032"/>
      <c r="J558" s="651">
        <v>-120</v>
      </c>
    </row>
    <row r="559" spans="1:16">
      <c r="A559" s="1034"/>
      <c r="B559" s="1034"/>
      <c r="C559" s="650" t="s">
        <v>2772</v>
      </c>
      <c r="D559" s="1033" t="s">
        <v>2165</v>
      </c>
      <c r="E559" s="1032"/>
      <c r="F559" s="651">
        <v>0</v>
      </c>
      <c r="G559" s="651">
        <v>457061.65</v>
      </c>
      <c r="H559" s="1036">
        <v>1531904.43</v>
      </c>
      <c r="I559" s="1032"/>
      <c r="J559" s="651">
        <v>1074842.78</v>
      </c>
    </row>
    <row r="560" spans="1:16">
      <c r="A560" s="1034"/>
      <c r="B560" s="1034"/>
      <c r="C560" s="650" t="s">
        <v>2773</v>
      </c>
      <c r="D560" s="1033" t="s">
        <v>2194</v>
      </c>
      <c r="E560" s="1032"/>
      <c r="F560" s="651">
        <v>0</v>
      </c>
      <c r="G560" s="651">
        <v>419691.93</v>
      </c>
      <c r="H560" s="1036">
        <v>831424.85</v>
      </c>
      <c r="I560" s="1032"/>
      <c r="J560" s="651">
        <v>411732.92</v>
      </c>
    </row>
    <row r="561" spans="1:12">
      <c r="A561" s="1034"/>
      <c r="B561" s="1034"/>
      <c r="C561" s="650" t="s">
        <v>2774</v>
      </c>
      <c r="D561" s="1033" t="s">
        <v>2195</v>
      </c>
      <c r="E561" s="1032"/>
      <c r="F561" s="651">
        <v>0</v>
      </c>
      <c r="G561" s="651">
        <v>0</v>
      </c>
      <c r="H561" s="1036">
        <v>0</v>
      </c>
      <c r="I561" s="1032"/>
      <c r="J561" s="651">
        <v>0</v>
      </c>
    </row>
    <row r="562" spans="1:12">
      <c r="A562" s="1034"/>
      <c r="B562" s="1034"/>
      <c r="C562" s="650" t="s">
        <v>2775</v>
      </c>
      <c r="D562" s="1033" t="s">
        <v>2196</v>
      </c>
      <c r="E562" s="1032"/>
      <c r="F562" s="651">
        <v>0</v>
      </c>
      <c r="G562" s="651">
        <v>0</v>
      </c>
      <c r="H562" s="1036">
        <v>0</v>
      </c>
      <c r="I562" s="1032"/>
      <c r="J562" s="651">
        <v>0</v>
      </c>
    </row>
    <row r="563" spans="1:12">
      <c r="A563" s="1034"/>
      <c r="B563" s="1034"/>
      <c r="C563" s="650" t="s">
        <v>2776</v>
      </c>
      <c r="D563" s="1033" t="s">
        <v>2197</v>
      </c>
      <c r="E563" s="1032"/>
      <c r="F563" s="651">
        <v>0</v>
      </c>
      <c r="G563" s="651">
        <v>0</v>
      </c>
      <c r="H563" s="1036">
        <v>0</v>
      </c>
      <c r="I563" s="1032"/>
      <c r="J563" s="651">
        <v>0</v>
      </c>
    </row>
    <row r="564" spans="1:12">
      <c r="A564" s="1034"/>
      <c r="B564" s="1034"/>
      <c r="C564" s="650" t="s">
        <v>3225</v>
      </c>
      <c r="D564" s="1033" t="s">
        <v>3226</v>
      </c>
      <c r="E564" s="1032"/>
      <c r="F564" s="651">
        <v>0</v>
      </c>
      <c r="G564" s="651">
        <v>455851.66</v>
      </c>
      <c r="H564" s="1036">
        <v>1518111.8</v>
      </c>
      <c r="I564" s="1032"/>
      <c r="J564" s="651">
        <v>1062260.1399999999</v>
      </c>
    </row>
    <row r="565" spans="1:12">
      <c r="A565" s="1034"/>
      <c r="B565" s="1034"/>
      <c r="C565" s="650" t="s">
        <v>3227</v>
      </c>
      <c r="D565" s="1033" t="s">
        <v>3228</v>
      </c>
      <c r="E565" s="1032"/>
      <c r="F565" s="651">
        <v>0</v>
      </c>
      <c r="G565" s="651">
        <v>587955.15</v>
      </c>
      <c r="H565" s="1036">
        <v>779561.83</v>
      </c>
      <c r="I565" s="1032"/>
      <c r="J565" s="651">
        <v>191606.68</v>
      </c>
    </row>
    <row r="566" spans="1:12">
      <c r="A566" s="1034"/>
      <c r="B566" s="1034"/>
      <c r="C566" s="650" t="s">
        <v>2777</v>
      </c>
      <c r="D566" s="1033" t="s">
        <v>2198</v>
      </c>
      <c r="E566" s="1032"/>
      <c r="F566" s="651">
        <v>0</v>
      </c>
      <c r="G566" s="651">
        <v>0</v>
      </c>
      <c r="H566" s="1036">
        <v>0</v>
      </c>
      <c r="I566" s="1032"/>
      <c r="J566" s="651">
        <v>0</v>
      </c>
    </row>
    <row r="567" spans="1:12">
      <c r="A567" s="1034"/>
      <c r="B567" s="1034"/>
      <c r="C567" s="650" t="s">
        <v>2778</v>
      </c>
      <c r="D567" s="1033" t="s">
        <v>2199</v>
      </c>
      <c r="E567" s="1032"/>
      <c r="F567" s="651">
        <v>0</v>
      </c>
      <c r="G567" s="651">
        <v>125</v>
      </c>
      <c r="H567" s="1036">
        <v>0</v>
      </c>
      <c r="I567" s="1032"/>
      <c r="J567" s="651">
        <v>-125</v>
      </c>
    </row>
    <row r="568" spans="1:12">
      <c r="A568" s="1034"/>
      <c r="B568" s="1034"/>
      <c r="C568" s="650" t="s">
        <v>2779</v>
      </c>
      <c r="D568" s="1033" t="s">
        <v>2200</v>
      </c>
      <c r="E568" s="1032"/>
      <c r="F568" s="651">
        <v>0</v>
      </c>
      <c r="G568" s="651">
        <v>0</v>
      </c>
      <c r="H568" s="1036">
        <v>0</v>
      </c>
      <c r="I568" s="1032"/>
      <c r="J568" s="651">
        <v>0</v>
      </c>
    </row>
    <row r="569" spans="1:12">
      <c r="A569" s="1034"/>
      <c r="B569" s="1034"/>
      <c r="C569" s="650" t="s">
        <v>2780</v>
      </c>
      <c r="D569" s="1033" t="s">
        <v>2201</v>
      </c>
      <c r="E569" s="1032"/>
      <c r="F569" s="651">
        <v>0</v>
      </c>
      <c r="G569" s="651">
        <v>0</v>
      </c>
      <c r="H569" s="1036">
        <v>0</v>
      </c>
      <c r="I569" s="1032"/>
      <c r="J569" s="651">
        <v>0</v>
      </c>
    </row>
    <row r="570" spans="1:12">
      <c r="A570" s="1034"/>
      <c r="B570" s="1034"/>
      <c r="C570" s="650" t="s">
        <v>3229</v>
      </c>
      <c r="D570" s="1033" t="s">
        <v>3230</v>
      </c>
      <c r="E570" s="1032"/>
      <c r="F570" s="651">
        <v>0</v>
      </c>
      <c r="G570" s="651">
        <v>0</v>
      </c>
      <c r="H570" s="1036">
        <v>0</v>
      </c>
      <c r="I570" s="1032"/>
      <c r="J570" s="651">
        <v>0</v>
      </c>
    </row>
    <row r="571" spans="1:12">
      <c r="A571" s="1034"/>
      <c r="B571" s="1034"/>
      <c r="C571" s="650" t="s">
        <v>3491</v>
      </c>
      <c r="D571" s="1033" t="s">
        <v>3492</v>
      </c>
      <c r="E571" s="1032"/>
      <c r="F571" s="651">
        <v>0</v>
      </c>
      <c r="G571" s="651">
        <v>4240.25</v>
      </c>
      <c r="H571" s="1036">
        <v>1714487.25</v>
      </c>
      <c r="I571" s="1032"/>
      <c r="J571" s="651">
        <v>1710247</v>
      </c>
      <c r="L571" s="645">
        <f>L574+L549+L551</f>
        <v>14879715.23</v>
      </c>
    </row>
    <row r="572" spans="1:12">
      <c r="A572" s="1034"/>
      <c r="B572" s="1034"/>
      <c r="C572" s="650" t="s">
        <v>3493</v>
      </c>
      <c r="D572" s="1033" t="s">
        <v>3494</v>
      </c>
      <c r="E572" s="1032"/>
      <c r="F572" s="651">
        <v>0</v>
      </c>
      <c r="G572" s="651">
        <v>2541</v>
      </c>
      <c r="H572" s="1036">
        <v>2473749.6</v>
      </c>
      <c r="I572" s="1032"/>
      <c r="J572" s="651">
        <v>2471208.6</v>
      </c>
    </row>
    <row r="573" spans="1:12">
      <c r="A573" s="1034"/>
      <c r="B573" s="1034"/>
      <c r="C573" s="650" t="s">
        <v>3495</v>
      </c>
      <c r="D573" s="1033" t="s">
        <v>3496</v>
      </c>
      <c r="E573" s="1032"/>
      <c r="F573" s="651">
        <v>0</v>
      </c>
      <c r="G573" s="651">
        <v>2450</v>
      </c>
      <c r="H573" s="1036">
        <v>1936177.25</v>
      </c>
      <c r="I573" s="1032"/>
      <c r="J573" s="651">
        <v>1933727.25</v>
      </c>
    </row>
    <row r="574" spans="1:12">
      <c r="A574" s="1034"/>
      <c r="B574" s="1034"/>
      <c r="C574" s="650" t="s">
        <v>3497</v>
      </c>
      <c r="D574" s="1033" t="s">
        <v>3498</v>
      </c>
      <c r="E574" s="1032"/>
      <c r="F574" s="651">
        <v>0</v>
      </c>
      <c r="G574" s="651">
        <v>25970</v>
      </c>
      <c r="H574" s="1036">
        <v>5213143.79</v>
      </c>
      <c r="I574" s="1032"/>
      <c r="J574" s="651">
        <v>5187173.79</v>
      </c>
      <c r="L574" s="645">
        <f>J571+J572+J573+J574+J575+J576</f>
        <v>14880865.23</v>
      </c>
    </row>
    <row r="575" spans="1:12">
      <c r="A575" s="1034"/>
      <c r="B575" s="1034"/>
      <c r="C575" s="650" t="s">
        <v>3499</v>
      </c>
      <c r="D575" s="1033" t="s">
        <v>3500</v>
      </c>
      <c r="E575" s="1032"/>
      <c r="F575" s="651">
        <v>0</v>
      </c>
      <c r="G575" s="651">
        <v>67313.08</v>
      </c>
      <c r="H575" s="1036">
        <v>1940838.67</v>
      </c>
      <c r="I575" s="1032"/>
      <c r="J575" s="651">
        <v>1873525.59</v>
      </c>
    </row>
    <row r="576" spans="1:12">
      <c r="A576" s="1034"/>
      <c r="B576" s="1034"/>
      <c r="C576" s="650" t="s">
        <v>3501</v>
      </c>
      <c r="D576" s="1033" t="s">
        <v>3502</v>
      </c>
      <c r="E576" s="1032"/>
      <c r="F576" s="651">
        <v>0</v>
      </c>
      <c r="G576" s="651">
        <v>16030</v>
      </c>
      <c r="H576" s="1036">
        <v>1721013</v>
      </c>
      <c r="I576" s="1032"/>
      <c r="J576" s="651">
        <v>1704983</v>
      </c>
    </row>
    <row r="577" spans="1:13">
      <c r="A577" s="1034"/>
      <c r="B577" s="1035"/>
      <c r="C577" s="657" t="s">
        <v>12</v>
      </c>
      <c r="D577" s="1031" t="s">
        <v>111</v>
      </c>
      <c r="E577" s="1032"/>
      <c r="F577" s="658">
        <v>0</v>
      </c>
      <c r="G577" s="658">
        <v>4663591.51</v>
      </c>
      <c r="H577" s="1037">
        <v>26553357.780000001</v>
      </c>
      <c r="I577" s="1032"/>
      <c r="J577" s="658">
        <v>21889766.27</v>
      </c>
      <c r="M577" s="646">
        <f>J577</f>
        <v>21889766.27</v>
      </c>
    </row>
    <row r="578" spans="1:13">
      <c r="A578" s="1034"/>
      <c r="B578" s="1033" t="s">
        <v>2781</v>
      </c>
      <c r="C578" s="650" t="s">
        <v>2782</v>
      </c>
      <c r="D578" s="1033" t="s">
        <v>2202</v>
      </c>
      <c r="E578" s="1032"/>
      <c r="F578" s="651">
        <v>0</v>
      </c>
      <c r="G578" s="651">
        <v>0</v>
      </c>
      <c r="H578" s="1036">
        <v>0</v>
      </c>
      <c r="I578" s="1032"/>
      <c r="J578" s="651">
        <v>0</v>
      </c>
    </row>
    <row r="579" spans="1:13">
      <c r="A579" s="1034"/>
      <c r="B579" s="1035"/>
      <c r="C579" s="657" t="s">
        <v>12</v>
      </c>
      <c r="D579" s="1031" t="s">
        <v>111</v>
      </c>
      <c r="E579" s="1032"/>
      <c r="F579" s="658">
        <v>0</v>
      </c>
      <c r="G579" s="658">
        <v>0</v>
      </c>
      <c r="H579" s="1037">
        <v>0</v>
      </c>
      <c r="I579" s="1032"/>
      <c r="J579" s="658">
        <v>0</v>
      </c>
      <c r="L579" s="645">
        <f>SUM(L547:L578)</f>
        <v>196480845.64999998</v>
      </c>
    </row>
    <row r="580" spans="1:13">
      <c r="A580" s="1034"/>
      <c r="B580" s="1033" t="s">
        <v>2783</v>
      </c>
      <c r="C580" s="650" t="s">
        <v>2784</v>
      </c>
      <c r="D580" s="1033" t="s">
        <v>2203</v>
      </c>
      <c r="E580" s="1032"/>
      <c r="F580" s="651">
        <v>0</v>
      </c>
      <c r="G580" s="651">
        <v>80662.679999999993</v>
      </c>
      <c r="H580" s="1036">
        <v>257444.47</v>
      </c>
      <c r="I580" s="1032"/>
      <c r="J580" s="651">
        <v>176781.79</v>
      </c>
    </row>
    <row r="581" spans="1:13">
      <c r="A581" s="1034"/>
      <c r="B581" s="1034"/>
      <c r="C581" s="650" t="s">
        <v>2785</v>
      </c>
      <c r="D581" s="1033" t="s">
        <v>2204</v>
      </c>
      <c r="E581" s="1032"/>
      <c r="F581" s="651">
        <v>0</v>
      </c>
      <c r="G581" s="651">
        <v>0</v>
      </c>
      <c r="H581" s="1036">
        <v>0</v>
      </c>
      <c r="I581" s="1032"/>
      <c r="J581" s="651">
        <v>0</v>
      </c>
    </row>
    <row r="582" spans="1:13">
      <c r="A582" s="1034"/>
      <c r="B582" s="1035"/>
      <c r="C582" s="657" t="s">
        <v>12</v>
      </c>
      <c r="D582" s="1031" t="s">
        <v>111</v>
      </c>
      <c r="E582" s="1032"/>
      <c r="F582" s="658">
        <v>0</v>
      </c>
      <c r="G582" s="658">
        <v>80662.679999999993</v>
      </c>
      <c r="H582" s="1037">
        <v>257444.47</v>
      </c>
      <c r="I582" s="1032"/>
      <c r="J582" s="658">
        <v>176781.79</v>
      </c>
    </row>
    <row r="583" spans="1:13">
      <c r="A583" s="1034"/>
      <c r="B583" s="1033" t="s">
        <v>2786</v>
      </c>
      <c r="C583" s="650" t="s">
        <v>2787</v>
      </c>
      <c r="D583" s="1033" t="s">
        <v>2205</v>
      </c>
      <c r="E583" s="1032"/>
      <c r="F583" s="651">
        <v>0</v>
      </c>
      <c r="G583" s="651">
        <v>0</v>
      </c>
      <c r="H583" s="1036">
        <v>707.21</v>
      </c>
      <c r="I583" s="1032"/>
      <c r="J583" s="651">
        <v>707.21</v>
      </c>
    </row>
    <row r="584" spans="1:13">
      <c r="A584" s="1034"/>
      <c r="B584" s="1035"/>
      <c r="C584" s="657" t="s">
        <v>12</v>
      </c>
      <c r="D584" s="1031" t="s">
        <v>111</v>
      </c>
      <c r="E584" s="1032"/>
      <c r="F584" s="658">
        <v>0</v>
      </c>
      <c r="G584" s="658">
        <v>0</v>
      </c>
      <c r="H584" s="1037">
        <v>707.21</v>
      </c>
      <c r="I584" s="1032"/>
      <c r="J584" s="658">
        <v>707.21</v>
      </c>
    </row>
    <row r="585" spans="1:13">
      <c r="A585" s="1034"/>
      <c r="B585" s="1033" t="s">
        <v>2788</v>
      </c>
      <c r="C585" s="650" t="s">
        <v>2789</v>
      </c>
      <c r="D585" s="1033" t="s">
        <v>2206</v>
      </c>
      <c r="E585" s="1032"/>
      <c r="F585" s="651">
        <v>0</v>
      </c>
      <c r="G585" s="651">
        <v>0</v>
      </c>
      <c r="H585" s="1036">
        <v>0</v>
      </c>
      <c r="I585" s="1032"/>
      <c r="J585" s="651">
        <v>0</v>
      </c>
    </row>
    <row r="586" spans="1:13">
      <c r="A586" s="1034"/>
      <c r="B586" s="1035"/>
      <c r="C586" s="657" t="s">
        <v>12</v>
      </c>
      <c r="D586" s="1031" t="s">
        <v>111</v>
      </c>
      <c r="E586" s="1032"/>
      <c r="F586" s="658">
        <v>0</v>
      </c>
      <c r="G586" s="658">
        <v>0</v>
      </c>
      <c r="H586" s="1037">
        <v>0</v>
      </c>
      <c r="I586" s="1032"/>
      <c r="J586" s="658">
        <v>0</v>
      </c>
    </row>
    <row r="587" spans="1:13">
      <c r="A587" s="1034"/>
      <c r="B587" s="1033" t="s">
        <v>2790</v>
      </c>
      <c r="C587" s="650" t="s">
        <v>2791</v>
      </c>
      <c r="D587" s="1033" t="s">
        <v>2207</v>
      </c>
      <c r="E587" s="1032"/>
      <c r="F587" s="651">
        <v>0</v>
      </c>
      <c r="G587" s="651">
        <v>14</v>
      </c>
      <c r="H587" s="1036">
        <v>67725</v>
      </c>
      <c r="I587" s="1032"/>
      <c r="J587" s="651">
        <v>67711</v>
      </c>
    </row>
    <row r="588" spans="1:13">
      <c r="A588" s="1034"/>
      <c r="B588" s="1034"/>
      <c r="C588" s="650" t="s">
        <v>2792</v>
      </c>
      <c r="D588" s="1033" t="s">
        <v>2208</v>
      </c>
      <c r="E588" s="1032"/>
      <c r="F588" s="651">
        <v>0</v>
      </c>
      <c r="G588" s="651">
        <v>3387.56</v>
      </c>
      <c r="H588" s="1036">
        <v>3689969</v>
      </c>
      <c r="I588" s="1032"/>
      <c r="J588" s="651">
        <v>3686581.44</v>
      </c>
    </row>
    <row r="589" spans="1:13">
      <c r="A589" s="1034"/>
      <c r="B589" s="1034"/>
      <c r="C589" s="650" t="s">
        <v>3231</v>
      </c>
      <c r="D589" s="1033" t="s">
        <v>3232</v>
      </c>
      <c r="E589" s="1032"/>
      <c r="F589" s="651">
        <v>0</v>
      </c>
      <c r="G589" s="651">
        <v>0</v>
      </c>
      <c r="H589" s="1036">
        <v>1578</v>
      </c>
      <c r="I589" s="1032"/>
      <c r="J589" s="651">
        <v>1578</v>
      </c>
    </row>
    <row r="590" spans="1:13">
      <c r="A590" s="1034"/>
      <c r="B590" s="1034"/>
      <c r="C590" s="650" t="s">
        <v>2793</v>
      </c>
      <c r="D590" s="1033" t="s">
        <v>2209</v>
      </c>
      <c r="E590" s="1032"/>
      <c r="F590" s="651">
        <v>0</v>
      </c>
      <c r="G590" s="651">
        <v>840</v>
      </c>
      <c r="H590" s="1036">
        <v>0</v>
      </c>
      <c r="I590" s="1032"/>
      <c r="J590" s="651">
        <v>-840</v>
      </c>
    </row>
    <row r="591" spans="1:13">
      <c r="A591" s="1034"/>
      <c r="B591" s="1034"/>
      <c r="C591" s="650" t="s">
        <v>2794</v>
      </c>
      <c r="D591" s="1033" t="s">
        <v>2210</v>
      </c>
      <c r="E591" s="1032"/>
      <c r="F591" s="651">
        <v>0</v>
      </c>
      <c r="G591" s="651">
        <v>0</v>
      </c>
      <c r="H591" s="1036">
        <v>2331</v>
      </c>
      <c r="I591" s="1032"/>
      <c r="J591" s="651">
        <v>2331</v>
      </c>
    </row>
    <row r="592" spans="1:13">
      <c r="A592" s="1034"/>
      <c r="B592" s="1034"/>
      <c r="C592" s="650" t="s">
        <v>2795</v>
      </c>
      <c r="D592" s="1033" t="s">
        <v>3233</v>
      </c>
      <c r="E592" s="1032"/>
      <c r="F592" s="651">
        <v>0</v>
      </c>
      <c r="G592" s="651">
        <v>2440</v>
      </c>
      <c r="H592" s="1036">
        <v>97100</v>
      </c>
      <c r="I592" s="1032"/>
      <c r="J592" s="651">
        <v>94660</v>
      </c>
    </row>
    <row r="593" spans="1:10">
      <c r="A593" s="1034"/>
      <c r="B593" s="1034"/>
      <c r="C593" s="650" t="s">
        <v>3234</v>
      </c>
      <c r="D593" s="1033" t="s">
        <v>3235</v>
      </c>
      <c r="E593" s="1032"/>
      <c r="F593" s="651">
        <v>0</v>
      </c>
      <c r="G593" s="651">
        <v>0</v>
      </c>
      <c r="H593" s="1036">
        <v>160</v>
      </c>
      <c r="I593" s="1032"/>
      <c r="J593" s="651">
        <v>160</v>
      </c>
    </row>
    <row r="594" spans="1:10">
      <c r="A594" s="1034"/>
      <c r="B594" s="1034"/>
      <c r="C594" s="650" t="s">
        <v>3236</v>
      </c>
      <c r="D594" s="1033" t="s">
        <v>3237</v>
      </c>
      <c r="E594" s="1032"/>
      <c r="F594" s="651">
        <v>0</v>
      </c>
      <c r="G594" s="651">
        <v>0</v>
      </c>
      <c r="H594" s="1036">
        <v>278.87</v>
      </c>
      <c r="I594" s="1032"/>
      <c r="J594" s="651">
        <v>278.87</v>
      </c>
    </row>
    <row r="595" spans="1:10">
      <c r="A595" s="1034"/>
      <c r="B595" s="1034"/>
      <c r="C595" s="650" t="s">
        <v>3238</v>
      </c>
      <c r="D595" s="1033" t="s">
        <v>3239</v>
      </c>
      <c r="E595" s="1032"/>
      <c r="F595" s="651">
        <v>0</v>
      </c>
      <c r="G595" s="651">
        <v>0</v>
      </c>
      <c r="H595" s="1036">
        <v>1875</v>
      </c>
      <c r="I595" s="1032"/>
      <c r="J595" s="651">
        <v>1875</v>
      </c>
    </row>
    <row r="596" spans="1:10">
      <c r="A596" s="1034"/>
      <c r="B596" s="1034"/>
      <c r="C596" s="650" t="s">
        <v>3240</v>
      </c>
      <c r="D596" s="1033" t="s">
        <v>3241</v>
      </c>
      <c r="E596" s="1032"/>
      <c r="F596" s="651">
        <v>0</v>
      </c>
      <c r="G596" s="651">
        <v>50</v>
      </c>
      <c r="H596" s="1036">
        <v>2870</v>
      </c>
      <c r="I596" s="1032"/>
      <c r="J596" s="651">
        <v>2820</v>
      </c>
    </row>
    <row r="597" spans="1:10">
      <c r="A597" s="1034"/>
      <c r="B597" s="1034"/>
      <c r="C597" s="650" t="s">
        <v>3242</v>
      </c>
      <c r="D597" s="1033" t="s">
        <v>3243</v>
      </c>
      <c r="E597" s="1032"/>
      <c r="F597" s="651">
        <v>0</v>
      </c>
      <c r="G597" s="651">
        <v>3130</v>
      </c>
      <c r="H597" s="1036">
        <v>8774.44</v>
      </c>
      <c r="I597" s="1032"/>
      <c r="J597" s="651">
        <v>5644.44</v>
      </c>
    </row>
    <row r="598" spans="1:10">
      <c r="A598" s="1034"/>
      <c r="B598" s="1034"/>
      <c r="C598" s="650" t="s">
        <v>3244</v>
      </c>
      <c r="D598" s="1033" t="s">
        <v>3341</v>
      </c>
      <c r="E598" s="1032"/>
      <c r="F598" s="651">
        <v>0</v>
      </c>
      <c r="G598" s="651">
        <v>250</v>
      </c>
      <c r="H598" s="1036">
        <v>37312.370000000003</v>
      </c>
      <c r="I598" s="1032"/>
      <c r="J598" s="651">
        <v>37062.370000000003</v>
      </c>
    </row>
    <row r="599" spans="1:10">
      <c r="A599" s="1034"/>
      <c r="B599" s="1034"/>
      <c r="C599" s="650" t="s">
        <v>3503</v>
      </c>
      <c r="D599" s="1033" t="s">
        <v>3504</v>
      </c>
      <c r="E599" s="1032"/>
      <c r="F599" s="651">
        <v>0</v>
      </c>
      <c r="G599" s="651">
        <v>480</v>
      </c>
      <c r="H599" s="1036">
        <v>63840</v>
      </c>
      <c r="I599" s="1032"/>
      <c r="J599" s="651">
        <v>63360</v>
      </c>
    </row>
    <row r="600" spans="1:10">
      <c r="A600" s="1034"/>
      <c r="B600" s="1035"/>
      <c r="C600" s="657" t="s">
        <v>12</v>
      </c>
      <c r="D600" s="1031" t="s">
        <v>111</v>
      </c>
      <c r="E600" s="1032"/>
      <c r="F600" s="658">
        <v>0</v>
      </c>
      <c r="G600" s="658">
        <v>10591.56</v>
      </c>
      <c r="H600" s="1037">
        <v>3973813.68</v>
      </c>
      <c r="I600" s="1032"/>
      <c r="J600" s="658">
        <v>3963222.12</v>
      </c>
    </row>
    <row r="601" spans="1:10">
      <c r="A601" s="1034"/>
      <c r="B601" s="1033" t="s">
        <v>3342</v>
      </c>
      <c r="C601" s="650" t="s">
        <v>3245</v>
      </c>
      <c r="D601" s="1033" t="s">
        <v>3343</v>
      </c>
      <c r="E601" s="1032"/>
      <c r="F601" s="651">
        <v>0</v>
      </c>
      <c r="G601" s="651">
        <v>0</v>
      </c>
      <c r="H601" s="1036">
        <v>0</v>
      </c>
      <c r="I601" s="1032"/>
      <c r="J601" s="651">
        <v>0</v>
      </c>
    </row>
    <row r="602" spans="1:10">
      <c r="A602" s="1034"/>
      <c r="B602" s="1035"/>
      <c r="C602" s="657" t="s">
        <v>12</v>
      </c>
      <c r="D602" s="1031" t="s">
        <v>111</v>
      </c>
      <c r="E602" s="1032"/>
      <c r="F602" s="658">
        <v>0</v>
      </c>
      <c r="G602" s="658">
        <v>0</v>
      </c>
      <c r="H602" s="1037">
        <v>0</v>
      </c>
      <c r="I602" s="1032"/>
      <c r="J602" s="658">
        <v>0</v>
      </c>
    </row>
    <row r="603" spans="1:10">
      <c r="A603" s="1034"/>
      <c r="B603" s="1033" t="s">
        <v>2797</v>
      </c>
      <c r="C603" s="650" t="s">
        <v>2798</v>
      </c>
      <c r="D603" s="1033" t="s">
        <v>2211</v>
      </c>
      <c r="E603" s="1032"/>
      <c r="F603" s="651">
        <v>0</v>
      </c>
      <c r="G603" s="651">
        <v>0</v>
      </c>
      <c r="H603" s="1036">
        <v>0</v>
      </c>
      <c r="I603" s="1032"/>
      <c r="J603" s="651">
        <v>0</v>
      </c>
    </row>
    <row r="604" spans="1:10">
      <c r="A604" s="1034"/>
      <c r="B604" s="1035"/>
      <c r="C604" s="657" t="s">
        <v>12</v>
      </c>
      <c r="D604" s="1031" t="s">
        <v>111</v>
      </c>
      <c r="E604" s="1032"/>
      <c r="F604" s="658">
        <v>0</v>
      </c>
      <c r="G604" s="658">
        <v>0</v>
      </c>
      <c r="H604" s="1037">
        <v>0</v>
      </c>
      <c r="I604" s="1032"/>
      <c r="J604" s="658">
        <v>0</v>
      </c>
    </row>
    <row r="605" spans="1:10">
      <c r="A605" s="1034"/>
      <c r="B605" s="1033" t="s">
        <v>2799</v>
      </c>
      <c r="C605" s="650" t="s">
        <v>2800</v>
      </c>
      <c r="D605" s="1033" t="s">
        <v>3505</v>
      </c>
      <c r="E605" s="1032"/>
      <c r="F605" s="651">
        <v>0</v>
      </c>
      <c r="G605" s="651">
        <v>13064963.449999999</v>
      </c>
      <c r="H605" s="1036">
        <v>5566750.3899999997</v>
      </c>
      <c r="I605" s="1032"/>
      <c r="J605" s="651">
        <v>-7498213.0599999996</v>
      </c>
    </row>
    <row r="606" spans="1:10">
      <c r="A606" s="1034"/>
      <c r="B606" s="1035"/>
      <c r="C606" s="657" t="s">
        <v>12</v>
      </c>
      <c r="D606" s="1031" t="s">
        <v>111</v>
      </c>
      <c r="E606" s="1032"/>
      <c r="F606" s="658">
        <v>0</v>
      </c>
      <c r="G606" s="658">
        <v>13064963.449999999</v>
      </c>
      <c r="H606" s="1037">
        <v>5566750.3899999997</v>
      </c>
      <c r="I606" s="1032"/>
      <c r="J606" s="658">
        <v>-7498213.0599999996</v>
      </c>
    </row>
    <row r="607" spans="1:10">
      <c r="A607" s="1034"/>
      <c r="B607" s="1033" t="s">
        <v>2801</v>
      </c>
      <c r="C607" s="650" t="s">
        <v>2802</v>
      </c>
      <c r="D607" s="1033" t="s">
        <v>2213</v>
      </c>
      <c r="E607" s="1032"/>
      <c r="F607" s="651">
        <v>0</v>
      </c>
      <c r="G607" s="651">
        <v>19737.080000000002</v>
      </c>
      <c r="H607" s="1036">
        <v>67292.929999999993</v>
      </c>
      <c r="I607" s="1032"/>
      <c r="J607" s="651">
        <v>47555.85</v>
      </c>
    </row>
    <row r="608" spans="1:10">
      <c r="A608" s="1034"/>
      <c r="B608" s="1035"/>
      <c r="C608" s="657" t="s">
        <v>12</v>
      </c>
      <c r="D608" s="1031" t="s">
        <v>111</v>
      </c>
      <c r="E608" s="1032"/>
      <c r="F608" s="658">
        <v>0</v>
      </c>
      <c r="G608" s="658">
        <v>19737.080000000002</v>
      </c>
      <c r="H608" s="1037">
        <v>67292.929999999993</v>
      </c>
      <c r="I608" s="1032"/>
      <c r="J608" s="658">
        <v>47555.85</v>
      </c>
    </row>
    <row r="609" spans="1:10">
      <c r="A609" s="1034"/>
      <c r="B609" s="1033" t="s">
        <v>2803</v>
      </c>
      <c r="C609" s="650" t="s">
        <v>3506</v>
      </c>
      <c r="D609" s="1033" t="s">
        <v>3507</v>
      </c>
      <c r="E609" s="1032"/>
      <c r="F609" s="651">
        <v>0</v>
      </c>
      <c r="G609" s="651">
        <v>0</v>
      </c>
      <c r="H609" s="1036">
        <v>3.74</v>
      </c>
      <c r="I609" s="1032"/>
      <c r="J609" s="651">
        <v>3.74</v>
      </c>
    </row>
    <row r="610" spans="1:10">
      <c r="A610" s="1034"/>
      <c r="B610" s="1034"/>
      <c r="C610" s="650" t="s">
        <v>2804</v>
      </c>
      <c r="D610" s="1033" t="s">
        <v>2214</v>
      </c>
      <c r="E610" s="1032"/>
      <c r="F610" s="651">
        <v>0</v>
      </c>
      <c r="G610" s="651">
        <v>13486.5</v>
      </c>
      <c r="H610" s="1036">
        <v>244073.26</v>
      </c>
      <c r="I610" s="1032"/>
      <c r="J610" s="651">
        <v>230586.76</v>
      </c>
    </row>
    <row r="611" spans="1:10">
      <c r="A611" s="1034"/>
      <c r="B611" s="1035"/>
      <c r="C611" s="657" t="s">
        <v>12</v>
      </c>
      <c r="D611" s="1031" t="s">
        <v>111</v>
      </c>
      <c r="E611" s="1032"/>
      <c r="F611" s="658">
        <v>0</v>
      </c>
      <c r="G611" s="658">
        <v>13486.5</v>
      </c>
      <c r="H611" s="1037">
        <v>244077</v>
      </c>
      <c r="I611" s="1032"/>
      <c r="J611" s="658">
        <v>230590.5</v>
      </c>
    </row>
    <row r="612" spans="1:10">
      <c r="A612" s="1034"/>
      <c r="B612" s="1033" t="s">
        <v>2805</v>
      </c>
      <c r="C612" s="650" t="s">
        <v>2806</v>
      </c>
      <c r="D612" s="1033" t="s">
        <v>2215</v>
      </c>
      <c r="E612" s="1032"/>
      <c r="F612" s="651">
        <v>0</v>
      </c>
      <c r="G612" s="651">
        <v>2840.53</v>
      </c>
      <c r="H612" s="1036">
        <v>47789.9</v>
      </c>
      <c r="I612" s="1032"/>
      <c r="J612" s="651">
        <v>44949.37</v>
      </c>
    </row>
    <row r="613" spans="1:10">
      <c r="A613" s="1034"/>
      <c r="B613" s="1034"/>
      <c r="C613" s="650" t="s">
        <v>3246</v>
      </c>
      <c r="D613" s="1033" t="s">
        <v>3247</v>
      </c>
      <c r="E613" s="1032"/>
      <c r="F613" s="651">
        <v>0</v>
      </c>
      <c r="G613" s="651">
        <v>0</v>
      </c>
      <c r="H613" s="1036">
        <v>1218.81</v>
      </c>
      <c r="I613" s="1032"/>
      <c r="J613" s="651">
        <v>1218.81</v>
      </c>
    </row>
    <row r="614" spans="1:10">
      <c r="A614" s="1034"/>
      <c r="B614" s="1034"/>
      <c r="C614" s="650" t="s">
        <v>2807</v>
      </c>
      <c r="D614" s="1033" t="s">
        <v>2216</v>
      </c>
      <c r="E614" s="1032"/>
      <c r="F614" s="651">
        <v>0</v>
      </c>
      <c r="G614" s="651">
        <v>1166</v>
      </c>
      <c r="H614" s="1036">
        <v>57297.89</v>
      </c>
      <c r="I614" s="1032"/>
      <c r="J614" s="651">
        <v>56131.89</v>
      </c>
    </row>
    <row r="615" spans="1:10">
      <c r="A615" s="1034"/>
      <c r="B615" s="1034"/>
      <c r="C615" s="650" t="s">
        <v>2808</v>
      </c>
      <c r="D615" s="1033" t="s">
        <v>2217</v>
      </c>
      <c r="E615" s="1032"/>
      <c r="F615" s="651">
        <v>0</v>
      </c>
      <c r="G615" s="651">
        <v>2333</v>
      </c>
      <c r="H615" s="1036">
        <v>110077.02</v>
      </c>
      <c r="I615" s="1032"/>
      <c r="J615" s="651">
        <v>107744.02</v>
      </c>
    </row>
    <row r="616" spans="1:10">
      <c r="A616" s="1034"/>
      <c r="B616" s="1034"/>
      <c r="C616" s="650" t="s">
        <v>2809</v>
      </c>
      <c r="D616" s="1033" t="s">
        <v>2218</v>
      </c>
      <c r="E616" s="1032"/>
      <c r="F616" s="651">
        <v>0</v>
      </c>
      <c r="G616" s="651">
        <v>1480</v>
      </c>
      <c r="H616" s="1036">
        <v>98372.52</v>
      </c>
      <c r="I616" s="1032"/>
      <c r="J616" s="651">
        <v>96892.52</v>
      </c>
    </row>
    <row r="617" spans="1:10">
      <c r="A617" s="1034"/>
      <c r="B617" s="1034"/>
      <c r="C617" s="650" t="s">
        <v>3508</v>
      </c>
      <c r="D617" s="1033" t="s">
        <v>3509</v>
      </c>
      <c r="E617" s="1032"/>
      <c r="F617" s="651">
        <v>0</v>
      </c>
      <c r="G617" s="651">
        <v>0</v>
      </c>
      <c r="H617" s="1036">
        <v>7538</v>
      </c>
      <c r="I617" s="1032"/>
      <c r="J617" s="651">
        <v>7538</v>
      </c>
    </row>
    <row r="618" spans="1:10">
      <c r="A618" s="1034"/>
      <c r="B618" s="1035"/>
      <c r="C618" s="657" t="s">
        <v>12</v>
      </c>
      <c r="D618" s="1031" t="s">
        <v>111</v>
      </c>
      <c r="E618" s="1032"/>
      <c r="F618" s="658">
        <v>0</v>
      </c>
      <c r="G618" s="658">
        <v>7819.53</v>
      </c>
      <c r="H618" s="1037">
        <v>322294.14</v>
      </c>
      <c r="I618" s="1032"/>
      <c r="J618" s="658">
        <v>314474.61</v>
      </c>
    </row>
    <row r="619" spans="1:10">
      <c r="A619" s="1034"/>
      <c r="B619" s="1033" t="s">
        <v>2810</v>
      </c>
      <c r="C619" s="650" t="s">
        <v>2811</v>
      </c>
      <c r="D619" s="1033" t="s">
        <v>3510</v>
      </c>
      <c r="E619" s="1032"/>
      <c r="F619" s="651">
        <v>0</v>
      </c>
      <c r="G619" s="651">
        <v>1438045.89</v>
      </c>
      <c r="H619" s="1036">
        <v>8567868.5299999993</v>
      </c>
      <c r="I619" s="1032"/>
      <c r="J619" s="651">
        <v>7129822.6399999997</v>
      </c>
    </row>
    <row r="620" spans="1:10">
      <c r="A620" s="1034"/>
      <c r="B620" s="1034"/>
      <c r="C620" s="650" t="s">
        <v>3511</v>
      </c>
      <c r="D620" s="1033" t="s">
        <v>3512</v>
      </c>
      <c r="E620" s="1032"/>
      <c r="F620" s="651">
        <v>0</v>
      </c>
      <c r="G620" s="651">
        <v>0</v>
      </c>
      <c r="H620" s="1036">
        <v>1037149.48</v>
      </c>
      <c r="I620" s="1032"/>
      <c r="J620" s="651">
        <v>1037149.48</v>
      </c>
    </row>
    <row r="621" spans="1:10">
      <c r="A621" s="1034"/>
      <c r="B621" s="1035"/>
      <c r="C621" s="657" t="s">
        <v>12</v>
      </c>
      <c r="D621" s="1031" t="s">
        <v>111</v>
      </c>
      <c r="E621" s="1032"/>
      <c r="F621" s="658">
        <v>0</v>
      </c>
      <c r="G621" s="658">
        <v>1438045.89</v>
      </c>
      <c r="H621" s="1037">
        <v>9605018.0099999998</v>
      </c>
      <c r="I621" s="1032"/>
      <c r="J621" s="658">
        <v>8166972.1200000001</v>
      </c>
    </row>
    <row r="622" spans="1:10">
      <c r="A622" s="1034"/>
      <c r="B622" s="1033" t="s">
        <v>2812</v>
      </c>
      <c r="C622" s="650" t="s">
        <v>2813</v>
      </c>
      <c r="D622" s="1033" t="s">
        <v>2220</v>
      </c>
      <c r="E622" s="1032"/>
      <c r="F622" s="651">
        <v>0</v>
      </c>
      <c r="G622" s="651">
        <v>7141312.4199999999</v>
      </c>
      <c r="H622" s="1036">
        <v>10774039.390000001</v>
      </c>
      <c r="I622" s="1032"/>
      <c r="J622" s="651">
        <v>3632726.97</v>
      </c>
    </row>
    <row r="623" spans="1:10">
      <c r="A623" s="1034"/>
      <c r="B623" s="1035"/>
      <c r="C623" s="657" t="s">
        <v>12</v>
      </c>
      <c r="D623" s="1031" t="s">
        <v>111</v>
      </c>
      <c r="E623" s="1032"/>
      <c r="F623" s="658">
        <v>0</v>
      </c>
      <c r="G623" s="658">
        <v>7141312.4199999999</v>
      </c>
      <c r="H623" s="1037">
        <v>10774039.390000001</v>
      </c>
      <c r="I623" s="1032"/>
      <c r="J623" s="658">
        <v>3632726.97</v>
      </c>
    </row>
    <row r="624" spans="1:10">
      <c r="A624" s="1035"/>
      <c r="B624" s="657" t="s">
        <v>12</v>
      </c>
      <c r="C624" s="657" t="s">
        <v>111</v>
      </c>
      <c r="D624" s="1031" t="s">
        <v>111</v>
      </c>
      <c r="E624" s="1032"/>
      <c r="F624" s="658">
        <v>0</v>
      </c>
      <c r="G624" s="658">
        <v>30266061.859999999</v>
      </c>
      <c r="H624" s="1037">
        <v>143862434.62</v>
      </c>
      <c r="I624" s="1032"/>
      <c r="J624" s="658">
        <v>113596372.76000001</v>
      </c>
    </row>
    <row r="625" spans="1:13">
      <c r="A625" s="1033" t="s">
        <v>2553</v>
      </c>
      <c r="B625" s="1033" t="s">
        <v>2554</v>
      </c>
      <c r="C625" s="650" t="s">
        <v>2555</v>
      </c>
      <c r="D625" s="1033" t="s">
        <v>2221</v>
      </c>
      <c r="E625" s="1032"/>
      <c r="F625" s="651">
        <v>0</v>
      </c>
      <c r="G625" s="651">
        <v>147215.10999999999</v>
      </c>
      <c r="H625" s="1036">
        <v>20426.14</v>
      </c>
      <c r="I625" s="1032"/>
      <c r="J625" s="651">
        <v>-126788.97</v>
      </c>
    </row>
    <row r="626" spans="1:13">
      <c r="A626" s="1034"/>
      <c r="B626" s="1034"/>
      <c r="C626" s="650" t="s">
        <v>3513</v>
      </c>
      <c r="D626" s="1033" t="s">
        <v>2068</v>
      </c>
      <c r="E626" s="1032"/>
      <c r="F626" s="651">
        <v>0</v>
      </c>
      <c r="G626" s="651">
        <v>559.36</v>
      </c>
      <c r="H626" s="1036">
        <v>0</v>
      </c>
      <c r="I626" s="1032"/>
      <c r="J626" s="651">
        <v>-559.36</v>
      </c>
    </row>
    <row r="627" spans="1:13">
      <c r="A627" s="1034"/>
      <c r="B627" s="1034"/>
      <c r="C627" s="650" t="s">
        <v>2556</v>
      </c>
      <c r="D627" s="1033" t="s">
        <v>2222</v>
      </c>
      <c r="E627" s="1032"/>
      <c r="F627" s="651">
        <v>0</v>
      </c>
      <c r="G627" s="651">
        <v>52191.13</v>
      </c>
      <c r="H627" s="1036">
        <v>25472.47</v>
      </c>
      <c r="I627" s="1032"/>
      <c r="J627" s="651">
        <v>-26718.66</v>
      </c>
    </row>
    <row r="628" spans="1:13">
      <c r="A628" s="1034"/>
      <c r="B628" s="1035"/>
      <c r="C628" s="657" t="s">
        <v>12</v>
      </c>
      <c r="D628" s="1031" t="s">
        <v>111</v>
      </c>
      <c r="E628" s="1032"/>
      <c r="F628" s="658">
        <v>0</v>
      </c>
      <c r="G628" s="658">
        <v>199965.6</v>
      </c>
      <c r="H628" s="1037">
        <v>45898.61</v>
      </c>
      <c r="I628" s="1032"/>
      <c r="J628" s="658">
        <v>-154066.99</v>
      </c>
    </row>
    <row r="629" spans="1:13">
      <c r="A629" s="1034"/>
      <c r="B629" s="1033" t="s">
        <v>2557</v>
      </c>
      <c r="C629" s="650" t="s">
        <v>2558</v>
      </c>
      <c r="D629" s="1033" t="s">
        <v>2223</v>
      </c>
      <c r="E629" s="1032"/>
      <c r="F629" s="651">
        <v>0</v>
      </c>
      <c r="G629" s="651">
        <v>0</v>
      </c>
      <c r="H629" s="1036">
        <v>0</v>
      </c>
      <c r="I629" s="1032"/>
      <c r="J629" s="651">
        <v>0</v>
      </c>
    </row>
    <row r="630" spans="1:13">
      <c r="A630" s="1034"/>
      <c r="B630" s="1035"/>
      <c r="C630" s="657" t="s">
        <v>12</v>
      </c>
      <c r="D630" s="1031" t="s">
        <v>111</v>
      </c>
      <c r="E630" s="1032"/>
      <c r="F630" s="658">
        <v>0</v>
      </c>
      <c r="G630" s="658">
        <v>0</v>
      </c>
      <c r="H630" s="1037">
        <v>0</v>
      </c>
      <c r="I630" s="1032"/>
      <c r="J630" s="658">
        <v>0</v>
      </c>
    </row>
    <row r="631" spans="1:13">
      <c r="A631" s="1034"/>
      <c r="B631" s="1033" t="s">
        <v>2559</v>
      </c>
      <c r="C631" s="650" t="s">
        <v>2560</v>
      </c>
      <c r="D631" s="1033" t="s">
        <v>2224</v>
      </c>
      <c r="E631" s="1032"/>
      <c r="F631" s="651">
        <v>0</v>
      </c>
      <c r="G631" s="651">
        <v>1277969.98</v>
      </c>
      <c r="H631" s="1036">
        <v>71933.149999999994</v>
      </c>
      <c r="I631" s="1032"/>
      <c r="J631" s="651">
        <v>-1206036.83</v>
      </c>
    </row>
    <row r="632" spans="1:13">
      <c r="A632" s="1034"/>
      <c r="B632" s="1034"/>
      <c r="C632" s="650" t="s">
        <v>2561</v>
      </c>
      <c r="D632" s="1033" t="s">
        <v>2225</v>
      </c>
      <c r="E632" s="1032"/>
      <c r="F632" s="651">
        <v>0</v>
      </c>
      <c r="G632" s="651">
        <v>3131722.33</v>
      </c>
      <c r="H632" s="1036">
        <v>40368.769999999997</v>
      </c>
      <c r="I632" s="1032"/>
      <c r="J632" s="651">
        <v>-3091353.56</v>
      </c>
    </row>
    <row r="633" spans="1:13">
      <c r="A633" s="1034"/>
      <c r="B633" s="1034"/>
      <c r="C633" s="650" t="s">
        <v>2562</v>
      </c>
      <c r="D633" s="1033" t="s">
        <v>2067</v>
      </c>
      <c r="E633" s="1032"/>
      <c r="F633" s="651">
        <v>0</v>
      </c>
      <c r="G633" s="651">
        <v>1308.3900000000001</v>
      </c>
      <c r="H633" s="1036">
        <v>0.38</v>
      </c>
      <c r="I633" s="1032"/>
      <c r="J633" s="651">
        <v>-1308.01</v>
      </c>
    </row>
    <row r="634" spans="1:13">
      <c r="A634" s="1034"/>
      <c r="B634" s="1035"/>
      <c r="C634" s="657" t="s">
        <v>12</v>
      </c>
      <c r="D634" s="1031" t="s">
        <v>111</v>
      </c>
      <c r="E634" s="1032"/>
      <c r="F634" s="658">
        <v>0</v>
      </c>
      <c r="G634" s="658">
        <v>4411000.7</v>
      </c>
      <c r="H634" s="1037">
        <v>112302.3</v>
      </c>
      <c r="I634" s="1032"/>
      <c r="J634" s="658">
        <v>-4298698.4000000004</v>
      </c>
      <c r="L634" s="646">
        <f>J634</f>
        <v>-4298698.4000000004</v>
      </c>
    </row>
    <row r="635" spans="1:13">
      <c r="A635" s="1034"/>
      <c r="B635" s="1033" t="s">
        <v>2563</v>
      </c>
      <c r="C635" s="650" t="s">
        <v>2564</v>
      </c>
      <c r="D635" s="1033" t="s">
        <v>2226</v>
      </c>
      <c r="E635" s="1032"/>
      <c r="F635" s="651">
        <v>0</v>
      </c>
      <c r="G635" s="651">
        <v>0</v>
      </c>
      <c r="H635" s="1036">
        <v>0</v>
      </c>
      <c r="I635" s="1032"/>
      <c r="J635" s="651">
        <v>0</v>
      </c>
    </row>
    <row r="636" spans="1:13">
      <c r="A636" s="1034"/>
      <c r="B636" s="1034"/>
      <c r="C636" s="650" t="s">
        <v>2565</v>
      </c>
      <c r="D636" s="1033" t="s">
        <v>2227</v>
      </c>
      <c r="E636" s="1032"/>
      <c r="F636" s="651">
        <v>0</v>
      </c>
      <c r="G636" s="651">
        <v>0</v>
      </c>
      <c r="H636" s="1036">
        <v>0</v>
      </c>
      <c r="I636" s="1032"/>
      <c r="J636" s="651">
        <v>0</v>
      </c>
    </row>
    <row r="637" spans="1:13">
      <c r="A637" s="1034"/>
      <c r="B637" s="1034"/>
      <c r="C637" s="650" t="s">
        <v>2566</v>
      </c>
      <c r="D637" s="1033" t="s">
        <v>2228</v>
      </c>
      <c r="E637" s="1032"/>
      <c r="F637" s="651">
        <v>0</v>
      </c>
      <c r="G637" s="651">
        <v>0</v>
      </c>
      <c r="H637" s="1036">
        <v>0</v>
      </c>
      <c r="I637" s="1032"/>
      <c r="J637" s="651">
        <v>0</v>
      </c>
    </row>
    <row r="638" spans="1:13">
      <c r="A638" s="1034"/>
      <c r="B638" s="1034"/>
      <c r="C638" s="650" t="s">
        <v>2567</v>
      </c>
      <c r="D638" s="1033" t="s">
        <v>2229</v>
      </c>
      <c r="E638" s="1032"/>
      <c r="F638" s="651">
        <v>0</v>
      </c>
      <c r="G638" s="651">
        <v>0</v>
      </c>
      <c r="H638" s="1036">
        <v>0</v>
      </c>
      <c r="I638" s="1032"/>
      <c r="J638" s="651">
        <v>0</v>
      </c>
    </row>
    <row r="639" spans="1:13">
      <c r="A639" s="1034"/>
      <c r="B639" s="1034"/>
      <c r="C639" s="650" t="s">
        <v>2568</v>
      </c>
      <c r="D639" s="1033" t="s">
        <v>2230</v>
      </c>
      <c r="E639" s="1032"/>
      <c r="F639" s="651">
        <v>0</v>
      </c>
      <c r="G639" s="651">
        <v>1249690.1399999999</v>
      </c>
      <c r="H639" s="1036">
        <v>71268.75</v>
      </c>
      <c r="I639" s="1032"/>
      <c r="J639" s="651">
        <v>-1178421.3899999999</v>
      </c>
      <c r="M639" s="645">
        <f>L634+L666</f>
        <v>-24287518.789999999</v>
      </c>
    </row>
    <row r="640" spans="1:13">
      <c r="A640" s="1034"/>
      <c r="B640" s="1034"/>
      <c r="C640" s="650" t="s">
        <v>2569</v>
      </c>
      <c r="D640" s="1033" t="s">
        <v>2231</v>
      </c>
      <c r="E640" s="1032"/>
      <c r="F640" s="651">
        <v>0</v>
      </c>
      <c r="G640" s="651">
        <v>0</v>
      </c>
      <c r="H640" s="1036">
        <v>0</v>
      </c>
      <c r="I640" s="1032"/>
      <c r="J640" s="651">
        <v>0</v>
      </c>
      <c r="M640" s="656">
        <v>24875505</v>
      </c>
    </row>
    <row r="641" spans="1:13">
      <c r="A641" s="1034"/>
      <c r="B641" s="1034"/>
      <c r="C641" s="650" t="s">
        <v>2570</v>
      </c>
      <c r="D641" s="1033" t="s">
        <v>2232</v>
      </c>
      <c r="E641" s="1032"/>
      <c r="F641" s="651">
        <v>0</v>
      </c>
      <c r="G641" s="651">
        <v>0</v>
      </c>
      <c r="H641" s="1036">
        <v>0</v>
      </c>
      <c r="I641" s="1032"/>
      <c r="J641" s="651">
        <v>0</v>
      </c>
    </row>
    <row r="642" spans="1:13">
      <c r="A642" s="1034"/>
      <c r="B642" s="1034"/>
      <c r="C642" s="650" t="s">
        <v>2571</v>
      </c>
      <c r="D642" s="1033" t="s">
        <v>2233</v>
      </c>
      <c r="E642" s="1032"/>
      <c r="F642" s="651">
        <v>0</v>
      </c>
      <c r="G642" s="651">
        <v>0</v>
      </c>
      <c r="H642" s="1036">
        <v>0</v>
      </c>
      <c r="I642" s="1032"/>
      <c r="J642" s="651">
        <v>0</v>
      </c>
      <c r="M642" s="645">
        <f>M639+M640</f>
        <v>587986.21000000089</v>
      </c>
    </row>
    <row r="643" spans="1:13">
      <c r="A643" s="1034"/>
      <c r="B643" s="1034"/>
      <c r="C643" s="650" t="s">
        <v>2572</v>
      </c>
      <c r="D643" s="1033" t="s">
        <v>2234</v>
      </c>
      <c r="E643" s="1032"/>
      <c r="F643" s="651">
        <v>0</v>
      </c>
      <c r="G643" s="651">
        <v>0</v>
      </c>
      <c r="H643" s="1036">
        <v>0</v>
      </c>
      <c r="I643" s="1032"/>
      <c r="J643" s="651">
        <v>0</v>
      </c>
    </row>
    <row r="644" spans="1:13">
      <c r="A644" s="1034"/>
      <c r="B644" s="1034"/>
      <c r="C644" s="650" t="s">
        <v>2573</v>
      </c>
      <c r="D644" s="1033" t="s">
        <v>2235</v>
      </c>
      <c r="E644" s="1032"/>
      <c r="F644" s="651">
        <v>0</v>
      </c>
      <c r="G644" s="651">
        <v>0</v>
      </c>
      <c r="H644" s="1036">
        <v>0</v>
      </c>
      <c r="I644" s="1032"/>
      <c r="J644" s="651">
        <v>0</v>
      </c>
    </row>
    <row r="645" spans="1:13">
      <c r="A645" s="1034"/>
      <c r="B645" s="1034"/>
      <c r="C645" s="650" t="s">
        <v>2574</v>
      </c>
      <c r="D645" s="1033" t="s">
        <v>2236</v>
      </c>
      <c r="E645" s="1032"/>
      <c r="F645" s="651">
        <v>0</v>
      </c>
      <c r="G645" s="651">
        <v>0</v>
      </c>
      <c r="H645" s="1036">
        <v>0</v>
      </c>
      <c r="I645" s="1032"/>
      <c r="J645" s="651">
        <v>0</v>
      </c>
    </row>
    <row r="646" spans="1:13">
      <c r="A646" s="1034"/>
      <c r="B646" s="1034"/>
      <c r="C646" s="650" t="s">
        <v>2575</v>
      </c>
      <c r="D646" s="1033" t="s">
        <v>2237</v>
      </c>
      <c r="E646" s="1032"/>
      <c r="F646" s="651">
        <v>0</v>
      </c>
      <c r="G646" s="651">
        <v>0</v>
      </c>
      <c r="H646" s="1036">
        <v>0</v>
      </c>
      <c r="I646" s="1032"/>
      <c r="J646" s="651">
        <v>0</v>
      </c>
    </row>
    <row r="647" spans="1:13">
      <c r="A647" s="1034"/>
      <c r="B647" s="1034"/>
      <c r="C647" s="650" t="s">
        <v>2576</v>
      </c>
      <c r="D647" s="1033" t="s">
        <v>2238</v>
      </c>
      <c r="E647" s="1032"/>
      <c r="F647" s="651">
        <v>0</v>
      </c>
      <c r="G647" s="651">
        <v>0</v>
      </c>
      <c r="H647" s="1036">
        <v>0</v>
      </c>
      <c r="I647" s="1032"/>
      <c r="J647" s="651">
        <v>0</v>
      </c>
    </row>
    <row r="648" spans="1:13">
      <c r="A648" s="1034"/>
      <c r="B648" s="1034"/>
      <c r="C648" s="650" t="s">
        <v>2577</v>
      </c>
      <c r="D648" s="1033" t="s">
        <v>2239</v>
      </c>
      <c r="E648" s="1032"/>
      <c r="F648" s="651">
        <v>0</v>
      </c>
      <c r="G648" s="651">
        <v>0</v>
      </c>
      <c r="H648" s="1036">
        <v>0</v>
      </c>
      <c r="I648" s="1032"/>
      <c r="J648" s="651">
        <v>0</v>
      </c>
    </row>
    <row r="649" spans="1:13">
      <c r="A649" s="1034"/>
      <c r="B649" s="1034"/>
      <c r="C649" s="650" t="s">
        <v>2578</v>
      </c>
      <c r="D649" s="1033" t="s">
        <v>2240</v>
      </c>
      <c r="E649" s="1032"/>
      <c r="F649" s="651">
        <v>0</v>
      </c>
      <c r="G649" s="651">
        <v>0</v>
      </c>
      <c r="H649" s="1036">
        <v>0</v>
      </c>
      <c r="I649" s="1032"/>
      <c r="J649" s="651">
        <v>0</v>
      </c>
    </row>
    <row r="650" spans="1:13">
      <c r="A650" s="1034"/>
      <c r="B650" s="1034"/>
      <c r="C650" s="650" t="s">
        <v>2579</v>
      </c>
      <c r="D650" s="1033" t="s">
        <v>2241</v>
      </c>
      <c r="E650" s="1032"/>
      <c r="F650" s="651">
        <v>0</v>
      </c>
      <c r="G650" s="651">
        <v>194939.57</v>
      </c>
      <c r="H650" s="1036">
        <v>0</v>
      </c>
      <c r="I650" s="1032"/>
      <c r="J650" s="651">
        <v>-194939.57</v>
      </c>
    </row>
    <row r="651" spans="1:13">
      <c r="A651" s="1034"/>
      <c r="B651" s="1034"/>
      <c r="C651" s="650" t="s">
        <v>2580</v>
      </c>
      <c r="D651" s="1033" t="s">
        <v>2581</v>
      </c>
      <c r="E651" s="1032"/>
      <c r="F651" s="651">
        <v>0</v>
      </c>
      <c r="G651" s="651">
        <v>202041.55</v>
      </c>
      <c r="H651" s="1036">
        <v>0.02</v>
      </c>
      <c r="I651" s="1032"/>
      <c r="J651" s="651">
        <v>-202041.53</v>
      </c>
    </row>
    <row r="652" spans="1:13">
      <c r="A652" s="1034"/>
      <c r="B652" s="1034"/>
      <c r="C652" s="650" t="s">
        <v>2582</v>
      </c>
      <c r="D652" s="1033" t="s">
        <v>2242</v>
      </c>
      <c r="E652" s="1032"/>
      <c r="F652" s="651">
        <v>0</v>
      </c>
      <c r="G652" s="651">
        <v>139797.97</v>
      </c>
      <c r="H652" s="1036">
        <v>0</v>
      </c>
      <c r="I652" s="1032"/>
      <c r="J652" s="651">
        <v>-139797.97</v>
      </c>
    </row>
    <row r="653" spans="1:13">
      <c r="A653" s="1034"/>
      <c r="B653" s="1034"/>
      <c r="C653" s="650" t="s">
        <v>2583</v>
      </c>
      <c r="D653" s="1033" t="s">
        <v>2243</v>
      </c>
      <c r="E653" s="1032"/>
      <c r="F653" s="651">
        <v>0</v>
      </c>
      <c r="G653" s="651">
        <v>615736.41</v>
      </c>
      <c r="H653" s="1036">
        <v>0</v>
      </c>
      <c r="I653" s="1032"/>
      <c r="J653" s="651">
        <v>-615736.41</v>
      </c>
    </row>
    <row r="654" spans="1:13">
      <c r="A654" s="1034"/>
      <c r="B654" s="1034"/>
      <c r="C654" s="650" t="s">
        <v>2584</v>
      </c>
      <c r="D654" s="1033" t="s">
        <v>2244</v>
      </c>
      <c r="E654" s="1032"/>
      <c r="F654" s="651">
        <v>0</v>
      </c>
      <c r="G654" s="651">
        <v>1458364.48</v>
      </c>
      <c r="H654" s="1036">
        <v>83168.97</v>
      </c>
      <c r="I654" s="1032"/>
      <c r="J654" s="651">
        <v>-1375195.51</v>
      </c>
    </row>
    <row r="655" spans="1:13">
      <c r="A655" s="1034"/>
      <c r="B655" s="1034"/>
      <c r="C655" s="650" t="s">
        <v>2585</v>
      </c>
      <c r="D655" s="1033" t="s">
        <v>2245</v>
      </c>
      <c r="E655" s="1032"/>
      <c r="F655" s="651">
        <v>0</v>
      </c>
      <c r="G655" s="651">
        <v>1398078.76</v>
      </c>
      <c r="H655" s="1036">
        <v>0</v>
      </c>
      <c r="I655" s="1032"/>
      <c r="J655" s="651">
        <v>-1398078.76</v>
      </c>
    </row>
    <row r="656" spans="1:13">
      <c r="A656" s="1034"/>
      <c r="B656" s="1034"/>
      <c r="C656" s="650" t="s">
        <v>3248</v>
      </c>
      <c r="D656" s="1033" t="s">
        <v>3249</v>
      </c>
      <c r="E656" s="1032"/>
      <c r="F656" s="651">
        <v>0</v>
      </c>
      <c r="G656" s="651">
        <v>1180640.6499999999</v>
      </c>
      <c r="H656" s="1036">
        <v>0</v>
      </c>
      <c r="I656" s="1032"/>
      <c r="J656" s="651">
        <v>-1180640.6499999999</v>
      </c>
    </row>
    <row r="657" spans="1:12">
      <c r="A657" s="1034"/>
      <c r="B657" s="1034"/>
      <c r="C657" s="650" t="s">
        <v>3250</v>
      </c>
      <c r="D657" s="1033" t="s">
        <v>3251</v>
      </c>
      <c r="E657" s="1032"/>
      <c r="F657" s="651">
        <v>0</v>
      </c>
      <c r="G657" s="651">
        <v>995351.15</v>
      </c>
      <c r="H657" s="1036">
        <v>2704.76</v>
      </c>
      <c r="I657" s="1032"/>
      <c r="J657" s="651">
        <v>-992646.39</v>
      </c>
    </row>
    <row r="658" spans="1:12">
      <c r="A658" s="1034"/>
      <c r="B658" s="1034"/>
      <c r="C658" s="650" t="s">
        <v>3252</v>
      </c>
      <c r="D658" s="1033" t="s">
        <v>3253</v>
      </c>
      <c r="E658" s="1032"/>
      <c r="F658" s="651">
        <v>0</v>
      </c>
      <c r="G658" s="651">
        <v>0</v>
      </c>
      <c r="H658" s="1036">
        <v>0</v>
      </c>
      <c r="I658" s="1032"/>
      <c r="J658" s="651">
        <v>0</v>
      </c>
    </row>
    <row r="659" spans="1:12">
      <c r="A659" s="1034"/>
      <c r="B659" s="1034"/>
      <c r="C659" s="650" t="s">
        <v>3254</v>
      </c>
      <c r="D659" s="1033" t="s">
        <v>3255</v>
      </c>
      <c r="E659" s="1032"/>
      <c r="F659" s="651">
        <v>0</v>
      </c>
      <c r="G659" s="651">
        <v>2991320.14</v>
      </c>
      <c r="H659" s="1036">
        <v>65924.41</v>
      </c>
      <c r="I659" s="1032"/>
      <c r="J659" s="651">
        <v>-2925395.73</v>
      </c>
    </row>
    <row r="660" spans="1:12">
      <c r="A660" s="1034"/>
      <c r="B660" s="1034"/>
      <c r="C660" s="650" t="s">
        <v>3256</v>
      </c>
      <c r="D660" s="1033" t="s">
        <v>3257</v>
      </c>
      <c r="E660" s="1032"/>
      <c r="F660" s="651">
        <v>0</v>
      </c>
      <c r="G660" s="651">
        <v>2147148.0699999998</v>
      </c>
      <c r="H660" s="1036">
        <v>52943.38</v>
      </c>
      <c r="I660" s="1032"/>
      <c r="J660" s="651">
        <v>-2094204.69</v>
      </c>
    </row>
    <row r="661" spans="1:12">
      <c r="A661" s="1034"/>
      <c r="B661" s="1034"/>
      <c r="C661" s="650" t="s">
        <v>3258</v>
      </c>
      <c r="D661" s="1033" t="s">
        <v>3249</v>
      </c>
      <c r="E661" s="1032"/>
      <c r="F661" s="651">
        <v>0</v>
      </c>
      <c r="G661" s="651">
        <v>2963912.47</v>
      </c>
      <c r="H661" s="1036">
        <v>11997.17</v>
      </c>
      <c r="I661" s="1032"/>
      <c r="J661" s="651">
        <v>-2951915.3</v>
      </c>
    </row>
    <row r="662" spans="1:12">
      <c r="A662" s="1034"/>
      <c r="B662" s="1034"/>
      <c r="C662" s="650" t="s">
        <v>3259</v>
      </c>
      <c r="D662" s="1033" t="s">
        <v>3249</v>
      </c>
      <c r="E662" s="1032"/>
      <c r="F662" s="651">
        <v>0</v>
      </c>
      <c r="G662" s="651">
        <v>1488542.49</v>
      </c>
      <c r="H662" s="1036">
        <v>32113.59</v>
      </c>
      <c r="I662" s="1032"/>
      <c r="J662" s="651">
        <v>-1456428.9</v>
      </c>
    </row>
    <row r="663" spans="1:12">
      <c r="A663" s="1034"/>
      <c r="B663" s="1034"/>
      <c r="C663" s="650" t="s">
        <v>3260</v>
      </c>
      <c r="D663" s="1033" t="s">
        <v>3261</v>
      </c>
      <c r="E663" s="1032"/>
      <c r="F663" s="651">
        <v>0</v>
      </c>
      <c r="G663" s="651">
        <v>0</v>
      </c>
      <c r="H663" s="1036">
        <v>0</v>
      </c>
      <c r="I663" s="1032"/>
      <c r="J663" s="651">
        <v>0</v>
      </c>
    </row>
    <row r="664" spans="1:12">
      <c r="A664" s="1034"/>
      <c r="B664" s="1034"/>
      <c r="C664" s="650" t="s">
        <v>3514</v>
      </c>
      <c r="D664" s="1033" t="s">
        <v>3515</v>
      </c>
      <c r="E664" s="1032"/>
      <c r="F664" s="651">
        <v>0</v>
      </c>
      <c r="G664" s="651">
        <v>3439145.81</v>
      </c>
      <c r="H664" s="1036">
        <v>311331.90000000002</v>
      </c>
      <c r="I664" s="1032"/>
      <c r="J664" s="651">
        <v>-3127813.91</v>
      </c>
    </row>
    <row r="665" spans="1:12">
      <c r="A665" s="1034"/>
      <c r="B665" s="1034"/>
      <c r="C665" s="650" t="s">
        <v>3516</v>
      </c>
      <c r="D665" s="1033" t="s">
        <v>3517</v>
      </c>
      <c r="E665" s="1032"/>
      <c r="F665" s="651">
        <v>0</v>
      </c>
      <c r="G665" s="651">
        <v>155563.68</v>
      </c>
      <c r="H665" s="1036">
        <v>0</v>
      </c>
      <c r="I665" s="1032"/>
      <c r="J665" s="651">
        <v>-155563.68</v>
      </c>
    </row>
    <row r="666" spans="1:12">
      <c r="A666" s="1034"/>
      <c r="B666" s="1035"/>
      <c r="C666" s="657" t="s">
        <v>12</v>
      </c>
      <c r="D666" s="1031" t="s">
        <v>111</v>
      </c>
      <c r="E666" s="1032"/>
      <c r="F666" s="658">
        <v>0</v>
      </c>
      <c r="G666" s="658">
        <v>20620273.34</v>
      </c>
      <c r="H666" s="1037">
        <v>631452.94999999995</v>
      </c>
      <c r="I666" s="1032"/>
      <c r="J666" s="658">
        <v>-19988820.390000001</v>
      </c>
      <c r="L666" s="646">
        <f>J666</f>
        <v>-19988820.390000001</v>
      </c>
    </row>
    <row r="667" spans="1:12">
      <c r="A667" s="1034"/>
      <c r="B667" s="1033" t="s">
        <v>2586</v>
      </c>
      <c r="C667" s="650" t="s">
        <v>2587</v>
      </c>
      <c r="D667" s="1033" t="s">
        <v>2246</v>
      </c>
      <c r="E667" s="1032"/>
      <c r="F667" s="651">
        <v>0</v>
      </c>
      <c r="G667" s="651">
        <v>78307.820000000007</v>
      </c>
      <c r="H667" s="1036">
        <v>0</v>
      </c>
      <c r="I667" s="1032"/>
      <c r="J667" s="651">
        <v>-78307.820000000007</v>
      </c>
    </row>
    <row r="668" spans="1:12">
      <c r="A668" s="1034"/>
      <c r="B668" s="1034"/>
      <c r="C668" s="650" t="s">
        <v>2588</v>
      </c>
      <c r="D668" s="1033" t="s">
        <v>2247</v>
      </c>
      <c r="E668" s="1032"/>
      <c r="F668" s="651">
        <v>0</v>
      </c>
      <c r="G668" s="651">
        <v>8885.81</v>
      </c>
      <c r="H668" s="1036">
        <v>0</v>
      </c>
      <c r="I668" s="1032"/>
      <c r="J668" s="651">
        <v>-8885.81</v>
      </c>
    </row>
    <row r="669" spans="1:12">
      <c r="A669" s="1034"/>
      <c r="B669" s="1034"/>
      <c r="C669" s="650" t="s">
        <v>2589</v>
      </c>
      <c r="D669" s="1033" t="s">
        <v>2248</v>
      </c>
      <c r="E669" s="1032"/>
      <c r="F669" s="651">
        <v>0</v>
      </c>
      <c r="G669" s="651">
        <v>0</v>
      </c>
      <c r="H669" s="1036">
        <v>0</v>
      </c>
      <c r="I669" s="1032"/>
      <c r="J669" s="651">
        <v>0</v>
      </c>
    </row>
    <row r="670" spans="1:12">
      <c r="A670" s="1034"/>
      <c r="B670" s="1034"/>
      <c r="C670" s="650" t="s">
        <v>2590</v>
      </c>
      <c r="D670" s="1033" t="s">
        <v>2249</v>
      </c>
      <c r="E670" s="1032"/>
      <c r="F670" s="651">
        <v>0</v>
      </c>
      <c r="G670" s="651">
        <v>95802.81</v>
      </c>
      <c r="H670" s="1036">
        <v>7453.92</v>
      </c>
      <c r="I670" s="1032"/>
      <c r="J670" s="651">
        <v>-88348.89</v>
      </c>
    </row>
    <row r="671" spans="1:12">
      <c r="A671" s="1034"/>
      <c r="B671" s="1034"/>
      <c r="C671" s="650" t="s">
        <v>2591</v>
      </c>
      <c r="D671" s="1033" t="s">
        <v>2250</v>
      </c>
      <c r="E671" s="1032"/>
      <c r="F671" s="651">
        <v>0</v>
      </c>
      <c r="G671" s="651">
        <v>31591.56</v>
      </c>
      <c r="H671" s="1036">
        <v>0.12</v>
      </c>
      <c r="I671" s="1032"/>
      <c r="J671" s="651">
        <v>-31591.439999999999</v>
      </c>
    </row>
    <row r="672" spans="1:12">
      <c r="A672" s="1034"/>
      <c r="B672" s="1034"/>
      <c r="C672" s="650" t="s">
        <v>3262</v>
      </c>
      <c r="D672" s="1033" t="s">
        <v>3263</v>
      </c>
      <c r="E672" s="1032"/>
      <c r="F672" s="651">
        <v>0</v>
      </c>
      <c r="G672" s="651">
        <v>14145.36</v>
      </c>
      <c r="H672" s="1036">
        <v>0</v>
      </c>
      <c r="I672" s="1032"/>
      <c r="J672" s="651">
        <v>-14145.36</v>
      </c>
    </row>
    <row r="673" spans="1:10">
      <c r="A673" s="1034"/>
      <c r="B673" s="1034"/>
      <c r="C673" s="650" t="s">
        <v>3264</v>
      </c>
      <c r="D673" s="1033" t="s">
        <v>3098</v>
      </c>
      <c r="E673" s="1032"/>
      <c r="F673" s="651">
        <v>0</v>
      </c>
      <c r="G673" s="651">
        <v>18784.8</v>
      </c>
      <c r="H673" s="1036">
        <v>0</v>
      </c>
      <c r="I673" s="1032"/>
      <c r="J673" s="651">
        <v>-18784.8</v>
      </c>
    </row>
    <row r="674" spans="1:10">
      <c r="A674" s="1034"/>
      <c r="B674" s="1034"/>
      <c r="C674" s="650" t="s">
        <v>3265</v>
      </c>
      <c r="D674" s="1033" t="s">
        <v>3266</v>
      </c>
      <c r="E674" s="1032"/>
      <c r="F674" s="651">
        <v>0</v>
      </c>
      <c r="G674" s="651">
        <v>67064.039999999994</v>
      </c>
      <c r="H674" s="1036">
        <v>0</v>
      </c>
      <c r="I674" s="1032"/>
      <c r="J674" s="651">
        <v>-67064.039999999994</v>
      </c>
    </row>
    <row r="675" spans="1:10">
      <c r="A675" s="1034"/>
      <c r="B675" s="1034"/>
      <c r="C675" s="650" t="s">
        <v>3267</v>
      </c>
      <c r="D675" s="1033" t="s">
        <v>3268</v>
      </c>
      <c r="E675" s="1032"/>
      <c r="F675" s="651">
        <v>0</v>
      </c>
      <c r="G675" s="651">
        <v>32861.040000000001</v>
      </c>
      <c r="H675" s="1036">
        <v>0</v>
      </c>
      <c r="I675" s="1032"/>
      <c r="J675" s="651">
        <v>-32861.040000000001</v>
      </c>
    </row>
    <row r="676" spans="1:10">
      <c r="A676" s="1034"/>
      <c r="B676" s="1034"/>
      <c r="C676" s="650" t="s">
        <v>3269</v>
      </c>
      <c r="D676" s="1033" t="s">
        <v>3104</v>
      </c>
      <c r="E676" s="1032"/>
      <c r="F676" s="651">
        <v>0</v>
      </c>
      <c r="G676" s="651">
        <v>35657.24</v>
      </c>
      <c r="H676" s="1036">
        <v>0</v>
      </c>
      <c r="I676" s="1032"/>
      <c r="J676" s="651">
        <v>-35657.24</v>
      </c>
    </row>
    <row r="677" spans="1:10">
      <c r="A677" s="1034"/>
      <c r="B677" s="1034"/>
      <c r="C677" s="650" t="s">
        <v>3270</v>
      </c>
      <c r="D677" s="1033" t="s">
        <v>3104</v>
      </c>
      <c r="E677" s="1032"/>
      <c r="F677" s="651">
        <v>0</v>
      </c>
      <c r="G677" s="651">
        <v>25125</v>
      </c>
      <c r="H677" s="1036">
        <v>0</v>
      </c>
      <c r="I677" s="1032"/>
      <c r="J677" s="651">
        <v>-25125</v>
      </c>
    </row>
    <row r="678" spans="1:10">
      <c r="A678" s="1034"/>
      <c r="B678" s="1034"/>
      <c r="C678" s="650" t="s">
        <v>3271</v>
      </c>
      <c r="D678" s="1033" t="s">
        <v>3272</v>
      </c>
      <c r="E678" s="1032"/>
      <c r="F678" s="651">
        <v>0</v>
      </c>
      <c r="G678" s="651">
        <v>0</v>
      </c>
      <c r="H678" s="1036">
        <v>0</v>
      </c>
      <c r="I678" s="1032"/>
      <c r="J678" s="651">
        <v>0</v>
      </c>
    </row>
    <row r="679" spans="1:10">
      <c r="A679" s="1034"/>
      <c r="B679" s="1034"/>
      <c r="C679" s="650" t="s">
        <v>3518</v>
      </c>
      <c r="D679" s="1033" t="s">
        <v>3519</v>
      </c>
      <c r="E679" s="1032"/>
      <c r="F679" s="651">
        <v>0</v>
      </c>
      <c r="G679" s="651">
        <v>33147.949999999997</v>
      </c>
      <c r="H679" s="1036">
        <v>0</v>
      </c>
      <c r="I679" s="1032"/>
      <c r="J679" s="651">
        <v>-33147.949999999997</v>
      </c>
    </row>
    <row r="680" spans="1:10">
      <c r="A680" s="1034"/>
      <c r="B680" s="1035"/>
      <c r="C680" s="657" t="s">
        <v>12</v>
      </c>
      <c r="D680" s="1031" t="s">
        <v>111</v>
      </c>
      <c r="E680" s="1032"/>
      <c r="F680" s="658">
        <v>0</v>
      </c>
      <c r="G680" s="658">
        <v>441373.43</v>
      </c>
      <c r="H680" s="1037">
        <v>7454.04</v>
      </c>
      <c r="I680" s="1032"/>
      <c r="J680" s="658">
        <v>-433919.39</v>
      </c>
    </row>
    <row r="681" spans="1:10">
      <c r="A681" s="1034"/>
      <c r="B681" s="1033" t="s">
        <v>2592</v>
      </c>
      <c r="C681" s="650" t="s">
        <v>2593</v>
      </c>
      <c r="D681" s="1033" t="s">
        <v>2251</v>
      </c>
      <c r="E681" s="1032"/>
      <c r="F681" s="651">
        <v>0</v>
      </c>
      <c r="G681" s="651">
        <v>4965.6400000000003</v>
      </c>
      <c r="H681" s="1036">
        <v>0</v>
      </c>
      <c r="I681" s="1032"/>
      <c r="J681" s="651">
        <v>-4965.6400000000003</v>
      </c>
    </row>
    <row r="682" spans="1:10">
      <c r="A682" s="1034"/>
      <c r="B682" s="1034"/>
      <c r="C682" s="650" t="s">
        <v>2594</v>
      </c>
      <c r="D682" s="1033" t="s">
        <v>2252</v>
      </c>
      <c r="E682" s="1032"/>
      <c r="F682" s="651">
        <v>0</v>
      </c>
      <c r="G682" s="651">
        <v>0</v>
      </c>
      <c r="H682" s="1036">
        <v>0</v>
      </c>
      <c r="I682" s="1032"/>
      <c r="J682" s="651">
        <v>0</v>
      </c>
    </row>
    <row r="683" spans="1:10">
      <c r="A683" s="1034"/>
      <c r="B683" s="1034"/>
      <c r="C683" s="650" t="s">
        <v>2595</v>
      </c>
      <c r="D683" s="1033" t="s">
        <v>2253</v>
      </c>
      <c r="E683" s="1032"/>
      <c r="F683" s="651">
        <v>0</v>
      </c>
      <c r="G683" s="651">
        <v>191739.7</v>
      </c>
      <c r="H683" s="1036">
        <v>16828.02</v>
      </c>
      <c r="I683" s="1032"/>
      <c r="J683" s="651">
        <v>-174911.68</v>
      </c>
    </row>
    <row r="684" spans="1:10">
      <c r="A684" s="1034"/>
      <c r="B684" s="1034"/>
      <c r="C684" s="650" t="s">
        <v>2596</v>
      </c>
      <c r="D684" s="1033" t="s">
        <v>2254</v>
      </c>
      <c r="E684" s="1032"/>
      <c r="F684" s="651">
        <v>0</v>
      </c>
      <c r="G684" s="651">
        <v>0</v>
      </c>
      <c r="H684" s="1036">
        <v>0</v>
      </c>
      <c r="I684" s="1032"/>
      <c r="J684" s="651">
        <v>0</v>
      </c>
    </row>
    <row r="685" spans="1:10">
      <c r="A685" s="1034"/>
      <c r="B685" s="1034"/>
      <c r="C685" s="650" t="s">
        <v>3273</v>
      </c>
      <c r="D685" s="1033" t="s">
        <v>3274</v>
      </c>
      <c r="E685" s="1032"/>
      <c r="F685" s="651">
        <v>0</v>
      </c>
      <c r="G685" s="651">
        <v>292058.57</v>
      </c>
      <c r="H685" s="1036">
        <v>220.18</v>
      </c>
      <c r="I685" s="1032"/>
      <c r="J685" s="651">
        <v>-291838.39</v>
      </c>
    </row>
    <row r="686" spans="1:10">
      <c r="A686" s="1034"/>
      <c r="B686" s="1034"/>
      <c r="C686" s="650" t="s">
        <v>3520</v>
      </c>
      <c r="D686" s="1033" t="s">
        <v>3521</v>
      </c>
      <c r="E686" s="1032"/>
      <c r="F686" s="651">
        <v>0</v>
      </c>
      <c r="G686" s="651">
        <v>458838.22</v>
      </c>
      <c r="H686" s="1036">
        <v>0</v>
      </c>
      <c r="I686" s="1032"/>
      <c r="J686" s="651">
        <v>-458838.22</v>
      </c>
    </row>
    <row r="687" spans="1:10">
      <c r="A687" s="1034"/>
      <c r="B687" s="1035"/>
      <c r="C687" s="657" t="s">
        <v>12</v>
      </c>
      <c r="D687" s="1031" t="s">
        <v>111</v>
      </c>
      <c r="E687" s="1032"/>
      <c r="F687" s="658">
        <v>0</v>
      </c>
      <c r="G687" s="658">
        <v>947602.13</v>
      </c>
      <c r="H687" s="1037">
        <v>17048.2</v>
      </c>
      <c r="I687" s="1032"/>
      <c r="J687" s="658">
        <v>-930553.93</v>
      </c>
    </row>
    <row r="688" spans="1:10">
      <c r="A688" s="1034"/>
      <c r="B688" s="1033" t="s">
        <v>2597</v>
      </c>
      <c r="C688" s="650" t="s">
        <v>2598</v>
      </c>
      <c r="D688" s="1033" t="s">
        <v>2010</v>
      </c>
      <c r="E688" s="1032"/>
      <c r="F688" s="651">
        <v>0</v>
      </c>
      <c r="G688" s="651">
        <v>9726799.9100000001</v>
      </c>
      <c r="H688" s="1036">
        <v>5890811.0899999999</v>
      </c>
      <c r="I688" s="1032"/>
      <c r="J688" s="651">
        <v>-3835988.82</v>
      </c>
    </row>
    <row r="689" spans="1:10">
      <c r="A689" s="1034"/>
      <c r="B689" s="1034"/>
      <c r="C689" s="650" t="s">
        <v>2599</v>
      </c>
      <c r="D689" s="1033" t="s">
        <v>1981</v>
      </c>
      <c r="E689" s="1032"/>
      <c r="F689" s="651">
        <v>0</v>
      </c>
      <c r="G689" s="651">
        <v>336958.11</v>
      </c>
      <c r="H689" s="1036">
        <v>270426.62</v>
      </c>
      <c r="I689" s="1032"/>
      <c r="J689" s="651">
        <v>-66531.490000000005</v>
      </c>
    </row>
    <row r="690" spans="1:10">
      <c r="A690" s="1034"/>
      <c r="B690" s="1034"/>
      <c r="C690" s="650" t="s">
        <v>2600</v>
      </c>
      <c r="D690" s="1033" t="s">
        <v>2011</v>
      </c>
      <c r="E690" s="1032"/>
      <c r="F690" s="651">
        <v>0</v>
      </c>
      <c r="G690" s="651">
        <v>9651058.0099999998</v>
      </c>
      <c r="H690" s="1036">
        <v>5568449.8399999999</v>
      </c>
      <c r="I690" s="1032"/>
      <c r="J690" s="651">
        <v>-4082608.17</v>
      </c>
    </row>
    <row r="691" spans="1:10">
      <c r="A691" s="1034"/>
      <c r="B691" s="1034"/>
      <c r="C691" s="650" t="s">
        <v>3522</v>
      </c>
      <c r="D691" s="1033" t="s">
        <v>3523</v>
      </c>
      <c r="E691" s="1032"/>
      <c r="F691" s="651">
        <v>0</v>
      </c>
      <c r="G691" s="651">
        <v>47904.4</v>
      </c>
      <c r="H691" s="1036">
        <v>6353.65</v>
      </c>
      <c r="I691" s="1032"/>
      <c r="J691" s="651">
        <v>-41550.75</v>
      </c>
    </row>
    <row r="692" spans="1:10">
      <c r="A692" s="1034"/>
      <c r="B692" s="1034"/>
      <c r="C692" s="650" t="s">
        <v>2601</v>
      </c>
      <c r="D692" s="1033" t="s">
        <v>2012</v>
      </c>
      <c r="E692" s="1032"/>
      <c r="F692" s="651">
        <v>0</v>
      </c>
      <c r="G692" s="651">
        <v>4707473.03</v>
      </c>
      <c r="H692" s="1036">
        <v>2928105.86</v>
      </c>
      <c r="I692" s="1032"/>
      <c r="J692" s="651">
        <v>-1779367.17</v>
      </c>
    </row>
    <row r="693" spans="1:10">
      <c r="A693" s="1034"/>
      <c r="B693" s="1034"/>
      <c r="C693" s="650" t="s">
        <v>2602</v>
      </c>
      <c r="D693" s="1033" t="s">
        <v>2013</v>
      </c>
      <c r="E693" s="1032"/>
      <c r="F693" s="651">
        <v>0</v>
      </c>
      <c r="G693" s="651">
        <v>6579794.1299999999</v>
      </c>
      <c r="H693" s="1036">
        <v>3919315.57</v>
      </c>
      <c r="I693" s="1032"/>
      <c r="J693" s="651">
        <v>-2660478.56</v>
      </c>
    </row>
    <row r="694" spans="1:10">
      <c r="A694" s="1034"/>
      <c r="B694" s="1034"/>
      <c r="C694" s="650" t="s">
        <v>2603</v>
      </c>
      <c r="D694" s="1033" t="s">
        <v>2255</v>
      </c>
      <c r="E694" s="1032"/>
      <c r="F694" s="651">
        <v>0</v>
      </c>
      <c r="G694" s="651">
        <v>311117.27</v>
      </c>
      <c r="H694" s="1036">
        <v>260539.05</v>
      </c>
      <c r="I694" s="1032"/>
      <c r="J694" s="651">
        <v>-50578.22</v>
      </c>
    </row>
    <row r="695" spans="1:10">
      <c r="A695" s="1034"/>
      <c r="B695" s="1034"/>
      <c r="C695" s="650" t="s">
        <v>2604</v>
      </c>
      <c r="D695" s="1033" t="s">
        <v>2015</v>
      </c>
      <c r="E695" s="1032"/>
      <c r="F695" s="651">
        <v>0</v>
      </c>
      <c r="G695" s="651">
        <v>3757603.46</v>
      </c>
      <c r="H695" s="1036">
        <v>2360012.96</v>
      </c>
      <c r="I695" s="1032"/>
      <c r="J695" s="651">
        <v>-1397590.5</v>
      </c>
    </row>
    <row r="696" spans="1:10">
      <c r="A696" s="1034"/>
      <c r="B696" s="1034"/>
      <c r="C696" s="650" t="s">
        <v>3524</v>
      </c>
      <c r="D696" s="1033" t="s">
        <v>3525</v>
      </c>
      <c r="E696" s="1032"/>
      <c r="F696" s="651">
        <v>0</v>
      </c>
      <c r="G696" s="651">
        <v>2083.34</v>
      </c>
      <c r="H696" s="1036">
        <v>0</v>
      </c>
      <c r="I696" s="1032"/>
      <c r="J696" s="651">
        <v>-2083.34</v>
      </c>
    </row>
    <row r="697" spans="1:10">
      <c r="A697" s="1034"/>
      <c r="B697" s="1035"/>
      <c r="C697" s="657" t="s">
        <v>12</v>
      </c>
      <c r="D697" s="1031" t="s">
        <v>111</v>
      </c>
      <c r="E697" s="1032"/>
      <c r="F697" s="658">
        <v>0</v>
      </c>
      <c r="G697" s="658">
        <v>35120791.659999996</v>
      </c>
      <c r="H697" s="1037">
        <v>21204014.640000001</v>
      </c>
      <c r="I697" s="1032"/>
      <c r="J697" s="658">
        <v>-13916777.02</v>
      </c>
    </row>
    <row r="698" spans="1:10">
      <c r="A698" s="1034"/>
      <c r="B698" s="1033" t="s">
        <v>2605</v>
      </c>
      <c r="C698" s="650" t="s">
        <v>2606</v>
      </c>
      <c r="D698" s="1033" t="s">
        <v>2256</v>
      </c>
      <c r="E698" s="1032"/>
      <c r="F698" s="651">
        <v>0</v>
      </c>
      <c r="G698" s="651">
        <v>0</v>
      </c>
      <c r="H698" s="1036">
        <v>0</v>
      </c>
      <c r="I698" s="1032"/>
      <c r="J698" s="651">
        <v>0</v>
      </c>
    </row>
    <row r="699" spans="1:10">
      <c r="A699" s="1034"/>
      <c r="B699" s="1035"/>
      <c r="C699" s="657" t="s">
        <v>12</v>
      </c>
      <c r="D699" s="1031" t="s">
        <v>111</v>
      </c>
      <c r="E699" s="1032"/>
      <c r="F699" s="658">
        <v>0</v>
      </c>
      <c r="G699" s="658">
        <v>0</v>
      </c>
      <c r="H699" s="1037">
        <v>0</v>
      </c>
      <c r="I699" s="1032"/>
      <c r="J699" s="658">
        <v>0</v>
      </c>
    </row>
    <row r="700" spans="1:10">
      <c r="A700" s="1034"/>
      <c r="B700" s="1033" t="s">
        <v>2607</v>
      </c>
      <c r="C700" s="650" t="s">
        <v>2608</v>
      </c>
      <c r="D700" s="1033" t="s">
        <v>2257</v>
      </c>
      <c r="E700" s="1032"/>
      <c r="F700" s="651">
        <v>0</v>
      </c>
      <c r="G700" s="651">
        <v>0</v>
      </c>
      <c r="H700" s="1036">
        <v>0</v>
      </c>
      <c r="I700" s="1032"/>
      <c r="J700" s="651">
        <v>0</v>
      </c>
    </row>
    <row r="701" spans="1:10">
      <c r="A701" s="1034"/>
      <c r="B701" s="1034"/>
      <c r="C701" s="650" t="s">
        <v>2609</v>
      </c>
      <c r="D701" s="1033" t="s">
        <v>2258</v>
      </c>
      <c r="E701" s="1032"/>
      <c r="F701" s="651">
        <v>0</v>
      </c>
      <c r="G701" s="651">
        <v>0</v>
      </c>
      <c r="H701" s="1036">
        <v>0</v>
      </c>
      <c r="I701" s="1032"/>
      <c r="J701" s="651">
        <v>0</v>
      </c>
    </row>
    <row r="702" spans="1:10">
      <c r="A702" s="1034"/>
      <c r="B702" s="1034"/>
      <c r="C702" s="650" t="s">
        <v>2610</v>
      </c>
      <c r="D702" s="1033" t="s">
        <v>2611</v>
      </c>
      <c r="E702" s="1032"/>
      <c r="F702" s="651">
        <v>0</v>
      </c>
      <c r="G702" s="651">
        <v>3817902.82</v>
      </c>
      <c r="H702" s="1036">
        <v>1226990.0800000001</v>
      </c>
      <c r="I702" s="1032"/>
      <c r="J702" s="651">
        <v>-2590912.7400000002</v>
      </c>
    </row>
    <row r="703" spans="1:10">
      <c r="A703" s="1034"/>
      <c r="B703" s="1034"/>
      <c r="C703" s="650" t="s">
        <v>2612</v>
      </c>
      <c r="D703" s="1033" t="s">
        <v>2259</v>
      </c>
      <c r="E703" s="1032"/>
      <c r="F703" s="651">
        <v>0</v>
      </c>
      <c r="G703" s="651">
        <v>308435.3</v>
      </c>
      <c r="H703" s="1036">
        <v>79952.95</v>
      </c>
      <c r="I703" s="1032"/>
      <c r="J703" s="651">
        <v>-228482.35</v>
      </c>
    </row>
    <row r="704" spans="1:10">
      <c r="A704" s="1034"/>
      <c r="B704" s="1035"/>
      <c r="C704" s="657" t="s">
        <v>12</v>
      </c>
      <c r="D704" s="1031" t="s">
        <v>111</v>
      </c>
      <c r="E704" s="1032"/>
      <c r="F704" s="658">
        <v>0</v>
      </c>
      <c r="G704" s="658">
        <v>4126338.12</v>
      </c>
      <c r="H704" s="1037">
        <v>1306943.03</v>
      </c>
      <c r="I704" s="1032"/>
      <c r="J704" s="658">
        <v>-2819395.09</v>
      </c>
    </row>
    <row r="705" spans="1:10">
      <c r="A705" s="1034"/>
      <c r="B705" s="1033" t="s">
        <v>2613</v>
      </c>
      <c r="C705" s="650" t="s">
        <v>2614</v>
      </c>
      <c r="D705" s="1033" t="s">
        <v>2260</v>
      </c>
      <c r="E705" s="1032"/>
      <c r="F705" s="651">
        <v>0</v>
      </c>
      <c r="G705" s="651">
        <v>29938317.98</v>
      </c>
      <c r="H705" s="1036">
        <v>113268</v>
      </c>
      <c r="I705" s="1032"/>
      <c r="J705" s="651">
        <v>-29825049.98</v>
      </c>
    </row>
    <row r="706" spans="1:10">
      <c r="A706" s="1034"/>
      <c r="B706" s="1034"/>
      <c r="C706" s="650" t="s">
        <v>2615</v>
      </c>
      <c r="D706" s="1033" t="s">
        <v>2261</v>
      </c>
      <c r="E706" s="1032"/>
      <c r="F706" s="651">
        <v>0</v>
      </c>
      <c r="G706" s="651">
        <v>223154</v>
      </c>
      <c r="H706" s="1036">
        <v>10942</v>
      </c>
      <c r="I706" s="1032"/>
      <c r="J706" s="651">
        <v>-212212</v>
      </c>
    </row>
    <row r="707" spans="1:10">
      <c r="A707" s="1034"/>
      <c r="B707" s="1034"/>
      <c r="C707" s="650" t="s">
        <v>2616</v>
      </c>
      <c r="D707" s="1033" t="s">
        <v>2262</v>
      </c>
      <c r="E707" s="1032"/>
      <c r="F707" s="651">
        <v>0</v>
      </c>
      <c r="G707" s="651">
        <v>0</v>
      </c>
      <c r="H707" s="1036">
        <v>0</v>
      </c>
      <c r="I707" s="1032"/>
      <c r="J707" s="651">
        <v>0</v>
      </c>
    </row>
    <row r="708" spans="1:10">
      <c r="A708" s="1034"/>
      <c r="B708" s="1034"/>
      <c r="C708" s="650" t="s">
        <v>2617</v>
      </c>
      <c r="D708" s="1033" t="s">
        <v>2263</v>
      </c>
      <c r="E708" s="1032"/>
      <c r="F708" s="651">
        <v>0</v>
      </c>
      <c r="G708" s="651">
        <v>412788.89</v>
      </c>
      <c r="H708" s="1036">
        <v>0</v>
      </c>
      <c r="I708" s="1032"/>
      <c r="J708" s="651">
        <v>-412788.89</v>
      </c>
    </row>
    <row r="709" spans="1:10">
      <c r="A709" s="1034"/>
      <c r="B709" s="1035"/>
      <c r="C709" s="657" t="s">
        <v>12</v>
      </c>
      <c r="D709" s="1031" t="s">
        <v>111</v>
      </c>
      <c r="E709" s="1032"/>
      <c r="F709" s="658">
        <v>0</v>
      </c>
      <c r="G709" s="658">
        <v>30574260.870000001</v>
      </c>
      <c r="H709" s="1037">
        <v>124210</v>
      </c>
      <c r="I709" s="1032"/>
      <c r="J709" s="658">
        <v>-30450050.870000001</v>
      </c>
    </row>
    <row r="710" spans="1:10">
      <c r="A710" s="1034"/>
      <c r="B710" s="1033" t="s">
        <v>2618</v>
      </c>
      <c r="C710" s="650" t="s">
        <v>2619</v>
      </c>
      <c r="D710" s="1033" t="s">
        <v>2264</v>
      </c>
      <c r="E710" s="1032"/>
      <c r="F710" s="651">
        <v>0</v>
      </c>
      <c r="G710" s="651">
        <v>20918.240000000002</v>
      </c>
      <c r="H710" s="1036">
        <v>0</v>
      </c>
      <c r="I710" s="1032"/>
      <c r="J710" s="651">
        <v>-20918.240000000002</v>
      </c>
    </row>
    <row r="711" spans="1:10">
      <c r="A711" s="1034"/>
      <c r="B711" s="1034"/>
      <c r="C711" s="650" t="s">
        <v>2620</v>
      </c>
      <c r="D711" s="1033" t="s">
        <v>2265</v>
      </c>
      <c r="E711" s="1032"/>
      <c r="F711" s="651">
        <v>0</v>
      </c>
      <c r="G711" s="651">
        <v>1453468.4</v>
      </c>
      <c r="H711" s="1036">
        <v>5423.15</v>
      </c>
      <c r="I711" s="1032"/>
      <c r="J711" s="651">
        <v>-1448045.25</v>
      </c>
    </row>
    <row r="712" spans="1:10">
      <c r="A712" s="1034"/>
      <c r="B712" s="1034"/>
      <c r="C712" s="650" t="s">
        <v>2621</v>
      </c>
      <c r="D712" s="1033" t="s">
        <v>2266</v>
      </c>
      <c r="E712" s="1032"/>
      <c r="F712" s="651">
        <v>0</v>
      </c>
      <c r="G712" s="651">
        <v>1690094.84</v>
      </c>
      <c r="H712" s="1036">
        <v>3579.08</v>
      </c>
      <c r="I712" s="1032"/>
      <c r="J712" s="651">
        <v>-1686515.76</v>
      </c>
    </row>
    <row r="713" spans="1:10">
      <c r="A713" s="1034"/>
      <c r="B713" s="1034"/>
      <c r="C713" s="650" t="s">
        <v>2622</v>
      </c>
      <c r="D713" s="1033" t="s">
        <v>2267</v>
      </c>
      <c r="E713" s="1032"/>
      <c r="F713" s="651">
        <v>0</v>
      </c>
      <c r="G713" s="651">
        <v>124263.4</v>
      </c>
      <c r="H713" s="1036">
        <v>124263.4</v>
      </c>
      <c r="I713" s="1032"/>
      <c r="J713" s="651">
        <v>0</v>
      </c>
    </row>
    <row r="714" spans="1:10">
      <c r="A714" s="1034"/>
      <c r="B714" s="1034"/>
      <c r="C714" s="650" t="s">
        <v>2623</v>
      </c>
      <c r="D714" s="1033" t="s">
        <v>3526</v>
      </c>
      <c r="E714" s="1032"/>
      <c r="F714" s="651">
        <v>0</v>
      </c>
      <c r="G714" s="651">
        <v>6055311.8799999999</v>
      </c>
      <c r="H714" s="1036">
        <v>1304296.1299999999</v>
      </c>
      <c r="I714" s="1032"/>
      <c r="J714" s="651">
        <v>-4751015.75</v>
      </c>
    </row>
    <row r="715" spans="1:10">
      <c r="A715" s="1034"/>
      <c r="B715" s="1035"/>
      <c r="C715" s="657" t="s">
        <v>12</v>
      </c>
      <c r="D715" s="1031" t="s">
        <v>111</v>
      </c>
      <c r="E715" s="1032"/>
      <c r="F715" s="658">
        <v>0</v>
      </c>
      <c r="G715" s="658">
        <v>9344056.7599999998</v>
      </c>
      <c r="H715" s="1037">
        <v>1437561.76</v>
      </c>
      <c r="I715" s="1032"/>
      <c r="J715" s="658">
        <v>-7906495</v>
      </c>
    </row>
    <row r="716" spans="1:10">
      <c r="A716" s="1034"/>
      <c r="B716" s="1033" t="s">
        <v>2624</v>
      </c>
      <c r="C716" s="650" t="s">
        <v>2625</v>
      </c>
      <c r="D716" s="1033" t="s">
        <v>2269</v>
      </c>
      <c r="E716" s="1032"/>
      <c r="F716" s="651">
        <v>0</v>
      </c>
      <c r="G716" s="651">
        <v>0</v>
      </c>
      <c r="H716" s="1036">
        <v>0</v>
      </c>
      <c r="I716" s="1032"/>
      <c r="J716" s="651">
        <v>0</v>
      </c>
    </row>
    <row r="717" spans="1:10">
      <c r="A717" s="1034"/>
      <c r="B717" s="1034"/>
      <c r="C717" s="650" t="s">
        <v>2626</v>
      </c>
      <c r="D717" s="1033" t="s">
        <v>2270</v>
      </c>
      <c r="E717" s="1032"/>
      <c r="F717" s="651">
        <v>0</v>
      </c>
      <c r="G717" s="651">
        <v>28650</v>
      </c>
      <c r="H717" s="1036">
        <v>0</v>
      </c>
      <c r="I717" s="1032"/>
      <c r="J717" s="651">
        <v>-28650</v>
      </c>
    </row>
    <row r="718" spans="1:10">
      <c r="A718" s="1034"/>
      <c r="B718" s="1034"/>
      <c r="C718" s="650" t="s">
        <v>2627</v>
      </c>
      <c r="D718" s="1033" t="s">
        <v>2271</v>
      </c>
      <c r="E718" s="1032"/>
      <c r="F718" s="651">
        <v>0</v>
      </c>
      <c r="G718" s="651">
        <v>1384388.26</v>
      </c>
      <c r="H718" s="1036">
        <v>48590.239999999998</v>
      </c>
      <c r="I718" s="1032"/>
      <c r="J718" s="651">
        <v>-1335798.02</v>
      </c>
    </row>
    <row r="719" spans="1:10">
      <c r="A719" s="1034"/>
      <c r="B719" s="1035"/>
      <c r="C719" s="657" t="s">
        <v>12</v>
      </c>
      <c r="D719" s="1031" t="s">
        <v>111</v>
      </c>
      <c r="E719" s="1032"/>
      <c r="F719" s="658">
        <v>0</v>
      </c>
      <c r="G719" s="658">
        <v>1413038.26</v>
      </c>
      <c r="H719" s="1037">
        <v>48590.239999999998</v>
      </c>
      <c r="I719" s="1032"/>
      <c r="J719" s="658">
        <v>-1364448.02</v>
      </c>
    </row>
    <row r="720" spans="1:10">
      <c r="A720" s="1034"/>
      <c r="B720" s="1033" t="s">
        <v>2628</v>
      </c>
      <c r="C720" s="650" t="s">
        <v>3527</v>
      </c>
      <c r="D720" s="1033" t="s">
        <v>3528</v>
      </c>
      <c r="E720" s="1032"/>
      <c r="F720" s="651">
        <v>0</v>
      </c>
      <c r="G720" s="651">
        <v>500</v>
      </c>
      <c r="H720" s="1036">
        <v>500</v>
      </c>
      <c r="I720" s="1032"/>
      <c r="J720" s="651">
        <v>0</v>
      </c>
    </row>
    <row r="721" spans="1:10">
      <c r="A721" s="1034"/>
      <c r="B721" s="1034"/>
      <c r="C721" s="650" t="s">
        <v>2629</v>
      </c>
      <c r="D721" s="1033" t="s">
        <v>2272</v>
      </c>
      <c r="E721" s="1032"/>
      <c r="F721" s="651">
        <v>0</v>
      </c>
      <c r="G721" s="651">
        <v>0</v>
      </c>
      <c r="H721" s="1036">
        <v>0</v>
      </c>
      <c r="I721" s="1032"/>
      <c r="J721" s="651">
        <v>0</v>
      </c>
    </row>
    <row r="722" spans="1:10">
      <c r="A722" s="1034"/>
      <c r="B722" s="1034"/>
      <c r="C722" s="650" t="s">
        <v>3275</v>
      </c>
      <c r="D722" s="1033" t="s">
        <v>3276</v>
      </c>
      <c r="E722" s="1032"/>
      <c r="F722" s="651">
        <v>0</v>
      </c>
      <c r="G722" s="651">
        <v>32596.27</v>
      </c>
      <c r="H722" s="1036">
        <v>0</v>
      </c>
      <c r="I722" s="1032"/>
      <c r="J722" s="651">
        <v>-32596.27</v>
      </c>
    </row>
    <row r="723" spans="1:10">
      <c r="A723" s="1034"/>
      <c r="B723" s="1035"/>
      <c r="C723" s="657" t="s">
        <v>12</v>
      </c>
      <c r="D723" s="1031" t="s">
        <v>111</v>
      </c>
      <c r="E723" s="1032"/>
      <c r="F723" s="658">
        <v>0</v>
      </c>
      <c r="G723" s="658">
        <v>33096.269999999997</v>
      </c>
      <c r="H723" s="1037">
        <v>500</v>
      </c>
      <c r="I723" s="1032"/>
      <c r="J723" s="658">
        <v>-32596.27</v>
      </c>
    </row>
    <row r="724" spans="1:10">
      <c r="A724" s="1034"/>
      <c r="B724" s="1033" t="s">
        <v>2630</v>
      </c>
      <c r="C724" s="650" t="s">
        <v>2631</v>
      </c>
      <c r="D724" s="1033" t="s">
        <v>2273</v>
      </c>
      <c r="E724" s="1032"/>
      <c r="F724" s="651">
        <v>0</v>
      </c>
      <c r="G724" s="651">
        <v>1041217.01</v>
      </c>
      <c r="H724" s="1036">
        <v>42299.3</v>
      </c>
      <c r="I724" s="1032"/>
      <c r="J724" s="651">
        <v>-998917.71</v>
      </c>
    </row>
    <row r="725" spans="1:10">
      <c r="A725" s="1034"/>
      <c r="B725" s="1034"/>
      <c r="C725" s="650" t="s">
        <v>2632</v>
      </c>
      <c r="D725" s="1033" t="s">
        <v>2274</v>
      </c>
      <c r="E725" s="1032"/>
      <c r="F725" s="651">
        <v>0</v>
      </c>
      <c r="G725" s="651">
        <v>2139439.25</v>
      </c>
      <c r="H725" s="1036">
        <v>20691.7</v>
      </c>
      <c r="I725" s="1032"/>
      <c r="J725" s="651">
        <v>-2118747.5499999998</v>
      </c>
    </row>
    <row r="726" spans="1:10">
      <c r="A726" s="1034"/>
      <c r="B726" s="1035"/>
      <c r="C726" s="657" t="s">
        <v>12</v>
      </c>
      <c r="D726" s="1031" t="s">
        <v>111</v>
      </c>
      <c r="E726" s="1032"/>
      <c r="F726" s="658">
        <v>0</v>
      </c>
      <c r="G726" s="658">
        <v>3180656.26</v>
      </c>
      <c r="H726" s="1037">
        <v>62991</v>
      </c>
      <c r="I726" s="1032"/>
      <c r="J726" s="658">
        <v>-3117665.26</v>
      </c>
    </row>
    <row r="727" spans="1:10">
      <c r="A727" s="1034"/>
      <c r="B727" s="1033" t="s">
        <v>2633</v>
      </c>
      <c r="C727" s="650" t="s">
        <v>2634</v>
      </c>
      <c r="D727" s="1033" t="s">
        <v>2275</v>
      </c>
      <c r="E727" s="1032"/>
      <c r="F727" s="651">
        <v>0</v>
      </c>
      <c r="G727" s="651">
        <v>333704.44</v>
      </c>
      <c r="H727" s="1036">
        <v>8556.1</v>
      </c>
      <c r="I727" s="1032"/>
      <c r="J727" s="651">
        <v>-325148.34000000003</v>
      </c>
    </row>
    <row r="728" spans="1:10">
      <c r="A728" s="1034"/>
      <c r="B728" s="1034"/>
      <c r="C728" s="650" t="s">
        <v>2635</v>
      </c>
      <c r="D728" s="1033" t="s">
        <v>2276</v>
      </c>
      <c r="E728" s="1032"/>
      <c r="F728" s="651">
        <v>0</v>
      </c>
      <c r="G728" s="651">
        <v>270081.53999999998</v>
      </c>
      <c r="H728" s="1036">
        <v>37658.239999999998</v>
      </c>
      <c r="I728" s="1032"/>
      <c r="J728" s="651">
        <v>-232423.3</v>
      </c>
    </row>
    <row r="729" spans="1:10">
      <c r="A729" s="1034"/>
      <c r="B729" s="1035"/>
      <c r="C729" s="657" t="s">
        <v>12</v>
      </c>
      <c r="D729" s="1031" t="s">
        <v>111</v>
      </c>
      <c r="E729" s="1032"/>
      <c r="F729" s="658">
        <v>0</v>
      </c>
      <c r="G729" s="658">
        <v>603785.98</v>
      </c>
      <c r="H729" s="1037">
        <v>46214.34</v>
      </c>
      <c r="I729" s="1032"/>
      <c r="J729" s="658">
        <v>-557571.64</v>
      </c>
    </row>
    <row r="730" spans="1:10">
      <c r="A730" s="1034"/>
      <c r="B730" s="1033" t="s">
        <v>2636</v>
      </c>
      <c r="C730" s="650" t="s">
        <v>2637</v>
      </c>
      <c r="D730" s="1033" t="s">
        <v>2277</v>
      </c>
      <c r="E730" s="1032"/>
      <c r="F730" s="651">
        <v>0</v>
      </c>
      <c r="G730" s="651">
        <v>2854208.92</v>
      </c>
      <c r="H730" s="1036">
        <v>417600</v>
      </c>
      <c r="I730" s="1032"/>
      <c r="J730" s="651">
        <v>-2436608.92</v>
      </c>
    </row>
    <row r="731" spans="1:10">
      <c r="A731" s="1034"/>
      <c r="B731" s="1035"/>
      <c r="C731" s="657" t="s">
        <v>12</v>
      </c>
      <c r="D731" s="1031" t="s">
        <v>111</v>
      </c>
      <c r="E731" s="1032"/>
      <c r="F731" s="658">
        <v>0</v>
      </c>
      <c r="G731" s="658">
        <v>2854208.92</v>
      </c>
      <c r="H731" s="1037">
        <v>417600</v>
      </c>
      <c r="I731" s="1032"/>
      <c r="J731" s="658">
        <v>-2436608.92</v>
      </c>
    </row>
    <row r="732" spans="1:10">
      <c r="A732" s="1034"/>
      <c r="B732" s="1033" t="s">
        <v>2638</v>
      </c>
      <c r="C732" s="650" t="s">
        <v>2639</v>
      </c>
      <c r="D732" s="1033" t="s">
        <v>2278</v>
      </c>
      <c r="E732" s="1032"/>
      <c r="F732" s="651">
        <v>0</v>
      </c>
      <c r="G732" s="651">
        <v>564529.9</v>
      </c>
      <c r="H732" s="1036">
        <v>126529.9</v>
      </c>
      <c r="I732" s="1032"/>
      <c r="J732" s="651">
        <v>-438000</v>
      </c>
    </row>
    <row r="733" spans="1:10">
      <c r="A733" s="1034"/>
      <c r="B733" s="1034"/>
      <c r="C733" s="650" t="s">
        <v>3529</v>
      </c>
      <c r="D733" s="1033" t="s">
        <v>3530</v>
      </c>
      <c r="E733" s="1032"/>
      <c r="F733" s="651">
        <v>0</v>
      </c>
      <c r="G733" s="651">
        <v>66000</v>
      </c>
      <c r="H733" s="1036">
        <v>0</v>
      </c>
      <c r="I733" s="1032"/>
      <c r="J733" s="651">
        <v>-66000</v>
      </c>
    </row>
    <row r="734" spans="1:10">
      <c r="A734" s="1034"/>
      <c r="B734" s="1035"/>
      <c r="C734" s="657" t="s">
        <v>12</v>
      </c>
      <c r="D734" s="1031" t="s">
        <v>111</v>
      </c>
      <c r="E734" s="1032"/>
      <c r="F734" s="658">
        <v>0</v>
      </c>
      <c r="G734" s="658">
        <v>630529.9</v>
      </c>
      <c r="H734" s="1037">
        <v>126529.9</v>
      </c>
      <c r="I734" s="1032"/>
      <c r="J734" s="658">
        <v>-504000</v>
      </c>
    </row>
    <row r="735" spans="1:10">
      <c r="A735" s="1034"/>
      <c r="B735" s="1033" t="s">
        <v>2640</v>
      </c>
      <c r="C735" s="650" t="s">
        <v>2641</v>
      </c>
      <c r="D735" s="1033" t="s">
        <v>2279</v>
      </c>
      <c r="E735" s="1032"/>
      <c r="F735" s="651">
        <v>0</v>
      </c>
      <c r="G735" s="651">
        <v>126571.92</v>
      </c>
      <c r="H735" s="1036">
        <v>476.72</v>
      </c>
      <c r="I735" s="1032"/>
      <c r="J735" s="651">
        <v>-126095.2</v>
      </c>
    </row>
    <row r="736" spans="1:10">
      <c r="A736" s="1034"/>
      <c r="B736" s="1035"/>
      <c r="C736" s="657" t="s">
        <v>12</v>
      </c>
      <c r="D736" s="1031" t="s">
        <v>111</v>
      </c>
      <c r="E736" s="1032"/>
      <c r="F736" s="658">
        <v>0</v>
      </c>
      <c r="G736" s="658">
        <v>126571.92</v>
      </c>
      <c r="H736" s="1037">
        <v>476.72</v>
      </c>
      <c r="I736" s="1032"/>
      <c r="J736" s="658">
        <v>-126095.2</v>
      </c>
    </row>
    <row r="737" spans="1:10">
      <c r="A737" s="1034"/>
      <c r="B737" s="1033" t="s">
        <v>2642</v>
      </c>
      <c r="C737" s="650" t="s">
        <v>2643</v>
      </c>
      <c r="D737" s="1033" t="s">
        <v>2280</v>
      </c>
      <c r="E737" s="1032"/>
      <c r="F737" s="651">
        <v>0</v>
      </c>
      <c r="G737" s="651">
        <v>105</v>
      </c>
      <c r="H737" s="1036">
        <v>105</v>
      </c>
      <c r="I737" s="1032"/>
      <c r="J737" s="651">
        <v>0</v>
      </c>
    </row>
    <row r="738" spans="1:10">
      <c r="A738" s="1034"/>
      <c r="B738" s="1034"/>
      <c r="C738" s="650" t="s">
        <v>3277</v>
      </c>
      <c r="D738" s="1033" t="s">
        <v>3278</v>
      </c>
      <c r="E738" s="1032"/>
      <c r="F738" s="651">
        <v>0</v>
      </c>
      <c r="G738" s="651">
        <v>0</v>
      </c>
      <c r="H738" s="1036">
        <v>0</v>
      </c>
      <c r="I738" s="1032"/>
      <c r="J738" s="651">
        <v>0</v>
      </c>
    </row>
    <row r="739" spans="1:10">
      <c r="A739" s="1034"/>
      <c r="B739" s="1035"/>
      <c r="C739" s="657" t="s">
        <v>12</v>
      </c>
      <c r="D739" s="1031" t="s">
        <v>111</v>
      </c>
      <c r="E739" s="1032"/>
      <c r="F739" s="658">
        <v>0</v>
      </c>
      <c r="G739" s="658">
        <v>105</v>
      </c>
      <c r="H739" s="1037">
        <v>105</v>
      </c>
      <c r="I739" s="1032"/>
      <c r="J739" s="658">
        <v>0</v>
      </c>
    </row>
    <row r="740" spans="1:10">
      <c r="A740" s="1034"/>
      <c r="B740" s="1033" t="s">
        <v>2644</v>
      </c>
      <c r="C740" s="650" t="s">
        <v>2645</v>
      </c>
      <c r="D740" s="1033" t="s">
        <v>2281</v>
      </c>
      <c r="E740" s="1032"/>
      <c r="F740" s="651">
        <v>0</v>
      </c>
      <c r="G740" s="651">
        <v>515561.24</v>
      </c>
      <c r="H740" s="1036">
        <v>10879</v>
      </c>
      <c r="I740" s="1032"/>
      <c r="J740" s="651">
        <v>-504682.23999999999</v>
      </c>
    </row>
    <row r="741" spans="1:10">
      <c r="A741" s="1034"/>
      <c r="B741" s="1035"/>
      <c r="C741" s="657" t="s">
        <v>12</v>
      </c>
      <c r="D741" s="1031" t="s">
        <v>111</v>
      </c>
      <c r="E741" s="1032"/>
      <c r="F741" s="658">
        <v>0</v>
      </c>
      <c r="G741" s="658">
        <v>515561.24</v>
      </c>
      <c r="H741" s="1037">
        <v>10879</v>
      </c>
      <c r="I741" s="1032"/>
      <c r="J741" s="658">
        <v>-504682.23999999999</v>
      </c>
    </row>
    <row r="742" spans="1:10">
      <c r="A742" s="1034"/>
      <c r="B742" s="1033" t="s">
        <v>2646</v>
      </c>
      <c r="C742" s="650" t="s">
        <v>2647</v>
      </c>
      <c r="D742" s="1033" t="s">
        <v>2282</v>
      </c>
      <c r="E742" s="1032"/>
      <c r="F742" s="651">
        <v>0</v>
      </c>
      <c r="G742" s="651">
        <v>3597281.39</v>
      </c>
      <c r="H742" s="1036">
        <v>110722.79</v>
      </c>
      <c r="I742" s="1032"/>
      <c r="J742" s="651">
        <v>-3486558.6</v>
      </c>
    </row>
    <row r="743" spans="1:10">
      <c r="A743" s="1034"/>
      <c r="B743" s="1034"/>
      <c r="C743" s="650" t="s">
        <v>3279</v>
      </c>
      <c r="D743" s="1033" t="s">
        <v>3280</v>
      </c>
      <c r="E743" s="1032"/>
      <c r="F743" s="651">
        <v>0</v>
      </c>
      <c r="G743" s="651">
        <v>100</v>
      </c>
      <c r="H743" s="1036">
        <v>0</v>
      </c>
      <c r="I743" s="1032"/>
      <c r="J743" s="651">
        <v>-100</v>
      </c>
    </row>
    <row r="744" spans="1:10">
      <c r="A744" s="1034"/>
      <c r="B744" s="1035"/>
      <c r="C744" s="657" t="s">
        <v>12</v>
      </c>
      <c r="D744" s="1031" t="s">
        <v>111</v>
      </c>
      <c r="E744" s="1032"/>
      <c r="F744" s="658">
        <v>0</v>
      </c>
      <c r="G744" s="658">
        <v>3597381.39</v>
      </c>
      <c r="H744" s="1037">
        <v>110722.79</v>
      </c>
      <c r="I744" s="1032"/>
      <c r="J744" s="658">
        <v>-3486658.6</v>
      </c>
    </row>
    <row r="745" spans="1:10">
      <c r="A745" s="1034"/>
      <c r="B745" s="1033" t="s">
        <v>2648</v>
      </c>
      <c r="C745" s="650" t="s">
        <v>2649</v>
      </c>
      <c r="D745" s="1033" t="s">
        <v>2283</v>
      </c>
      <c r="E745" s="1032"/>
      <c r="F745" s="651">
        <v>0</v>
      </c>
      <c r="G745" s="651">
        <v>44030.07</v>
      </c>
      <c r="H745" s="1036">
        <v>1136.9000000000001</v>
      </c>
      <c r="I745" s="1032"/>
      <c r="J745" s="651">
        <v>-42893.17</v>
      </c>
    </row>
    <row r="746" spans="1:10">
      <c r="A746" s="1034"/>
      <c r="B746" s="1035"/>
      <c r="C746" s="657" t="s">
        <v>12</v>
      </c>
      <c r="D746" s="1031" t="s">
        <v>111</v>
      </c>
      <c r="E746" s="1032"/>
      <c r="F746" s="658">
        <v>0</v>
      </c>
      <c r="G746" s="658">
        <v>44030.07</v>
      </c>
      <c r="H746" s="1037">
        <v>1136.9000000000001</v>
      </c>
      <c r="I746" s="1032"/>
      <c r="J746" s="658">
        <v>-42893.17</v>
      </c>
    </row>
    <row r="747" spans="1:10">
      <c r="A747" s="1034"/>
      <c r="B747" s="1033" t="s">
        <v>2650</v>
      </c>
      <c r="C747" s="650" t="s">
        <v>2651</v>
      </c>
      <c r="D747" s="1033" t="s">
        <v>2284</v>
      </c>
      <c r="E747" s="1032"/>
      <c r="F747" s="651">
        <v>0</v>
      </c>
      <c r="G747" s="651">
        <v>98625.79</v>
      </c>
      <c r="H747" s="1036">
        <v>1798.5</v>
      </c>
      <c r="I747" s="1032"/>
      <c r="J747" s="651">
        <v>-96827.29</v>
      </c>
    </row>
    <row r="748" spans="1:10">
      <c r="A748" s="1034"/>
      <c r="B748" s="1035"/>
      <c r="C748" s="657" t="s">
        <v>12</v>
      </c>
      <c r="D748" s="1031" t="s">
        <v>111</v>
      </c>
      <c r="E748" s="1032"/>
      <c r="F748" s="658">
        <v>0</v>
      </c>
      <c r="G748" s="658">
        <v>98625.79</v>
      </c>
      <c r="H748" s="1037">
        <v>1798.5</v>
      </c>
      <c r="I748" s="1032"/>
      <c r="J748" s="658">
        <v>-96827.29</v>
      </c>
    </row>
    <row r="749" spans="1:10">
      <c r="A749" s="1034"/>
      <c r="B749" s="1033" t="s">
        <v>3344</v>
      </c>
      <c r="C749" s="650" t="s">
        <v>3281</v>
      </c>
      <c r="D749" s="1033" t="s">
        <v>3282</v>
      </c>
      <c r="E749" s="1032"/>
      <c r="F749" s="651">
        <v>0</v>
      </c>
      <c r="G749" s="651">
        <v>0</v>
      </c>
      <c r="H749" s="1036">
        <v>0</v>
      </c>
      <c r="I749" s="1032"/>
      <c r="J749" s="651">
        <v>0</v>
      </c>
    </row>
    <row r="750" spans="1:10">
      <c r="A750" s="1034"/>
      <c r="B750" s="1035"/>
      <c r="C750" s="657" t="s">
        <v>12</v>
      </c>
      <c r="D750" s="1031" t="s">
        <v>111</v>
      </c>
      <c r="E750" s="1032"/>
      <c r="F750" s="658">
        <v>0</v>
      </c>
      <c r="G750" s="658">
        <v>0</v>
      </c>
      <c r="H750" s="1037">
        <v>0</v>
      </c>
      <c r="I750" s="1032"/>
      <c r="J750" s="658">
        <v>0</v>
      </c>
    </row>
    <row r="751" spans="1:10">
      <c r="A751" s="1034"/>
      <c r="B751" s="1033" t="s">
        <v>2652</v>
      </c>
      <c r="C751" s="650" t="s">
        <v>2653</v>
      </c>
      <c r="D751" s="1033" t="s">
        <v>2285</v>
      </c>
      <c r="E751" s="1032"/>
      <c r="F751" s="651">
        <v>0</v>
      </c>
      <c r="G751" s="651">
        <v>1476152.09</v>
      </c>
      <c r="H751" s="1036">
        <v>97309.119999999995</v>
      </c>
      <c r="I751" s="1032"/>
      <c r="J751" s="651">
        <v>-1378842.97</v>
      </c>
    </row>
    <row r="752" spans="1:10">
      <c r="A752" s="1034"/>
      <c r="B752" s="1035"/>
      <c r="C752" s="657" t="s">
        <v>12</v>
      </c>
      <c r="D752" s="1031" t="s">
        <v>111</v>
      </c>
      <c r="E752" s="1032"/>
      <c r="F752" s="658">
        <v>0</v>
      </c>
      <c r="G752" s="658">
        <v>1476152.09</v>
      </c>
      <c r="H752" s="1037">
        <v>97309.119999999995</v>
      </c>
      <c r="I752" s="1032"/>
      <c r="J752" s="658">
        <v>-1378842.97</v>
      </c>
    </row>
    <row r="753" spans="1:10">
      <c r="A753" s="1034"/>
      <c r="B753" s="1033" t="s">
        <v>3345</v>
      </c>
      <c r="C753" s="650" t="s">
        <v>3283</v>
      </c>
      <c r="D753" s="1033" t="s">
        <v>3284</v>
      </c>
      <c r="E753" s="1032"/>
      <c r="F753" s="651">
        <v>0</v>
      </c>
      <c r="G753" s="651">
        <v>375</v>
      </c>
      <c r="H753" s="1036">
        <v>0</v>
      </c>
      <c r="I753" s="1032"/>
      <c r="J753" s="651">
        <v>-375</v>
      </c>
    </row>
    <row r="754" spans="1:10">
      <c r="A754" s="1034"/>
      <c r="B754" s="1035"/>
      <c r="C754" s="657" t="s">
        <v>12</v>
      </c>
      <c r="D754" s="1031" t="s">
        <v>111</v>
      </c>
      <c r="E754" s="1032"/>
      <c r="F754" s="658">
        <v>0</v>
      </c>
      <c r="G754" s="658">
        <v>375</v>
      </c>
      <c r="H754" s="1037">
        <v>0</v>
      </c>
      <c r="I754" s="1032"/>
      <c r="J754" s="658">
        <v>-375</v>
      </c>
    </row>
    <row r="755" spans="1:10">
      <c r="A755" s="1034"/>
      <c r="B755" s="1033" t="s">
        <v>2654</v>
      </c>
      <c r="C755" s="650" t="s">
        <v>2655</v>
      </c>
      <c r="D755" s="1033" t="s">
        <v>2286</v>
      </c>
      <c r="E755" s="1032"/>
      <c r="F755" s="651">
        <v>0</v>
      </c>
      <c r="G755" s="651">
        <v>137801</v>
      </c>
      <c r="H755" s="1036">
        <v>13950</v>
      </c>
      <c r="I755" s="1032"/>
      <c r="J755" s="651">
        <v>-123851</v>
      </c>
    </row>
    <row r="756" spans="1:10">
      <c r="A756" s="1034"/>
      <c r="B756" s="1035"/>
      <c r="C756" s="657" t="s">
        <v>12</v>
      </c>
      <c r="D756" s="1031" t="s">
        <v>111</v>
      </c>
      <c r="E756" s="1032"/>
      <c r="F756" s="658">
        <v>0</v>
      </c>
      <c r="G756" s="658">
        <v>137801</v>
      </c>
      <c r="H756" s="1037">
        <v>13950</v>
      </c>
      <c r="I756" s="1032"/>
      <c r="J756" s="658">
        <v>-123851</v>
      </c>
    </row>
    <row r="757" spans="1:10">
      <c r="A757" s="1034"/>
      <c r="B757" s="1033" t="s">
        <v>2656</v>
      </c>
      <c r="C757" s="650" t="s">
        <v>2657</v>
      </c>
      <c r="D757" s="1033" t="s">
        <v>2287</v>
      </c>
      <c r="E757" s="1032"/>
      <c r="F757" s="651">
        <v>0</v>
      </c>
      <c r="G757" s="651">
        <v>37632.089999999997</v>
      </c>
      <c r="H757" s="1036">
        <v>83</v>
      </c>
      <c r="I757" s="1032"/>
      <c r="J757" s="651">
        <v>-37549.089999999997</v>
      </c>
    </row>
    <row r="758" spans="1:10">
      <c r="A758" s="1034"/>
      <c r="B758" s="1034"/>
      <c r="C758" s="650" t="s">
        <v>3285</v>
      </c>
      <c r="D758" s="1033" t="s">
        <v>3286</v>
      </c>
      <c r="E758" s="1032"/>
      <c r="F758" s="651">
        <v>0</v>
      </c>
      <c r="G758" s="651">
        <v>12434.05</v>
      </c>
      <c r="H758" s="1036">
        <v>0</v>
      </c>
      <c r="I758" s="1032"/>
      <c r="J758" s="651">
        <v>-12434.05</v>
      </c>
    </row>
    <row r="759" spans="1:10">
      <c r="A759" s="1034"/>
      <c r="B759" s="1035"/>
      <c r="C759" s="657" t="s">
        <v>12</v>
      </c>
      <c r="D759" s="1031" t="s">
        <v>111</v>
      </c>
      <c r="E759" s="1032"/>
      <c r="F759" s="658">
        <v>0</v>
      </c>
      <c r="G759" s="658">
        <v>50066.14</v>
      </c>
      <c r="H759" s="1037">
        <v>83</v>
      </c>
      <c r="I759" s="1032"/>
      <c r="J759" s="658">
        <v>-49983.14</v>
      </c>
    </row>
    <row r="760" spans="1:10">
      <c r="A760" s="1034"/>
      <c r="B760" s="1033" t="s">
        <v>2658</v>
      </c>
      <c r="C760" s="650" t="s">
        <v>2659</v>
      </c>
      <c r="D760" s="1033" t="s">
        <v>2288</v>
      </c>
      <c r="E760" s="1032"/>
      <c r="F760" s="651">
        <v>0</v>
      </c>
      <c r="G760" s="651">
        <v>3755.43</v>
      </c>
      <c r="H760" s="1036">
        <v>0.01</v>
      </c>
      <c r="I760" s="1032"/>
      <c r="J760" s="651">
        <v>-3755.42</v>
      </c>
    </row>
    <row r="761" spans="1:10">
      <c r="A761" s="1034"/>
      <c r="B761" s="1035"/>
      <c r="C761" s="657" t="s">
        <v>12</v>
      </c>
      <c r="D761" s="1031" t="s">
        <v>111</v>
      </c>
      <c r="E761" s="1032"/>
      <c r="F761" s="658">
        <v>0</v>
      </c>
      <c r="G761" s="658">
        <v>3755.43</v>
      </c>
      <c r="H761" s="1037">
        <v>0.01</v>
      </c>
      <c r="I761" s="1032"/>
      <c r="J761" s="658">
        <v>-3755.42</v>
      </c>
    </row>
    <row r="762" spans="1:10">
      <c r="A762" s="1034"/>
      <c r="B762" s="1033" t="s">
        <v>2660</v>
      </c>
      <c r="C762" s="650" t="s">
        <v>2661</v>
      </c>
      <c r="D762" s="1033" t="s">
        <v>2662</v>
      </c>
      <c r="E762" s="1032"/>
      <c r="F762" s="651">
        <v>0</v>
      </c>
      <c r="G762" s="651">
        <v>7850</v>
      </c>
      <c r="H762" s="1036">
        <v>0</v>
      </c>
      <c r="I762" s="1032"/>
      <c r="J762" s="651">
        <v>-7850</v>
      </c>
    </row>
    <row r="763" spans="1:10">
      <c r="A763" s="1034"/>
      <c r="B763" s="1035"/>
      <c r="C763" s="657" t="s">
        <v>12</v>
      </c>
      <c r="D763" s="1031" t="s">
        <v>111</v>
      </c>
      <c r="E763" s="1032"/>
      <c r="F763" s="658">
        <v>0</v>
      </c>
      <c r="G763" s="658">
        <v>7850</v>
      </c>
      <c r="H763" s="1037">
        <v>0</v>
      </c>
      <c r="I763" s="1032"/>
      <c r="J763" s="658">
        <v>-7850</v>
      </c>
    </row>
    <row r="764" spans="1:10">
      <c r="A764" s="1034"/>
      <c r="B764" s="1033" t="s">
        <v>2663</v>
      </c>
      <c r="C764" s="650" t="s">
        <v>3287</v>
      </c>
      <c r="D764" s="1033" t="s">
        <v>3288</v>
      </c>
      <c r="E764" s="1032"/>
      <c r="F764" s="651">
        <v>0</v>
      </c>
      <c r="G764" s="651">
        <v>6247.1</v>
      </c>
      <c r="H764" s="1036">
        <v>400</v>
      </c>
      <c r="I764" s="1032"/>
      <c r="J764" s="651">
        <v>-5847.1</v>
      </c>
    </row>
    <row r="765" spans="1:10">
      <c r="A765" s="1034"/>
      <c r="B765" s="1034"/>
      <c r="C765" s="650" t="s">
        <v>2664</v>
      </c>
      <c r="D765" s="1033" t="s">
        <v>2289</v>
      </c>
      <c r="E765" s="1032"/>
      <c r="F765" s="651">
        <v>0</v>
      </c>
      <c r="G765" s="651">
        <v>371179.34</v>
      </c>
      <c r="H765" s="1036">
        <v>8060.8</v>
      </c>
      <c r="I765" s="1032"/>
      <c r="J765" s="651">
        <v>-363118.54</v>
      </c>
    </row>
    <row r="766" spans="1:10">
      <c r="A766" s="1034"/>
      <c r="B766" s="1035"/>
      <c r="C766" s="657" t="s">
        <v>12</v>
      </c>
      <c r="D766" s="1031" t="s">
        <v>111</v>
      </c>
      <c r="E766" s="1032"/>
      <c r="F766" s="658">
        <v>0</v>
      </c>
      <c r="G766" s="658">
        <v>377426.44</v>
      </c>
      <c r="H766" s="1037">
        <v>8460.7999999999993</v>
      </c>
      <c r="I766" s="1032"/>
      <c r="J766" s="658">
        <v>-368965.64</v>
      </c>
    </row>
    <row r="767" spans="1:10">
      <c r="A767" s="1034"/>
      <c r="B767" s="1033" t="s">
        <v>2665</v>
      </c>
      <c r="C767" s="650" t="s">
        <v>3289</v>
      </c>
      <c r="D767" s="1033" t="s">
        <v>3290</v>
      </c>
      <c r="E767" s="1032"/>
      <c r="F767" s="651">
        <v>0</v>
      </c>
      <c r="G767" s="651">
        <v>33645.089999999997</v>
      </c>
      <c r="H767" s="1036">
        <v>0</v>
      </c>
      <c r="I767" s="1032"/>
      <c r="J767" s="651">
        <v>-33645.089999999997</v>
      </c>
    </row>
    <row r="768" spans="1:10">
      <c r="A768" s="1034"/>
      <c r="B768" s="1034"/>
      <c r="C768" s="650" t="s">
        <v>3531</v>
      </c>
      <c r="D768" s="1033" t="s">
        <v>3532</v>
      </c>
      <c r="E768" s="1032"/>
      <c r="F768" s="651">
        <v>0</v>
      </c>
      <c r="G768" s="651">
        <v>150</v>
      </c>
      <c r="H768" s="1036">
        <v>0</v>
      </c>
      <c r="I768" s="1032"/>
      <c r="J768" s="651">
        <v>-150</v>
      </c>
    </row>
    <row r="769" spans="1:10">
      <c r="A769" s="1034"/>
      <c r="B769" s="1034"/>
      <c r="C769" s="650" t="s">
        <v>3291</v>
      </c>
      <c r="D769" s="1033" t="s">
        <v>3292</v>
      </c>
      <c r="E769" s="1032"/>
      <c r="F769" s="651">
        <v>0</v>
      </c>
      <c r="G769" s="651">
        <v>9769.15</v>
      </c>
      <c r="H769" s="1036">
        <v>0</v>
      </c>
      <c r="I769" s="1032"/>
      <c r="J769" s="651">
        <v>-9769.15</v>
      </c>
    </row>
    <row r="770" spans="1:10">
      <c r="A770" s="1034"/>
      <c r="B770" s="1034"/>
      <c r="C770" s="650" t="s">
        <v>3293</v>
      </c>
      <c r="D770" s="1033" t="s">
        <v>3294</v>
      </c>
      <c r="E770" s="1032"/>
      <c r="F770" s="651">
        <v>0</v>
      </c>
      <c r="G770" s="651">
        <v>0</v>
      </c>
      <c r="H770" s="1036">
        <v>0</v>
      </c>
      <c r="I770" s="1032"/>
      <c r="J770" s="651">
        <v>0</v>
      </c>
    </row>
    <row r="771" spans="1:10">
      <c r="A771" s="1034"/>
      <c r="B771" s="1034"/>
      <c r="C771" s="650" t="s">
        <v>2666</v>
      </c>
      <c r="D771" s="1033" t="s">
        <v>2290</v>
      </c>
      <c r="E771" s="1032"/>
      <c r="F771" s="651">
        <v>0</v>
      </c>
      <c r="G771" s="651">
        <v>1161496.76</v>
      </c>
      <c r="H771" s="1036">
        <v>152597.78</v>
      </c>
      <c r="I771" s="1032"/>
      <c r="J771" s="651">
        <v>-1008898.98</v>
      </c>
    </row>
    <row r="772" spans="1:10">
      <c r="A772" s="1034"/>
      <c r="B772" s="1035"/>
      <c r="C772" s="657" t="s">
        <v>12</v>
      </c>
      <c r="D772" s="1031" t="s">
        <v>111</v>
      </c>
      <c r="E772" s="1032"/>
      <c r="F772" s="658">
        <v>0</v>
      </c>
      <c r="G772" s="658">
        <v>1205061</v>
      </c>
      <c r="H772" s="1037">
        <v>152597.78</v>
      </c>
      <c r="I772" s="1032"/>
      <c r="J772" s="658">
        <v>-1052463.22</v>
      </c>
    </row>
    <row r="773" spans="1:10">
      <c r="A773" s="1034"/>
      <c r="B773" s="1033" t="s">
        <v>3346</v>
      </c>
      <c r="C773" s="650" t="s">
        <v>3295</v>
      </c>
      <c r="D773" s="1033" t="s">
        <v>3296</v>
      </c>
      <c r="E773" s="1032"/>
      <c r="F773" s="651">
        <v>0</v>
      </c>
      <c r="G773" s="651">
        <v>0</v>
      </c>
      <c r="H773" s="1036">
        <v>0</v>
      </c>
      <c r="I773" s="1032"/>
      <c r="J773" s="651">
        <v>0</v>
      </c>
    </row>
    <row r="774" spans="1:10">
      <c r="A774" s="1034"/>
      <c r="B774" s="1034"/>
      <c r="C774" s="650" t="s">
        <v>3297</v>
      </c>
      <c r="D774" s="1033" t="s">
        <v>3298</v>
      </c>
      <c r="E774" s="1032"/>
      <c r="F774" s="651">
        <v>0</v>
      </c>
      <c r="G774" s="651">
        <v>0</v>
      </c>
      <c r="H774" s="1036">
        <v>0</v>
      </c>
      <c r="I774" s="1032"/>
      <c r="J774" s="651">
        <v>0</v>
      </c>
    </row>
    <row r="775" spans="1:10">
      <c r="A775" s="1034"/>
      <c r="B775" s="1035"/>
      <c r="C775" s="657" t="s">
        <v>12</v>
      </c>
      <c r="D775" s="1031" t="s">
        <v>111</v>
      </c>
      <c r="E775" s="1032"/>
      <c r="F775" s="658">
        <v>0</v>
      </c>
      <c r="G775" s="658">
        <v>0</v>
      </c>
      <c r="H775" s="1037">
        <v>0</v>
      </c>
      <c r="I775" s="1032"/>
      <c r="J775" s="658">
        <v>0</v>
      </c>
    </row>
    <row r="776" spans="1:10">
      <c r="A776" s="1034"/>
      <c r="B776" s="1033" t="s">
        <v>3347</v>
      </c>
      <c r="C776" s="650" t="s">
        <v>3299</v>
      </c>
      <c r="D776" s="1033" t="s">
        <v>3300</v>
      </c>
      <c r="E776" s="1032"/>
      <c r="F776" s="651">
        <v>0</v>
      </c>
      <c r="G776" s="651">
        <v>400</v>
      </c>
      <c r="H776" s="1036">
        <v>0</v>
      </c>
      <c r="I776" s="1032"/>
      <c r="J776" s="651">
        <v>-400</v>
      </c>
    </row>
    <row r="777" spans="1:10">
      <c r="A777" s="1034"/>
      <c r="B777" s="1035"/>
      <c r="C777" s="657" t="s">
        <v>12</v>
      </c>
      <c r="D777" s="1031" t="s">
        <v>111</v>
      </c>
      <c r="E777" s="1032"/>
      <c r="F777" s="658">
        <v>0</v>
      </c>
      <c r="G777" s="658">
        <v>400</v>
      </c>
      <c r="H777" s="1037">
        <v>0</v>
      </c>
      <c r="I777" s="1032"/>
      <c r="J777" s="658">
        <v>-400</v>
      </c>
    </row>
    <row r="778" spans="1:10">
      <c r="A778" s="1034"/>
      <c r="B778" s="1033" t="s">
        <v>2667</v>
      </c>
      <c r="C778" s="650" t="s">
        <v>3301</v>
      </c>
      <c r="D778" s="1033" t="s">
        <v>3302</v>
      </c>
      <c r="E778" s="1032"/>
      <c r="F778" s="651">
        <v>0</v>
      </c>
      <c r="G778" s="651">
        <v>450</v>
      </c>
      <c r="H778" s="1036">
        <v>0</v>
      </c>
      <c r="I778" s="1032"/>
      <c r="J778" s="651">
        <v>-450</v>
      </c>
    </row>
    <row r="779" spans="1:10">
      <c r="A779" s="1034"/>
      <c r="B779" s="1034"/>
      <c r="C779" s="650" t="s">
        <v>2668</v>
      </c>
      <c r="D779" s="1033" t="s">
        <v>2291</v>
      </c>
      <c r="E779" s="1032"/>
      <c r="F779" s="651">
        <v>0</v>
      </c>
      <c r="G779" s="651">
        <v>0</v>
      </c>
      <c r="H779" s="1036">
        <v>0</v>
      </c>
      <c r="I779" s="1032"/>
      <c r="J779" s="651">
        <v>0</v>
      </c>
    </row>
    <row r="780" spans="1:10">
      <c r="A780" s="1034"/>
      <c r="B780" s="1034"/>
      <c r="C780" s="650" t="s">
        <v>2669</v>
      </c>
      <c r="D780" s="1033" t="s">
        <v>2292</v>
      </c>
      <c r="E780" s="1032"/>
      <c r="F780" s="651">
        <v>0</v>
      </c>
      <c r="G780" s="651">
        <v>70213.05</v>
      </c>
      <c r="H780" s="1036">
        <v>305</v>
      </c>
      <c r="I780" s="1032"/>
      <c r="J780" s="651">
        <v>-69908.05</v>
      </c>
    </row>
    <row r="781" spans="1:10">
      <c r="A781" s="1034"/>
      <c r="B781" s="1034"/>
      <c r="C781" s="650" t="s">
        <v>3533</v>
      </c>
      <c r="D781" s="1033" t="s">
        <v>3534</v>
      </c>
      <c r="E781" s="1032"/>
      <c r="F781" s="651">
        <v>0</v>
      </c>
      <c r="G781" s="651">
        <v>280</v>
      </c>
      <c r="H781" s="1036">
        <v>0</v>
      </c>
      <c r="I781" s="1032"/>
      <c r="J781" s="651">
        <v>-280</v>
      </c>
    </row>
    <row r="782" spans="1:10">
      <c r="A782" s="1034"/>
      <c r="B782" s="1034"/>
      <c r="C782" s="650" t="s">
        <v>3535</v>
      </c>
      <c r="D782" s="1033" t="s">
        <v>3536</v>
      </c>
      <c r="E782" s="1032"/>
      <c r="F782" s="651">
        <v>0</v>
      </c>
      <c r="G782" s="651">
        <v>12178.16</v>
      </c>
      <c r="H782" s="1036">
        <v>0</v>
      </c>
      <c r="I782" s="1032"/>
      <c r="J782" s="651">
        <v>-12178.16</v>
      </c>
    </row>
    <row r="783" spans="1:10">
      <c r="A783" s="1034"/>
      <c r="B783" s="1035"/>
      <c r="C783" s="657" t="s">
        <v>12</v>
      </c>
      <c r="D783" s="1031" t="s">
        <v>111</v>
      </c>
      <c r="E783" s="1032"/>
      <c r="F783" s="658">
        <v>0</v>
      </c>
      <c r="G783" s="658">
        <v>83121.210000000006</v>
      </c>
      <c r="H783" s="1037">
        <v>305</v>
      </c>
      <c r="I783" s="1032"/>
      <c r="J783" s="658">
        <v>-82816.210000000006</v>
      </c>
    </row>
    <row r="784" spans="1:10">
      <c r="A784" s="1034"/>
      <c r="B784" s="1033" t="s">
        <v>2670</v>
      </c>
      <c r="C784" s="650" t="s">
        <v>2671</v>
      </c>
      <c r="D784" s="1033" t="s">
        <v>2293</v>
      </c>
      <c r="E784" s="1032"/>
      <c r="F784" s="651">
        <v>0</v>
      </c>
      <c r="G784" s="651">
        <v>0</v>
      </c>
      <c r="H784" s="1036">
        <v>0</v>
      </c>
      <c r="I784" s="1032"/>
      <c r="J784" s="651">
        <v>0</v>
      </c>
    </row>
    <row r="785" spans="1:10">
      <c r="A785" s="1034"/>
      <c r="B785" s="1034"/>
      <c r="C785" s="650" t="s">
        <v>2672</v>
      </c>
      <c r="D785" s="1033" t="s">
        <v>2294</v>
      </c>
      <c r="E785" s="1032"/>
      <c r="F785" s="651">
        <v>0</v>
      </c>
      <c r="G785" s="651">
        <v>0</v>
      </c>
      <c r="H785" s="1036">
        <v>0</v>
      </c>
      <c r="I785" s="1032"/>
      <c r="J785" s="651">
        <v>0</v>
      </c>
    </row>
    <row r="786" spans="1:10">
      <c r="A786" s="1034"/>
      <c r="B786" s="1034"/>
      <c r="C786" s="650" t="s">
        <v>2673</v>
      </c>
      <c r="D786" s="1033" t="s">
        <v>2674</v>
      </c>
      <c r="E786" s="1032"/>
      <c r="F786" s="651">
        <v>0</v>
      </c>
      <c r="G786" s="651">
        <v>64014.74</v>
      </c>
      <c r="H786" s="1036">
        <v>0</v>
      </c>
      <c r="I786" s="1032"/>
      <c r="J786" s="651">
        <v>-64014.74</v>
      </c>
    </row>
    <row r="787" spans="1:10">
      <c r="A787" s="1034"/>
      <c r="B787" s="1034"/>
      <c r="C787" s="650" t="s">
        <v>3303</v>
      </c>
      <c r="D787" s="1033" t="s">
        <v>3304</v>
      </c>
      <c r="E787" s="1032"/>
      <c r="F787" s="651">
        <v>0</v>
      </c>
      <c r="G787" s="651">
        <v>970567.14</v>
      </c>
      <c r="H787" s="1036">
        <v>0</v>
      </c>
      <c r="I787" s="1032"/>
      <c r="J787" s="651">
        <v>-970567.14</v>
      </c>
    </row>
    <row r="788" spans="1:10">
      <c r="A788" s="1034"/>
      <c r="B788" s="1035"/>
      <c r="C788" s="657" t="s">
        <v>12</v>
      </c>
      <c r="D788" s="1031" t="s">
        <v>111</v>
      </c>
      <c r="E788" s="1032"/>
      <c r="F788" s="658">
        <v>0</v>
      </c>
      <c r="G788" s="658">
        <v>1034581.88</v>
      </c>
      <c r="H788" s="1037">
        <v>0</v>
      </c>
      <c r="I788" s="1032"/>
      <c r="J788" s="658">
        <v>-1034581.88</v>
      </c>
    </row>
    <row r="789" spans="1:10">
      <c r="A789" s="1034"/>
      <c r="B789" s="1033" t="s">
        <v>3348</v>
      </c>
      <c r="C789" s="650" t="s">
        <v>3305</v>
      </c>
      <c r="D789" s="1033" t="s">
        <v>3306</v>
      </c>
      <c r="E789" s="1032"/>
      <c r="F789" s="651">
        <v>0</v>
      </c>
      <c r="G789" s="651">
        <v>1718478.33</v>
      </c>
      <c r="H789" s="1036">
        <v>155001.18</v>
      </c>
      <c r="I789" s="1032"/>
      <c r="J789" s="651">
        <v>-1563477.15</v>
      </c>
    </row>
    <row r="790" spans="1:10">
      <c r="A790" s="1034"/>
      <c r="B790" s="1034"/>
      <c r="C790" s="650" t="s">
        <v>3307</v>
      </c>
      <c r="D790" s="1033" t="s">
        <v>3308</v>
      </c>
      <c r="E790" s="1032"/>
      <c r="F790" s="651">
        <v>0</v>
      </c>
      <c r="G790" s="651">
        <v>85722.53</v>
      </c>
      <c r="H790" s="1036">
        <v>1804.64</v>
      </c>
      <c r="I790" s="1032"/>
      <c r="J790" s="651">
        <v>-83917.89</v>
      </c>
    </row>
    <row r="791" spans="1:10">
      <c r="A791" s="1034"/>
      <c r="B791" s="1035"/>
      <c r="C791" s="657" t="s">
        <v>12</v>
      </c>
      <c r="D791" s="1031" t="s">
        <v>111</v>
      </c>
      <c r="E791" s="1032"/>
      <c r="F791" s="658">
        <v>0</v>
      </c>
      <c r="G791" s="658">
        <v>1804200.86</v>
      </c>
      <c r="H791" s="1037">
        <v>156805.82</v>
      </c>
      <c r="I791" s="1032"/>
      <c r="J791" s="658">
        <v>-1647395.04</v>
      </c>
    </row>
    <row r="792" spans="1:10">
      <c r="A792" s="1034"/>
      <c r="B792" s="1033" t="s">
        <v>2675</v>
      </c>
      <c r="C792" s="650" t="s">
        <v>2676</v>
      </c>
      <c r="D792" s="1033" t="s">
        <v>2295</v>
      </c>
      <c r="E792" s="1032"/>
      <c r="F792" s="651">
        <v>0</v>
      </c>
      <c r="G792" s="651">
        <v>4779.47</v>
      </c>
      <c r="H792" s="1036">
        <v>1255</v>
      </c>
      <c r="I792" s="1032"/>
      <c r="J792" s="651">
        <v>-3524.47</v>
      </c>
    </row>
    <row r="793" spans="1:10">
      <c r="A793" s="1034"/>
      <c r="B793" s="1034"/>
      <c r="C793" s="650" t="s">
        <v>3309</v>
      </c>
      <c r="D793" s="1033" t="s">
        <v>3310</v>
      </c>
      <c r="E793" s="1032"/>
      <c r="F793" s="651">
        <v>0</v>
      </c>
      <c r="G793" s="651">
        <v>29495.7</v>
      </c>
      <c r="H793" s="1036">
        <v>581.5</v>
      </c>
      <c r="I793" s="1032"/>
      <c r="J793" s="651">
        <v>-28914.2</v>
      </c>
    </row>
    <row r="794" spans="1:10">
      <c r="A794" s="1034"/>
      <c r="B794" s="1034"/>
      <c r="C794" s="650" t="s">
        <v>2677</v>
      </c>
      <c r="D794" s="1033" t="s">
        <v>2296</v>
      </c>
      <c r="E794" s="1032"/>
      <c r="F794" s="651">
        <v>0</v>
      </c>
      <c r="G794" s="651">
        <v>54149.7</v>
      </c>
      <c r="H794" s="1036">
        <v>0</v>
      </c>
      <c r="I794" s="1032"/>
      <c r="J794" s="651">
        <v>-54149.7</v>
      </c>
    </row>
    <row r="795" spans="1:10">
      <c r="A795" s="1034"/>
      <c r="B795" s="1034"/>
      <c r="C795" s="650" t="s">
        <v>2678</v>
      </c>
      <c r="D795" s="1033" t="s">
        <v>2297</v>
      </c>
      <c r="E795" s="1032"/>
      <c r="F795" s="651">
        <v>0</v>
      </c>
      <c r="G795" s="651">
        <v>1159274.96</v>
      </c>
      <c r="H795" s="1036">
        <v>180</v>
      </c>
      <c r="I795" s="1032"/>
      <c r="J795" s="651">
        <v>-1159094.96</v>
      </c>
    </row>
    <row r="796" spans="1:10">
      <c r="A796" s="1034"/>
      <c r="B796" s="1034"/>
      <c r="C796" s="650" t="s">
        <v>3311</v>
      </c>
      <c r="D796" s="1033" t="s">
        <v>3312</v>
      </c>
      <c r="E796" s="1032"/>
      <c r="F796" s="651">
        <v>0</v>
      </c>
      <c r="G796" s="651">
        <v>1390</v>
      </c>
      <c r="H796" s="1036">
        <v>0</v>
      </c>
      <c r="I796" s="1032"/>
      <c r="J796" s="651">
        <v>-1390</v>
      </c>
    </row>
    <row r="797" spans="1:10">
      <c r="A797" s="1034"/>
      <c r="B797" s="1034"/>
      <c r="C797" s="650" t="s">
        <v>2679</v>
      </c>
      <c r="D797" s="1033" t="s">
        <v>2298</v>
      </c>
      <c r="E797" s="1032"/>
      <c r="F797" s="651">
        <v>0</v>
      </c>
      <c r="G797" s="651">
        <v>188181.47</v>
      </c>
      <c r="H797" s="1036">
        <v>4386.01</v>
      </c>
      <c r="I797" s="1032"/>
      <c r="J797" s="651">
        <v>-183795.46</v>
      </c>
    </row>
    <row r="798" spans="1:10">
      <c r="A798" s="1034"/>
      <c r="B798" s="1034"/>
      <c r="C798" s="650" t="s">
        <v>2680</v>
      </c>
      <c r="D798" s="1033" t="s">
        <v>2299</v>
      </c>
      <c r="E798" s="1032"/>
      <c r="F798" s="651">
        <v>0</v>
      </c>
      <c r="G798" s="651">
        <v>696921</v>
      </c>
      <c r="H798" s="1036">
        <v>140957.4</v>
      </c>
      <c r="I798" s="1032"/>
      <c r="J798" s="651">
        <v>-555963.6</v>
      </c>
    </row>
    <row r="799" spans="1:10">
      <c r="A799" s="1034"/>
      <c r="B799" s="1035"/>
      <c r="C799" s="657" t="s">
        <v>12</v>
      </c>
      <c r="D799" s="1031" t="s">
        <v>111</v>
      </c>
      <c r="E799" s="1032"/>
      <c r="F799" s="658">
        <v>0</v>
      </c>
      <c r="G799" s="658">
        <v>2134192.2999999998</v>
      </c>
      <c r="H799" s="1037">
        <v>147359.91</v>
      </c>
      <c r="I799" s="1032"/>
      <c r="J799" s="658">
        <v>-1986832.39</v>
      </c>
    </row>
    <row r="800" spans="1:10">
      <c r="A800" s="1034"/>
      <c r="B800" s="1033" t="s">
        <v>2681</v>
      </c>
      <c r="C800" s="650" t="s">
        <v>2682</v>
      </c>
      <c r="D800" s="1033" t="s">
        <v>2300</v>
      </c>
      <c r="E800" s="1032"/>
      <c r="F800" s="651">
        <v>0</v>
      </c>
      <c r="G800" s="651">
        <v>156478.88</v>
      </c>
      <c r="H800" s="1036">
        <v>0</v>
      </c>
      <c r="I800" s="1032"/>
      <c r="J800" s="651">
        <v>-156478.88</v>
      </c>
    </row>
    <row r="801" spans="1:10">
      <c r="A801" s="1034"/>
      <c r="B801" s="1034"/>
      <c r="C801" s="650" t="s">
        <v>2683</v>
      </c>
      <c r="D801" s="1033" t="s">
        <v>2301</v>
      </c>
      <c r="E801" s="1032"/>
      <c r="F801" s="651">
        <v>0</v>
      </c>
      <c r="G801" s="651">
        <v>14500.4</v>
      </c>
      <c r="H801" s="1036">
        <v>435</v>
      </c>
      <c r="I801" s="1032"/>
      <c r="J801" s="651">
        <v>-14065.4</v>
      </c>
    </row>
    <row r="802" spans="1:10">
      <c r="A802" s="1034"/>
      <c r="B802" s="1034"/>
      <c r="C802" s="650" t="s">
        <v>2684</v>
      </c>
      <c r="D802" s="1033" t="s">
        <v>2302</v>
      </c>
      <c r="E802" s="1032"/>
      <c r="F802" s="651">
        <v>0</v>
      </c>
      <c r="G802" s="651">
        <v>146215.76</v>
      </c>
      <c r="H802" s="1036">
        <v>5945</v>
      </c>
      <c r="I802" s="1032"/>
      <c r="J802" s="651">
        <v>-140270.76</v>
      </c>
    </row>
    <row r="803" spans="1:10">
      <c r="A803" s="1034"/>
      <c r="B803" s="1034"/>
      <c r="C803" s="650" t="s">
        <v>2685</v>
      </c>
      <c r="D803" s="1033" t="s">
        <v>2303</v>
      </c>
      <c r="E803" s="1032"/>
      <c r="F803" s="651">
        <v>0</v>
      </c>
      <c r="G803" s="651">
        <v>23459.200000000001</v>
      </c>
      <c r="H803" s="1036">
        <v>790.8</v>
      </c>
      <c r="I803" s="1032"/>
      <c r="J803" s="651">
        <v>-22668.400000000001</v>
      </c>
    </row>
    <row r="804" spans="1:10">
      <c r="A804" s="1034"/>
      <c r="B804" s="1035"/>
      <c r="C804" s="657" t="s">
        <v>12</v>
      </c>
      <c r="D804" s="1031" t="s">
        <v>111</v>
      </c>
      <c r="E804" s="1032"/>
      <c r="F804" s="658">
        <v>0</v>
      </c>
      <c r="G804" s="658">
        <v>340654.24</v>
      </c>
      <c r="H804" s="1037">
        <v>7170.8</v>
      </c>
      <c r="I804" s="1032"/>
      <c r="J804" s="658">
        <v>-333483.44</v>
      </c>
    </row>
    <row r="805" spans="1:10">
      <c r="A805" s="1034"/>
      <c r="B805" s="1033" t="s">
        <v>2686</v>
      </c>
      <c r="C805" s="650" t="s">
        <v>2687</v>
      </c>
      <c r="D805" s="1033" t="s">
        <v>2304</v>
      </c>
      <c r="E805" s="1032"/>
      <c r="F805" s="651">
        <v>0</v>
      </c>
      <c r="G805" s="651">
        <v>243080.66</v>
      </c>
      <c r="H805" s="1036">
        <v>36316.400000000001</v>
      </c>
      <c r="I805" s="1032"/>
      <c r="J805" s="651">
        <v>-206764.26</v>
      </c>
    </row>
    <row r="806" spans="1:10">
      <c r="A806" s="1034"/>
      <c r="B806" s="1034"/>
      <c r="C806" s="650" t="s">
        <v>2688</v>
      </c>
      <c r="D806" s="1033" t="s">
        <v>2305</v>
      </c>
      <c r="E806" s="1032"/>
      <c r="F806" s="651">
        <v>0</v>
      </c>
      <c r="G806" s="651">
        <v>82686</v>
      </c>
      <c r="H806" s="1036">
        <v>0</v>
      </c>
      <c r="I806" s="1032"/>
      <c r="J806" s="651">
        <v>-82686</v>
      </c>
    </row>
    <row r="807" spans="1:10">
      <c r="A807" s="1034"/>
      <c r="B807" s="1035"/>
      <c r="C807" s="657" t="s">
        <v>12</v>
      </c>
      <c r="D807" s="1031" t="s">
        <v>111</v>
      </c>
      <c r="E807" s="1032"/>
      <c r="F807" s="658">
        <v>0</v>
      </c>
      <c r="G807" s="658">
        <v>325766.65999999997</v>
      </c>
      <c r="H807" s="1037">
        <v>36316.400000000001</v>
      </c>
      <c r="I807" s="1032"/>
      <c r="J807" s="658">
        <v>-289450.26</v>
      </c>
    </row>
    <row r="808" spans="1:10">
      <c r="A808" s="1034"/>
      <c r="B808" s="1033" t="s">
        <v>2689</v>
      </c>
      <c r="C808" s="650" t="s">
        <v>3313</v>
      </c>
      <c r="D808" s="1033" t="s">
        <v>3314</v>
      </c>
      <c r="E808" s="1032"/>
      <c r="F808" s="651">
        <v>0</v>
      </c>
      <c r="G808" s="651">
        <v>0</v>
      </c>
      <c r="H808" s="1036">
        <v>125503.77</v>
      </c>
      <c r="I808" s="1032"/>
      <c r="J808" s="651">
        <v>125503.77</v>
      </c>
    </row>
    <row r="809" spans="1:10">
      <c r="A809" s="1034"/>
      <c r="B809" s="1034"/>
      <c r="C809" s="650" t="s">
        <v>2690</v>
      </c>
      <c r="D809" s="1033" t="s">
        <v>2306</v>
      </c>
      <c r="E809" s="1032"/>
      <c r="F809" s="651">
        <v>0</v>
      </c>
      <c r="G809" s="651">
        <v>17078.79</v>
      </c>
      <c r="H809" s="1036">
        <v>0</v>
      </c>
      <c r="I809" s="1032"/>
      <c r="J809" s="651">
        <v>-17078.79</v>
      </c>
    </row>
    <row r="810" spans="1:10">
      <c r="A810" s="1034"/>
      <c r="B810" s="1034"/>
      <c r="C810" s="650" t="s">
        <v>2691</v>
      </c>
      <c r="D810" s="1033" t="s">
        <v>2307</v>
      </c>
      <c r="E810" s="1032"/>
      <c r="F810" s="651">
        <v>0</v>
      </c>
      <c r="G810" s="651">
        <v>9040.77</v>
      </c>
      <c r="H810" s="1036">
        <v>0</v>
      </c>
      <c r="I810" s="1032"/>
      <c r="J810" s="651">
        <v>-9040.77</v>
      </c>
    </row>
    <row r="811" spans="1:10">
      <c r="A811" s="1034"/>
      <c r="B811" s="1034"/>
      <c r="C811" s="650" t="s">
        <v>2692</v>
      </c>
      <c r="D811" s="1033" t="s">
        <v>2308</v>
      </c>
      <c r="E811" s="1032"/>
      <c r="F811" s="651">
        <v>0</v>
      </c>
      <c r="G811" s="651">
        <v>31943.759999999998</v>
      </c>
      <c r="H811" s="1036">
        <v>0.1</v>
      </c>
      <c r="I811" s="1032"/>
      <c r="J811" s="651">
        <v>-31943.66</v>
      </c>
    </row>
    <row r="812" spans="1:10">
      <c r="A812" s="1034"/>
      <c r="B812" s="1035"/>
      <c r="C812" s="657" t="s">
        <v>12</v>
      </c>
      <c r="D812" s="1031" t="s">
        <v>111</v>
      </c>
      <c r="E812" s="1032"/>
      <c r="F812" s="658">
        <v>0</v>
      </c>
      <c r="G812" s="658">
        <v>58063.32</v>
      </c>
      <c r="H812" s="1037">
        <v>125503.87</v>
      </c>
      <c r="I812" s="1032"/>
      <c r="J812" s="658">
        <v>67440.55</v>
      </c>
    </row>
    <row r="813" spans="1:10">
      <c r="A813" s="1034"/>
      <c r="B813" s="1033" t="s">
        <v>2693</v>
      </c>
      <c r="C813" s="650" t="s">
        <v>2694</v>
      </c>
      <c r="D813" s="1033" t="s">
        <v>2309</v>
      </c>
      <c r="E813" s="1032"/>
      <c r="F813" s="651">
        <v>0</v>
      </c>
      <c r="G813" s="651">
        <v>728383.87</v>
      </c>
      <c r="H813" s="1036">
        <v>8683</v>
      </c>
      <c r="I813" s="1032"/>
      <c r="J813" s="651">
        <v>-719700.87</v>
      </c>
    </row>
    <row r="814" spans="1:10">
      <c r="A814" s="1034"/>
      <c r="B814" s="1034"/>
      <c r="C814" s="650" t="s">
        <v>3315</v>
      </c>
      <c r="D814" s="1033" t="s">
        <v>3316</v>
      </c>
      <c r="E814" s="1032"/>
      <c r="F814" s="651">
        <v>0</v>
      </c>
      <c r="G814" s="651">
        <v>48</v>
      </c>
      <c r="H814" s="1036">
        <v>15</v>
      </c>
      <c r="I814" s="1032"/>
      <c r="J814" s="651">
        <v>-33</v>
      </c>
    </row>
    <row r="815" spans="1:10">
      <c r="A815" s="1034"/>
      <c r="B815" s="1034"/>
      <c r="C815" s="650" t="s">
        <v>2695</v>
      </c>
      <c r="D815" s="1033" t="s">
        <v>2310</v>
      </c>
      <c r="E815" s="1032"/>
      <c r="F815" s="651">
        <v>0</v>
      </c>
      <c r="G815" s="651">
        <v>252959.26</v>
      </c>
      <c r="H815" s="1036">
        <v>0</v>
      </c>
      <c r="I815" s="1032"/>
      <c r="J815" s="651">
        <v>-252959.26</v>
      </c>
    </row>
    <row r="816" spans="1:10">
      <c r="A816" s="1034"/>
      <c r="B816" s="1034"/>
      <c r="C816" s="650" t="s">
        <v>3317</v>
      </c>
      <c r="D816" s="1033" t="s">
        <v>3318</v>
      </c>
      <c r="E816" s="1032"/>
      <c r="F816" s="651">
        <v>0</v>
      </c>
      <c r="G816" s="651">
        <v>28402</v>
      </c>
      <c r="H816" s="1036">
        <v>0</v>
      </c>
      <c r="I816" s="1032"/>
      <c r="J816" s="651">
        <v>-28402</v>
      </c>
    </row>
    <row r="817" spans="1:10">
      <c r="A817" s="1034"/>
      <c r="B817" s="1034"/>
      <c r="C817" s="650" t="s">
        <v>2696</v>
      </c>
      <c r="D817" s="1033" t="s">
        <v>2311</v>
      </c>
      <c r="E817" s="1032"/>
      <c r="F817" s="651">
        <v>0</v>
      </c>
      <c r="G817" s="651">
        <v>223</v>
      </c>
      <c r="H817" s="1036">
        <v>0</v>
      </c>
      <c r="I817" s="1032"/>
      <c r="J817" s="651">
        <v>-223</v>
      </c>
    </row>
    <row r="818" spans="1:10">
      <c r="A818" s="1034"/>
      <c r="B818" s="1035"/>
      <c r="C818" s="657" t="s">
        <v>12</v>
      </c>
      <c r="D818" s="1031" t="s">
        <v>111</v>
      </c>
      <c r="E818" s="1032"/>
      <c r="F818" s="658">
        <v>0</v>
      </c>
      <c r="G818" s="658">
        <v>1010016.13</v>
      </c>
      <c r="H818" s="1037">
        <v>8698</v>
      </c>
      <c r="I818" s="1032"/>
      <c r="J818" s="658">
        <v>-1001318.13</v>
      </c>
    </row>
    <row r="819" spans="1:10">
      <c r="A819" s="1034"/>
      <c r="B819" s="1033" t="s">
        <v>2697</v>
      </c>
      <c r="C819" s="650" t="s">
        <v>3537</v>
      </c>
      <c r="D819" s="1033" t="s">
        <v>3538</v>
      </c>
      <c r="E819" s="1032"/>
      <c r="F819" s="651">
        <v>0</v>
      </c>
      <c r="G819" s="651">
        <v>100</v>
      </c>
      <c r="H819" s="1036">
        <v>0</v>
      </c>
      <c r="I819" s="1032"/>
      <c r="J819" s="651">
        <v>-100</v>
      </c>
    </row>
    <row r="820" spans="1:10">
      <c r="A820" s="1034"/>
      <c r="B820" s="1034"/>
      <c r="C820" s="650" t="s">
        <v>2698</v>
      </c>
      <c r="D820" s="1033" t="s">
        <v>3539</v>
      </c>
      <c r="E820" s="1032"/>
      <c r="F820" s="651">
        <v>0</v>
      </c>
      <c r="G820" s="651">
        <v>272762.44</v>
      </c>
      <c r="H820" s="1036">
        <v>0</v>
      </c>
      <c r="I820" s="1032"/>
      <c r="J820" s="651">
        <v>-272762.44</v>
      </c>
    </row>
    <row r="821" spans="1:10">
      <c r="A821" s="1034"/>
      <c r="B821" s="1034"/>
      <c r="C821" s="650" t="s">
        <v>2699</v>
      </c>
      <c r="D821" s="1033" t="s">
        <v>2313</v>
      </c>
      <c r="E821" s="1032"/>
      <c r="F821" s="651">
        <v>0</v>
      </c>
      <c r="G821" s="651">
        <v>18279</v>
      </c>
      <c r="H821" s="1036">
        <v>1996</v>
      </c>
      <c r="I821" s="1032"/>
      <c r="J821" s="651">
        <v>-16283</v>
      </c>
    </row>
    <row r="822" spans="1:10">
      <c r="A822" s="1034"/>
      <c r="B822" s="1034"/>
      <c r="C822" s="650" t="s">
        <v>3319</v>
      </c>
      <c r="D822" s="1033" t="s">
        <v>3320</v>
      </c>
      <c r="E822" s="1032"/>
      <c r="F822" s="651">
        <v>0</v>
      </c>
      <c r="G822" s="651">
        <v>298232.40000000002</v>
      </c>
      <c r="H822" s="1036">
        <v>6545.5</v>
      </c>
      <c r="I822" s="1032"/>
      <c r="J822" s="651">
        <v>-291686.90000000002</v>
      </c>
    </row>
    <row r="823" spans="1:10">
      <c r="A823" s="1034"/>
      <c r="B823" s="1035"/>
      <c r="C823" s="657" t="s">
        <v>12</v>
      </c>
      <c r="D823" s="1031" t="s">
        <v>111</v>
      </c>
      <c r="E823" s="1032"/>
      <c r="F823" s="658">
        <v>0</v>
      </c>
      <c r="G823" s="658">
        <v>589373.84</v>
      </c>
      <c r="H823" s="1037">
        <v>8541.5</v>
      </c>
      <c r="I823" s="1032"/>
      <c r="J823" s="658">
        <v>-580832.34</v>
      </c>
    </row>
    <row r="824" spans="1:10">
      <c r="A824" s="1034"/>
      <c r="B824" s="1033" t="s">
        <v>2700</v>
      </c>
      <c r="C824" s="650" t="s">
        <v>2701</v>
      </c>
      <c r="D824" s="1033" t="s">
        <v>2314</v>
      </c>
      <c r="E824" s="1032"/>
      <c r="F824" s="651">
        <v>0</v>
      </c>
      <c r="G824" s="651">
        <v>393220.53</v>
      </c>
      <c r="H824" s="1036">
        <v>38648.99</v>
      </c>
      <c r="I824" s="1032"/>
      <c r="J824" s="651">
        <v>-354571.54</v>
      </c>
    </row>
    <row r="825" spans="1:10">
      <c r="A825" s="1034"/>
      <c r="B825" s="1035"/>
      <c r="C825" s="657" t="s">
        <v>12</v>
      </c>
      <c r="D825" s="1031" t="s">
        <v>111</v>
      </c>
      <c r="E825" s="1032"/>
      <c r="F825" s="658">
        <v>0</v>
      </c>
      <c r="G825" s="658">
        <v>393220.53</v>
      </c>
      <c r="H825" s="1037">
        <v>38648.99</v>
      </c>
      <c r="I825" s="1032"/>
      <c r="J825" s="658">
        <v>-354571.54</v>
      </c>
    </row>
    <row r="826" spans="1:10">
      <c r="A826" s="1034"/>
      <c r="B826" s="1033" t="s">
        <v>2702</v>
      </c>
      <c r="C826" s="650" t="s">
        <v>3321</v>
      </c>
      <c r="D826" s="1033" t="s">
        <v>3322</v>
      </c>
      <c r="E826" s="1032"/>
      <c r="F826" s="651">
        <v>0</v>
      </c>
      <c r="G826" s="651">
        <v>0</v>
      </c>
      <c r="H826" s="1036">
        <v>0</v>
      </c>
      <c r="I826" s="1032"/>
      <c r="J826" s="651">
        <v>0</v>
      </c>
    </row>
    <row r="827" spans="1:10">
      <c r="A827" s="1034"/>
      <c r="B827" s="1034"/>
      <c r="C827" s="650" t="s">
        <v>2703</v>
      </c>
      <c r="D827" s="1033" t="s">
        <v>2315</v>
      </c>
      <c r="E827" s="1032"/>
      <c r="F827" s="651">
        <v>0</v>
      </c>
      <c r="G827" s="651">
        <v>0</v>
      </c>
      <c r="H827" s="1036">
        <v>0</v>
      </c>
      <c r="I827" s="1032"/>
      <c r="J827" s="651">
        <v>0</v>
      </c>
    </row>
    <row r="828" spans="1:10">
      <c r="A828" s="1034"/>
      <c r="B828" s="1034"/>
      <c r="C828" s="650" t="s">
        <v>2704</v>
      </c>
      <c r="D828" s="1033" t="s">
        <v>2316</v>
      </c>
      <c r="E828" s="1032"/>
      <c r="F828" s="651">
        <v>0</v>
      </c>
      <c r="G828" s="651">
        <v>139.04</v>
      </c>
      <c r="H828" s="1036">
        <v>1389.32</v>
      </c>
      <c r="I828" s="1032"/>
      <c r="J828" s="651">
        <v>1250.28</v>
      </c>
    </row>
    <row r="829" spans="1:10">
      <c r="A829" s="1034"/>
      <c r="B829" s="1034"/>
      <c r="C829" s="650" t="s">
        <v>3540</v>
      </c>
      <c r="D829" s="1033" t="s">
        <v>3541</v>
      </c>
      <c r="E829" s="1032"/>
      <c r="F829" s="651">
        <v>0</v>
      </c>
      <c r="G829" s="651">
        <v>159594.60999999999</v>
      </c>
      <c r="H829" s="1036">
        <v>5433.18</v>
      </c>
      <c r="I829" s="1032"/>
      <c r="J829" s="651">
        <v>-154161.43</v>
      </c>
    </row>
    <row r="830" spans="1:10">
      <c r="A830" s="1034"/>
      <c r="B830" s="1034"/>
      <c r="C830" s="650" t="s">
        <v>3542</v>
      </c>
      <c r="D830" s="1033" t="s">
        <v>3543</v>
      </c>
      <c r="E830" s="1032"/>
      <c r="F830" s="651">
        <v>0</v>
      </c>
      <c r="G830" s="651">
        <v>44468.67</v>
      </c>
      <c r="H830" s="1036">
        <v>35812.589999999997</v>
      </c>
      <c r="I830" s="1032"/>
      <c r="J830" s="651">
        <v>-8656.08</v>
      </c>
    </row>
    <row r="831" spans="1:10">
      <c r="A831" s="1034"/>
      <c r="B831" s="1035"/>
      <c r="C831" s="657" t="s">
        <v>12</v>
      </c>
      <c r="D831" s="1031" t="s">
        <v>111</v>
      </c>
      <c r="E831" s="1032"/>
      <c r="F831" s="658">
        <v>0</v>
      </c>
      <c r="G831" s="658">
        <v>204202.32</v>
      </c>
      <c r="H831" s="1037">
        <v>42635.09</v>
      </c>
      <c r="I831" s="1032"/>
      <c r="J831" s="658">
        <v>-161567.23000000001</v>
      </c>
    </row>
    <row r="832" spans="1:10">
      <c r="A832" s="1034"/>
      <c r="B832" s="1033" t="s">
        <v>3544</v>
      </c>
      <c r="C832" s="650" t="s">
        <v>3545</v>
      </c>
      <c r="D832" s="1033" t="s">
        <v>3546</v>
      </c>
      <c r="E832" s="1032"/>
      <c r="F832" s="651">
        <v>0</v>
      </c>
      <c r="G832" s="651">
        <v>13906</v>
      </c>
      <c r="H832" s="1036">
        <v>5478.56</v>
      </c>
      <c r="I832" s="1032"/>
      <c r="J832" s="651">
        <v>-8427.44</v>
      </c>
    </row>
    <row r="833" spans="1:10">
      <c r="A833" s="1034"/>
      <c r="B833" s="1035"/>
      <c r="C833" s="657" t="s">
        <v>12</v>
      </c>
      <c r="D833" s="1031" t="s">
        <v>111</v>
      </c>
      <c r="E833" s="1032"/>
      <c r="F833" s="658">
        <v>0</v>
      </c>
      <c r="G833" s="658">
        <v>13906</v>
      </c>
      <c r="H833" s="1037">
        <v>5478.56</v>
      </c>
      <c r="I833" s="1032"/>
      <c r="J833" s="658">
        <v>-8427.44</v>
      </c>
    </row>
    <row r="834" spans="1:10">
      <c r="A834" s="1034"/>
      <c r="B834" s="1033" t="s">
        <v>2705</v>
      </c>
      <c r="C834" s="650" t="s">
        <v>2706</v>
      </c>
      <c r="D834" s="1033" t="s">
        <v>2317</v>
      </c>
      <c r="E834" s="1032"/>
      <c r="F834" s="651">
        <v>0</v>
      </c>
      <c r="G834" s="651">
        <v>1718031.77</v>
      </c>
      <c r="H834" s="1036">
        <v>145683.82999999999</v>
      </c>
      <c r="I834" s="1032"/>
      <c r="J834" s="651">
        <v>-1572347.94</v>
      </c>
    </row>
    <row r="835" spans="1:10">
      <c r="A835" s="1034"/>
      <c r="B835" s="1034"/>
      <c r="C835" s="650" t="s">
        <v>2707</v>
      </c>
      <c r="D835" s="1033" t="s">
        <v>2318</v>
      </c>
      <c r="E835" s="1032"/>
      <c r="F835" s="651">
        <v>0</v>
      </c>
      <c r="G835" s="651">
        <v>0</v>
      </c>
      <c r="H835" s="1036">
        <v>0</v>
      </c>
      <c r="I835" s="1032"/>
      <c r="J835" s="651">
        <v>0</v>
      </c>
    </row>
    <row r="836" spans="1:10">
      <c r="A836" s="1034"/>
      <c r="B836" s="1034"/>
      <c r="C836" s="650" t="s">
        <v>2708</v>
      </c>
      <c r="D836" s="1033" t="s">
        <v>2319</v>
      </c>
      <c r="E836" s="1032"/>
      <c r="F836" s="651">
        <v>0</v>
      </c>
      <c r="G836" s="651">
        <v>777287.81</v>
      </c>
      <c r="H836" s="1036">
        <v>261517.18</v>
      </c>
      <c r="I836" s="1032"/>
      <c r="J836" s="651">
        <v>-515770.63</v>
      </c>
    </row>
    <row r="837" spans="1:10">
      <c r="A837" s="1034"/>
      <c r="B837" s="1034"/>
      <c r="C837" s="650" t="s">
        <v>2709</v>
      </c>
      <c r="D837" s="1033" t="s">
        <v>2320</v>
      </c>
      <c r="E837" s="1032"/>
      <c r="F837" s="651">
        <v>0</v>
      </c>
      <c r="G837" s="651">
        <v>626256.06999999995</v>
      </c>
      <c r="H837" s="1036">
        <v>53503.1</v>
      </c>
      <c r="I837" s="1032"/>
      <c r="J837" s="651">
        <v>-572752.97</v>
      </c>
    </row>
    <row r="838" spans="1:10">
      <c r="A838" s="1034"/>
      <c r="B838" s="1034"/>
      <c r="C838" s="650" t="s">
        <v>2710</v>
      </c>
      <c r="D838" s="1033" t="s">
        <v>2321</v>
      </c>
      <c r="E838" s="1032"/>
      <c r="F838" s="651">
        <v>0</v>
      </c>
      <c r="G838" s="651">
        <v>1789589.98</v>
      </c>
      <c r="H838" s="1036">
        <v>1138435.47</v>
      </c>
      <c r="I838" s="1032"/>
      <c r="J838" s="651">
        <v>-651154.51</v>
      </c>
    </row>
    <row r="839" spans="1:10">
      <c r="A839" s="1034"/>
      <c r="B839" s="1034"/>
      <c r="C839" s="650" t="s">
        <v>2711</v>
      </c>
      <c r="D839" s="1033" t="s">
        <v>2322</v>
      </c>
      <c r="E839" s="1032"/>
      <c r="F839" s="651">
        <v>0</v>
      </c>
      <c r="G839" s="651">
        <v>79101.83</v>
      </c>
      <c r="H839" s="1036">
        <v>11200.63</v>
      </c>
      <c r="I839" s="1032"/>
      <c r="J839" s="651">
        <v>-67901.2</v>
      </c>
    </row>
    <row r="840" spans="1:10">
      <c r="A840" s="1034"/>
      <c r="B840" s="1035"/>
      <c r="C840" s="657" t="s">
        <v>12</v>
      </c>
      <c r="D840" s="1031" t="s">
        <v>111</v>
      </c>
      <c r="E840" s="1032"/>
      <c r="F840" s="658">
        <v>0</v>
      </c>
      <c r="G840" s="658">
        <v>4990267.46</v>
      </c>
      <c r="H840" s="1037">
        <v>1610340.21</v>
      </c>
      <c r="I840" s="1032"/>
      <c r="J840" s="658">
        <v>-3379927.25</v>
      </c>
    </row>
    <row r="841" spans="1:10">
      <c r="A841" s="1034"/>
      <c r="B841" s="1033" t="s">
        <v>3349</v>
      </c>
      <c r="C841" s="650" t="s">
        <v>3323</v>
      </c>
      <c r="D841" s="1033" t="s">
        <v>3324</v>
      </c>
      <c r="E841" s="1032"/>
      <c r="F841" s="651">
        <v>0</v>
      </c>
      <c r="G841" s="651">
        <v>2761312.82</v>
      </c>
      <c r="H841" s="1036">
        <v>108355.19</v>
      </c>
      <c r="I841" s="1032"/>
      <c r="J841" s="651">
        <v>-2652957.63</v>
      </c>
    </row>
    <row r="842" spans="1:10">
      <c r="A842" s="1034"/>
      <c r="B842" s="1035"/>
      <c r="C842" s="657" t="s">
        <v>12</v>
      </c>
      <c r="D842" s="1031" t="s">
        <v>111</v>
      </c>
      <c r="E842" s="1032"/>
      <c r="F842" s="658">
        <v>0</v>
      </c>
      <c r="G842" s="658">
        <v>2761312.82</v>
      </c>
      <c r="H842" s="1037">
        <v>108355.19</v>
      </c>
      <c r="I842" s="1032"/>
      <c r="J842" s="658">
        <v>-2652957.63</v>
      </c>
    </row>
    <row r="843" spans="1:10">
      <c r="A843" s="1034"/>
      <c r="B843" s="1033" t="s">
        <v>2712</v>
      </c>
      <c r="C843" s="650" t="s">
        <v>2713</v>
      </c>
      <c r="D843" s="1033" t="s">
        <v>2323</v>
      </c>
      <c r="E843" s="1032"/>
      <c r="F843" s="651">
        <v>0</v>
      </c>
      <c r="G843" s="651">
        <v>7968337.5300000003</v>
      </c>
      <c r="H843" s="1036">
        <v>5394879.5300000003</v>
      </c>
      <c r="I843" s="1032"/>
      <c r="J843" s="651">
        <v>-2573458</v>
      </c>
    </row>
    <row r="844" spans="1:10">
      <c r="A844" s="1034"/>
      <c r="B844" s="1035"/>
      <c r="C844" s="657" t="s">
        <v>12</v>
      </c>
      <c r="D844" s="1031" t="s">
        <v>111</v>
      </c>
      <c r="E844" s="1032"/>
      <c r="F844" s="658">
        <v>0</v>
      </c>
      <c r="G844" s="658">
        <v>7968337.5300000003</v>
      </c>
      <c r="H844" s="1037">
        <v>5394879.5300000003</v>
      </c>
      <c r="I844" s="1032"/>
      <c r="J844" s="658">
        <v>-2573458</v>
      </c>
    </row>
    <row r="845" spans="1:10">
      <c r="A845" s="1034"/>
      <c r="B845" s="1033" t="s">
        <v>2714</v>
      </c>
      <c r="C845" s="650" t="s">
        <v>2715</v>
      </c>
      <c r="D845" s="1033" t="s">
        <v>2324</v>
      </c>
      <c r="E845" s="1032"/>
      <c r="F845" s="651">
        <v>0</v>
      </c>
      <c r="G845" s="651">
        <v>0</v>
      </c>
      <c r="H845" s="1036">
        <v>0</v>
      </c>
      <c r="I845" s="1032"/>
      <c r="J845" s="651">
        <v>0</v>
      </c>
    </row>
    <row r="846" spans="1:10">
      <c r="A846" s="1034"/>
      <c r="B846" s="1034"/>
      <c r="C846" s="650" t="s">
        <v>2716</v>
      </c>
      <c r="D846" s="1033" t="s">
        <v>2325</v>
      </c>
      <c r="E846" s="1032"/>
      <c r="F846" s="651">
        <v>0</v>
      </c>
      <c r="G846" s="651">
        <v>0</v>
      </c>
      <c r="H846" s="1036">
        <v>0</v>
      </c>
      <c r="I846" s="1032"/>
      <c r="J846" s="651">
        <v>0</v>
      </c>
    </row>
    <row r="847" spans="1:10">
      <c r="A847" s="1034"/>
      <c r="B847" s="1035"/>
      <c r="C847" s="657" t="s">
        <v>12</v>
      </c>
      <c r="D847" s="1031" t="s">
        <v>111</v>
      </c>
      <c r="E847" s="1032"/>
      <c r="F847" s="658">
        <v>0</v>
      </c>
      <c r="G847" s="658">
        <v>0</v>
      </c>
      <c r="H847" s="1037">
        <v>0</v>
      </c>
      <c r="I847" s="1032"/>
      <c r="J847" s="658">
        <v>0</v>
      </c>
    </row>
    <row r="848" spans="1:10">
      <c r="A848" s="1035"/>
      <c r="B848" s="657" t="s">
        <v>12</v>
      </c>
      <c r="C848" s="657" t="s">
        <v>111</v>
      </c>
      <c r="D848" s="1031" t="s">
        <v>111</v>
      </c>
      <c r="E848" s="1032"/>
      <c r="F848" s="658">
        <v>0</v>
      </c>
      <c r="G848" s="658">
        <v>145853357.81</v>
      </c>
      <c r="H848" s="1037">
        <v>33677869.5</v>
      </c>
      <c r="I848" s="1032"/>
      <c r="J848" s="658">
        <v>-112175488.31</v>
      </c>
    </row>
    <row r="849" spans="1:10">
      <c r="A849" s="1033" t="s">
        <v>2988</v>
      </c>
      <c r="B849" s="1033" t="s">
        <v>2989</v>
      </c>
      <c r="C849" s="650" t="s">
        <v>2990</v>
      </c>
      <c r="D849" s="1033" t="s">
        <v>2326</v>
      </c>
      <c r="E849" s="1032"/>
      <c r="F849" s="651">
        <v>-22278915.460000001</v>
      </c>
      <c r="G849" s="651">
        <v>0</v>
      </c>
      <c r="H849" s="1036">
        <v>0</v>
      </c>
      <c r="I849" s="1032"/>
      <c r="J849" s="651">
        <v>-22278915.460000001</v>
      </c>
    </row>
    <row r="850" spans="1:10">
      <c r="A850" s="1034"/>
      <c r="B850" s="1035"/>
      <c r="C850" s="657" t="s">
        <v>12</v>
      </c>
      <c r="D850" s="1031" t="s">
        <v>111</v>
      </c>
      <c r="E850" s="1032"/>
      <c r="F850" s="658">
        <v>-22278915.460000001</v>
      </c>
      <c r="G850" s="658">
        <v>0</v>
      </c>
      <c r="H850" s="1037">
        <v>0</v>
      </c>
      <c r="I850" s="1032"/>
      <c r="J850" s="658">
        <v>-22278915.460000001</v>
      </c>
    </row>
    <row r="851" spans="1:10">
      <c r="A851" s="1034"/>
      <c r="B851" s="1033" t="s">
        <v>2991</v>
      </c>
      <c r="C851" s="650" t="s">
        <v>2992</v>
      </c>
      <c r="D851" s="1033" t="s">
        <v>2327</v>
      </c>
      <c r="E851" s="1032"/>
      <c r="F851" s="651">
        <v>22278915.460000001</v>
      </c>
      <c r="G851" s="651">
        <v>0</v>
      </c>
      <c r="H851" s="1036">
        <v>0</v>
      </c>
      <c r="I851" s="1032"/>
      <c r="J851" s="651">
        <v>22278915.460000001</v>
      </c>
    </row>
    <row r="852" spans="1:10">
      <c r="A852" s="1034"/>
      <c r="B852" s="1035"/>
      <c r="C852" s="657" t="s">
        <v>12</v>
      </c>
      <c r="D852" s="1031" t="s">
        <v>111</v>
      </c>
      <c r="E852" s="1032"/>
      <c r="F852" s="658">
        <v>22278915.460000001</v>
      </c>
      <c r="G852" s="658">
        <v>0</v>
      </c>
      <c r="H852" s="1037">
        <v>0</v>
      </c>
      <c r="I852" s="1032"/>
      <c r="J852" s="658">
        <v>22278915.460000001</v>
      </c>
    </row>
    <row r="853" spans="1:10">
      <c r="A853" s="1035"/>
      <c r="B853" s="657" t="s">
        <v>12</v>
      </c>
      <c r="C853" s="657" t="s">
        <v>111</v>
      </c>
      <c r="D853" s="1031" t="s">
        <v>111</v>
      </c>
      <c r="E853" s="1032"/>
      <c r="F853" s="658">
        <v>0</v>
      </c>
      <c r="G853" s="658">
        <v>0</v>
      </c>
      <c r="H853" s="1037">
        <v>0</v>
      </c>
      <c r="I853" s="1032"/>
      <c r="J853" s="658">
        <v>0</v>
      </c>
    </row>
    <row r="854" spans="1:10">
      <c r="A854" s="657" t="s">
        <v>12</v>
      </c>
      <c r="B854" s="657" t="s">
        <v>111</v>
      </c>
      <c r="C854" s="657" t="s">
        <v>111</v>
      </c>
      <c r="D854" s="1031" t="s">
        <v>111</v>
      </c>
      <c r="E854" s="1032"/>
      <c r="F854" s="658">
        <v>9.99</v>
      </c>
      <c r="G854" s="658">
        <v>3242572810.3699999</v>
      </c>
      <c r="H854" s="1037">
        <v>3242572800.3699999</v>
      </c>
      <c r="I854" s="1032"/>
      <c r="J854" s="658">
        <v>-0.01</v>
      </c>
    </row>
  </sheetData>
  <mergeCells count="1749">
    <mergeCell ref="D854:E854"/>
    <mergeCell ref="H854:I854"/>
    <mergeCell ref="B851:B852"/>
    <mergeCell ref="D851:E851"/>
    <mergeCell ref="H851:I851"/>
    <mergeCell ref="D852:E852"/>
    <mergeCell ref="H852:I852"/>
    <mergeCell ref="D853:E853"/>
    <mergeCell ref="H853:I853"/>
    <mergeCell ref="D847:E847"/>
    <mergeCell ref="H847:I847"/>
    <mergeCell ref="D848:E848"/>
    <mergeCell ref="H848:I848"/>
    <mergeCell ref="A849:A853"/>
    <mergeCell ref="B849:B850"/>
    <mergeCell ref="D849:E849"/>
    <mergeCell ref="H849:I849"/>
    <mergeCell ref="D850:E850"/>
    <mergeCell ref="H850:I850"/>
    <mergeCell ref="A625:A848"/>
    <mergeCell ref="B843:B844"/>
    <mergeCell ref="D843:E843"/>
    <mergeCell ref="H843:I843"/>
    <mergeCell ref="D844:E844"/>
    <mergeCell ref="H844:I844"/>
    <mergeCell ref="B845:B847"/>
    <mergeCell ref="D845:E845"/>
    <mergeCell ref="H845:I845"/>
    <mergeCell ref="D846:E846"/>
    <mergeCell ref="H846:I846"/>
    <mergeCell ref="H838:I838"/>
    <mergeCell ref="D839:E839"/>
    <mergeCell ref="H839:I839"/>
    <mergeCell ref="D840:E840"/>
    <mergeCell ref="H840:I840"/>
    <mergeCell ref="B841:B842"/>
    <mergeCell ref="D841:E841"/>
    <mergeCell ref="H841:I841"/>
    <mergeCell ref="D842:E842"/>
    <mergeCell ref="H842:I842"/>
    <mergeCell ref="B834:B840"/>
    <mergeCell ref="D834:E834"/>
    <mergeCell ref="H834:I834"/>
    <mergeCell ref="D835:E835"/>
    <mergeCell ref="H835:I835"/>
    <mergeCell ref="D836:E836"/>
    <mergeCell ref="H836:I836"/>
    <mergeCell ref="D837:E837"/>
    <mergeCell ref="H837:I837"/>
    <mergeCell ref="D838:E838"/>
    <mergeCell ref="H830:I830"/>
    <mergeCell ref="D831:E831"/>
    <mergeCell ref="H831:I831"/>
    <mergeCell ref="B832:B833"/>
    <mergeCell ref="D832:E832"/>
    <mergeCell ref="H832:I832"/>
    <mergeCell ref="D833:E833"/>
    <mergeCell ref="H833:I833"/>
    <mergeCell ref="B826:B831"/>
    <mergeCell ref="D826:E826"/>
    <mergeCell ref="H826:I826"/>
    <mergeCell ref="D827:E827"/>
    <mergeCell ref="H827:I827"/>
    <mergeCell ref="D828:E828"/>
    <mergeCell ref="H828:I828"/>
    <mergeCell ref="D829:E829"/>
    <mergeCell ref="H829:I829"/>
    <mergeCell ref="D830:E830"/>
    <mergeCell ref="H821:I821"/>
    <mergeCell ref="D822:E822"/>
    <mergeCell ref="H822:I822"/>
    <mergeCell ref="D823:E823"/>
    <mergeCell ref="H823:I823"/>
    <mergeCell ref="B824:B825"/>
    <mergeCell ref="D824:E824"/>
    <mergeCell ref="H824:I824"/>
    <mergeCell ref="D825:E825"/>
    <mergeCell ref="H825:I825"/>
    <mergeCell ref="D817:E817"/>
    <mergeCell ref="H817:I817"/>
    <mergeCell ref="D818:E818"/>
    <mergeCell ref="H818:I818"/>
    <mergeCell ref="B819:B823"/>
    <mergeCell ref="D819:E819"/>
    <mergeCell ref="H819:I819"/>
    <mergeCell ref="D820:E820"/>
    <mergeCell ref="H820:I820"/>
    <mergeCell ref="D821:E821"/>
    <mergeCell ref="H812:I812"/>
    <mergeCell ref="B813:B818"/>
    <mergeCell ref="D813:E813"/>
    <mergeCell ref="H813:I813"/>
    <mergeCell ref="D814:E814"/>
    <mergeCell ref="H814:I814"/>
    <mergeCell ref="D815:E815"/>
    <mergeCell ref="H815:I815"/>
    <mergeCell ref="D816:E816"/>
    <mergeCell ref="H816:I816"/>
    <mergeCell ref="B808:B812"/>
    <mergeCell ref="D808:E808"/>
    <mergeCell ref="H808:I808"/>
    <mergeCell ref="D809:E809"/>
    <mergeCell ref="H809:I809"/>
    <mergeCell ref="D810:E810"/>
    <mergeCell ref="H810:I810"/>
    <mergeCell ref="D811:E811"/>
    <mergeCell ref="H811:I811"/>
    <mergeCell ref="D812:E812"/>
    <mergeCell ref="H803:I803"/>
    <mergeCell ref="D804:E804"/>
    <mergeCell ref="H804:I804"/>
    <mergeCell ref="B805:B807"/>
    <mergeCell ref="D805:E805"/>
    <mergeCell ref="H805:I805"/>
    <mergeCell ref="D806:E806"/>
    <mergeCell ref="H806:I806"/>
    <mergeCell ref="D807:E807"/>
    <mergeCell ref="H807:I807"/>
    <mergeCell ref="D799:E799"/>
    <mergeCell ref="H799:I799"/>
    <mergeCell ref="B800:B804"/>
    <mergeCell ref="D800:E800"/>
    <mergeCell ref="H800:I800"/>
    <mergeCell ref="D801:E801"/>
    <mergeCell ref="H801:I801"/>
    <mergeCell ref="D802:E802"/>
    <mergeCell ref="H802:I802"/>
    <mergeCell ref="D803:E803"/>
    <mergeCell ref="D796:E796"/>
    <mergeCell ref="H796:I796"/>
    <mergeCell ref="D797:E797"/>
    <mergeCell ref="H797:I797"/>
    <mergeCell ref="D798:E798"/>
    <mergeCell ref="H798:I798"/>
    <mergeCell ref="H791:I791"/>
    <mergeCell ref="B792:B799"/>
    <mergeCell ref="D792:E792"/>
    <mergeCell ref="H792:I792"/>
    <mergeCell ref="D793:E793"/>
    <mergeCell ref="H793:I793"/>
    <mergeCell ref="D794:E794"/>
    <mergeCell ref="H794:I794"/>
    <mergeCell ref="D795:E795"/>
    <mergeCell ref="H795:I795"/>
    <mergeCell ref="D787:E787"/>
    <mergeCell ref="H787:I787"/>
    <mergeCell ref="D788:E788"/>
    <mergeCell ref="H788:I788"/>
    <mergeCell ref="B789:B791"/>
    <mergeCell ref="D789:E789"/>
    <mergeCell ref="H789:I789"/>
    <mergeCell ref="D790:E790"/>
    <mergeCell ref="H790:I790"/>
    <mergeCell ref="D791:E791"/>
    <mergeCell ref="H782:I782"/>
    <mergeCell ref="D783:E783"/>
    <mergeCell ref="H783:I783"/>
    <mergeCell ref="B784:B788"/>
    <mergeCell ref="D784:E784"/>
    <mergeCell ref="H784:I784"/>
    <mergeCell ref="D785:E785"/>
    <mergeCell ref="H785:I785"/>
    <mergeCell ref="D786:E786"/>
    <mergeCell ref="H786:I786"/>
    <mergeCell ref="B778:B783"/>
    <mergeCell ref="D778:E778"/>
    <mergeCell ref="H778:I778"/>
    <mergeCell ref="D779:E779"/>
    <mergeCell ref="H779:I779"/>
    <mergeCell ref="D780:E780"/>
    <mergeCell ref="H780:I780"/>
    <mergeCell ref="D781:E781"/>
    <mergeCell ref="H781:I781"/>
    <mergeCell ref="D782:E782"/>
    <mergeCell ref="D775:E775"/>
    <mergeCell ref="H775:I775"/>
    <mergeCell ref="B776:B777"/>
    <mergeCell ref="D776:E776"/>
    <mergeCell ref="H776:I776"/>
    <mergeCell ref="D777:E777"/>
    <mergeCell ref="H777:I777"/>
    <mergeCell ref="H770:I770"/>
    <mergeCell ref="D771:E771"/>
    <mergeCell ref="H771:I771"/>
    <mergeCell ref="D772:E772"/>
    <mergeCell ref="H772:I772"/>
    <mergeCell ref="B773:B775"/>
    <mergeCell ref="D773:E773"/>
    <mergeCell ref="H773:I773"/>
    <mergeCell ref="D774:E774"/>
    <mergeCell ref="H774:I774"/>
    <mergeCell ref="D766:E766"/>
    <mergeCell ref="H766:I766"/>
    <mergeCell ref="B767:B772"/>
    <mergeCell ref="D767:E767"/>
    <mergeCell ref="H767:I767"/>
    <mergeCell ref="D768:E768"/>
    <mergeCell ref="H768:I768"/>
    <mergeCell ref="D769:E769"/>
    <mergeCell ref="H769:I769"/>
    <mergeCell ref="D770:E770"/>
    <mergeCell ref="B762:B763"/>
    <mergeCell ref="D762:E762"/>
    <mergeCell ref="H762:I762"/>
    <mergeCell ref="D763:E763"/>
    <mergeCell ref="H763:I763"/>
    <mergeCell ref="B764:B766"/>
    <mergeCell ref="D764:E764"/>
    <mergeCell ref="H764:I764"/>
    <mergeCell ref="D765:E765"/>
    <mergeCell ref="H765:I765"/>
    <mergeCell ref="D759:E759"/>
    <mergeCell ref="H759:I759"/>
    <mergeCell ref="B760:B761"/>
    <mergeCell ref="D760:E760"/>
    <mergeCell ref="H760:I760"/>
    <mergeCell ref="D761:E761"/>
    <mergeCell ref="H761:I761"/>
    <mergeCell ref="B755:B756"/>
    <mergeCell ref="D755:E755"/>
    <mergeCell ref="H755:I755"/>
    <mergeCell ref="D756:E756"/>
    <mergeCell ref="H756:I756"/>
    <mergeCell ref="B757:B759"/>
    <mergeCell ref="D757:E757"/>
    <mergeCell ref="H757:I757"/>
    <mergeCell ref="D758:E758"/>
    <mergeCell ref="H758:I758"/>
    <mergeCell ref="B751:B752"/>
    <mergeCell ref="D751:E751"/>
    <mergeCell ref="H751:I751"/>
    <mergeCell ref="D752:E752"/>
    <mergeCell ref="H752:I752"/>
    <mergeCell ref="B753:B754"/>
    <mergeCell ref="D753:E753"/>
    <mergeCell ref="H753:I753"/>
    <mergeCell ref="D754:E754"/>
    <mergeCell ref="H754:I754"/>
    <mergeCell ref="B747:B748"/>
    <mergeCell ref="D747:E747"/>
    <mergeCell ref="H747:I747"/>
    <mergeCell ref="D748:E748"/>
    <mergeCell ref="H748:I748"/>
    <mergeCell ref="B749:B750"/>
    <mergeCell ref="D749:E749"/>
    <mergeCell ref="H749:I749"/>
    <mergeCell ref="D750:E750"/>
    <mergeCell ref="H750:I750"/>
    <mergeCell ref="D744:E744"/>
    <mergeCell ref="H744:I744"/>
    <mergeCell ref="B745:B746"/>
    <mergeCell ref="D745:E745"/>
    <mergeCell ref="H745:I745"/>
    <mergeCell ref="D746:E746"/>
    <mergeCell ref="H746:I746"/>
    <mergeCell ref="B740:B741"/>
    <mergeCell ref="D740:E740"/>
    <mergeCell ref="H740:I740"/>
    <mergeCell ref="D741:E741"/>
    <mergeCell ref="H741:I741"/>
    <mergeCell ref="B742:B744"/>
    <mergeCell ref="D742:E742"/>
    <mergeCell ref="H742:I742"/>
    <mergeCell ref="D743:E743"/>
    <mergeCell ref="H743:I743"/>
    <mergeCell ref="B737:B739"/>
    <mergeCell ref="D737:E737"/>
    <mergeCell ref="H737:I737"/>
    <mergeCell ref="D738:E738"/>
    <mergeCell ref="H738:I738"/>
    <mergeCell ref="D739:E739"/>
    <mergeCell ref="H739:I739"/>
    <mergeCell ref="D734:E734"/>
    <mergeCell ref="H734:I734"/>
    <mergeCell ref="B735:B736"/>
    <mergeCell ref="D735:E735"/>
    <mergeCell ref="H735:I735"/>
    <mergeCell ref="D736:E736"/>
    <mergeCell ref="H736:I736"/>
    <mergeCell ref="B730:B731"/>
    <mergeCell ref="D730:E730"/>
    <mergeCell ref="H730:I730"/>
    <mergeCell ref="D731:E731"/>
    <mergeCell ref="H731:I731"/>
    <mergeCell ref="B732:B734"/>
    <mergeCell ref="D732:E732"/>
    <mergeCell ref="H732:I732"/>
    <mergeCell ref="D733:E733"/>
    <mergeCell ref="H733:I733"/>
    <mergeCell ref="B727:B729"/>
    <mergeCell ref="D727:E727"/>
    <mergeCell ref="H727:I727"/>
    <mergeCell ref="D728:E728"/>
    <mergeCell ref="H728:I728"/>
    <mergeCell ref="D729:E729"/>
    <mergeCell ref="H729:I729"/>
    <mergeCell ref="H722:I722"/>
    <mergeCell ref="D723:E723"/>
    <mergeCell ref="H723:I723"/>
    <mergeCell ref="B724:B726"/>
    <mergeCell ref="D724:E724"/>
    <mergeCell ref="H724:I724"/>
    <mergeCell ref="D725:E725"/>
    <mergeCell ref="H725:I725"/>
    <mergeCell ref="D726:E726"/>
    <mergeCell ref="H726:I726"/>
    <mergeCell ref="D718:E718"/>
    <mergeCell ref="H718:I718"/>
    <mergeCell ref="D719:E719"/>
    <mergeCell ref="H719:I719"/>
    <mergeCell ref="B720:B723"/>
    <mergeCell ref="D720:E720"/>
    <mergeCell ref="H720:I720"/>
    <mergeCell ref="D721:E721"/>
    <mergeCell ref="H721:I721"/>
    <mergeCell ref="D722:E722"/>
    <mergeCell ref="H713:I713"/>
    <mergeCell ref="D714:E714"/>
    <mergeCell ref="H714:I714"/>
    <mergeCell ref="D715:E715"/>
    <mergeCell ref="H715:I715"/>
    <mergeCell ref="B716:B719"/>
    <mergeCell ref="D716:E716"/>
    <mergeCell ref="H716:I716"/>
    <mergeCell ref="D717:E717"/>
    <mergeCell ref="H717:I717"/>
    <mergeCell ref="D709:E709"/>
    <mergeCell ref="H709:I709"/>
    <mergeCell ref="B710:B715"/>
    <mergeCell ref="D710:E710"/>
    <mergeCell ref="H710:I710"/>
    <mergeCell ref="D711:E711"/>
    <mergeCell ref="H711:I711"/>
    <mergeCell ref="D712:E712"/>
    <mergeCell ref="H712:I712"/>
    <mergeCell ref="D713:E713"/>
    <mergeCell ref="H704:I704"/>
    <mergeCell ref="B705:B709"/>
    <mergeCell ref="D705:E705"/>
    <mergeCell ref="H705:I705"/>
    <mergeCell ref="D706:E706"/>
    <mergeCell ref="H706:I706"/>
    <mergeCell ref="D707:E707"/>
    <mergeCell ref="H707:I707"/>
    <mergeCell ref="D708:E708"/>
    <mergeCell ref="H708:I708"/>
    <mergeCell ref="B700:B704"/>
    <mergeCell ref="D700:E700"/>
    <mergeCell ref="H700:I700"/>
    <mergeCell ref="D701:E701"/>
    <mergeCell ref="H701:I701"/>
    <mergeCell ref="D702:E702"/>
    <mergeCell ref="H702:I702"/>
    <mergeCell ref="D703:E703"/>
    <mergeCell ref="H703:I703"/>
    <mergeCell ref="D704:E704"/>
    <mergeCell ref="H697:I697"/>
    <mergeCell ref="B698:B699"/>
    <mergeCell ref="D698:E698"/>
    <mergeCell ref="H698:I698"/>
    <mergeCell ref="D699:E699"/>
    <mergeCell ref="H699:I699"/>
    <mergeCell ref="D693:E693"/>
    <mergeCell ref="H693:I693"/>
    <mergeCell ref="D694:E694"/>
    <mergeCell ref="H694:I694"/>
    <mergeCell ref="D695:E695"/>
    <mergeCell ref="H695:I695"/>
    <mergeCell ref="D690:E690"/>
    <mergeCell ref="H690:I690"/>
    <mergeCell ref="D691:E691"/>
    <mergeCell ref="H691:I691"/>
    <mergeCell ref="D692:E692"/>
    <mergeCell ref="H692:I692"/>
    <mergeCell ref="D677:E677"/>
    <mergeCell ref="H677:I677"/>
    <mergeCell ref="H671:I671"/>
    <mergeCell ref="D672:E672"/>
    <mergeCell ref="H672:I672"/>
    <mergeCell ref="D673:E673"/>
    <mergeCell ref="H673:I673"/>
    <mergeCell ref="D674:E674"/>
    <mergeCell ref="H674:I674"/>
    <mergeCell ref="H685:I685"/>
    <mergeCell ref="D686:E686"/>
    <mergeCell ref="H686:I686"/>
    <mergeCell ref="D687:E687"/>
    <mergeCell ref="H687:I687"/>
    <mergeCell ref="B688:B697"/>
    <mergeCell ref="D688:E688"/>
    <mergeCell ref="H688:I688"/>
    <mergeCell ref="D689:E689"/>
    <mergeCell ref="H689:I689"/>
    <mergeCell ref="B681:B687"/>
    <mergeCell ref="D681:E681"/>
    <mergeCell ref="H681:I681"/>
    <mergeCell ref="D682:E682"/>
    <mergeCell ref="H682:I682"/>
    <mergeCell ref="D683:E683"/>
    <mergeCell ref="H683:I683"/>
    <mergeCell ref="D684:E684"/>
    <mergeCell ref="H684:I684"/>
    <mergeCell ref="D685:E685"/>
    <mergeCell ref="D696:E696"/>
    <mergeCell ref="H696:I696"/>
    <mergeCell ref="D697:E697"/>
    <mergeCell ref="B667:B680"/>
    <mergeCell ref="D667:E667"/>
    <mergeCell ref="H667:I667"/>
    <mergeCell ref="D668:E668"/>
    <mergeCell ref="H668:I668"/>
    <mergeCell ref="D669:E669"/>
    <mergeCell ref="H669:I669"/>
    <mergeCell ref="D670:E670"/>
    <mergeCell ref="H670:I670"/>
    <mergeCell ref="D671:E671"/>
    <mergeCell ref="D664:E664"/>
    <mergeCell ref="H664:I664"/>
    <mergeCell ref="D665:E665"/>
    <mergeCell ref="H665:I665"/>
    <mergeCell ref="D666:E666"/>
    <mergeCell ref="H666:I666"/>
    <mergeCell ref="D661:E661"/>
    <mergeCell ref="H661:I661"/>
    <mergeCell ref="D662:E662"/>
    <mergeCell ref="H662:I662"/>
    <mergeCell ref="D663:E663"/>
    <mergeCell ref="H663:I663"/>
    <mergeCell ref="D678:E678"/>
    <mergeCell ref="H678:I678"/>
    <mergeCell ref="D679:E679"/>
    <mergeCell ref="H679:I679"/>
    <mergeCell ref="D680:E680"/>
    <mergeCell ref="H680:I680"/>
    <mergeCell ref="D675:E675"/>
    <mergeCell ref="H675:I675"/>
    <mergeCell ref="D676:E676"/>
    <mergeCell ref="H676:I676"/>
    <mergeCell ref="H644:I644"/>
    <mergeCell ref="D645:E645"/>
    <mergeCell ref="H645:I645"/>
    <mergeCell ref="D658:E658"/>
    <mergeCell ref="H658:I658"/>
    <mergeCell ref="D659:E659"/>
    <mergeCell ref="H659:I659"/>
    <mergeCell ref="D660:E660"/>
    <mergeCell ref="H660:I660"/>
    <mergeCell ref="D655:E655"/>
    <mergeCell ref="H655:I655"/>
    <mergeCell ref="D656:E656"/>
    <mergeCell ref="H656:I656"/>
    <mergeCell ref="D657:E657"/>
    <mergeCell ref="H657:I657"/>
    <mergeCell ref="D652:E652"/>
    <mergeCell ref="H652:I652"/>
    <mergeCell ref="D653:E653"/>
    <mergeCell ref="H653:I653"/>
    <mergeCell ref="D654:E654"/>
    <mergeCell ref="H654:I654"/>
    <mergeCell ref="H639:I639"/>
    <mergeCell ref="D640:E640"/>
    <mergeCell ref="H640:I640"/>
    <mergeCell ref="D641:E641"/>
    <mergeCell ref="H641:I641"/>
    <mergeCell ref="D642:E642"/>
    <mergeCell ref="H642:I642"/>
    <mergeCell ref="B635:B666"/>
    <mergeCell ref="D635:E635"/>
    <mergeCell ref="H635:I635"/>
    <mergeCell ref="D636:E636"/>
    <mergeCell ref="H636:I636"/>
    <mergeCell ref="D637:E637"/>
    <mergeCell ref="H637:I637"/>
    <mergeCell ref="D638:E638"/>
    <mergeCell ref="H638:I638"/>
    <mergeCell ref="D639:E639"/>
    <mergeCell ref="D649:E649"/>
    <mergeCell ref="H649:I649"/>
    <mergeCell ref="D650:E650"/>
    <mergeCell ref="H650:I650"/>
    <mergeCell ref="D651:E651"/>
    <mergeCell ref="H651:I651"/>
    <mergeCell ref="D646:E646"/>
    <mergeCell ref="H646:I646"/>
    <mergeCell ref="D647:E647"/>
    <mergeCell ref="H647:I647"/>
    <mergeCell ref="D648:E648"/>
    <mergeCell ref="H648:I648"/>
    <mergeCell ref="D643:E643"/>
    <mergeCell ref="H643:I643"/>
    <mergeCell ref="D644:E644"/>
    <mergeCell ref="B631:B634"/>
    <mergeCell ref="D631:E631"/>
    <mergeCell ref="H631:I631"/>
    <mergeCell ref="D632:E632"/>
    <mergeCell ref="H632:I632"/>
    <mergeCell ref="D633:E633"/>
    <mergeCell ref="H633:I633"/>
    <mergeCell ref="D634:E634"/>
    <mergeCell ref="H634:I634"/>
    <mergeCell ref="D628:E628"/>
    <mergeCell ref="H628:I628"/>
    <mergeCell ref="B629:B630"/>
    <mergeCell ref="D629:E629"/>
    <mergeCell ref="H629:I629"/>
    <mergeCell ref="D630:E630"/>
    <mergeCell ref="H630:I630"/>
    <mergeCell ref="D624:E624"/>
    <mergeCell ref="H624:I624"/>
    <mergeCell ref="B625:B628"/>
    <mergeCell ref="D625:E625"/>
    <mergeCell ref="H625:I625"/>
    <mergeCell ref="D626:E626"/>
    <mergeCell ref="H626:I626"/>
    <mergeCell ref="D627:E627"/>
    <mergeCell ref="H627:I627"/>
    <mergeCell ref="D621:E621"/>
    <mergeCell ref="H621:I621"/>
    <mergeCell ref="B622:B623"/>
    <mergeCell ref="D622:E622"/>
    <mergeCell ref="H622:I622"/>
    <mergeCell ref="D623:E623"/>
    <mergeCell ref="H623:I623"/>
    <mergeCell ref="H616:I616"/>
    <mergeCell ref="D617:E617"/>
    <mergeCell ref="H617:I617"/>
    <mergeCell ref="D618:E618"/>
    <mergeCell ref="H618:I618"/>
    <mergeCell ref="B619:B621"/>
    <mergeCell ref="D619:E619"/>
    <mergeCell ref="H619:I619"/>
    <mergeCell ref="D620:E620"/>
    <mergeCell ref="H620:I620"/>
    <mergeCell ref="B612:B618"/>
    <mergeCell ref="D612:E612"/>
    <mergeCell ref="H612:I612"/>
    <mergeCell ref="D613:E613"/>
    <mergeCell ref="H613:I613"/>
    <mergeCell ref="D614:E614"/>
    <mergeCell ref="H614:I614"/>
    <mergeCell ref="D615:E615"/>
    <mergeCell ref="H615:I615"/>
    <mergeCell ref="D616:E616"/>
    <mergeCell ref="B609:B611"/>
    <mergeCell ref="D609:E609"/>
    <mergeCell ref="H609:I609"/>
    <mergeCell ref="D610:E610"/>
    <mergeCell ref="H610:I610"/>
    <mergeCell ref="D611:E611"/>
    <mergeCell ref="H611:I611"/>
    <mergeCell ref="B605:B606"/>
    <mergeCell ref="D605:E605"/>
    <mergeCell ref="H605:I605"/>
    <mergeCell ref="D606:E606"/>
    <mergeCell ref="H606:I606"/>
    <mergeCell ref="B607:B608"/>
    <mergeCell ref="D607:E607"/>
    <mergeCell ref="H607:I607"/>
    <mergeCell ref="D608:E608"/>
    <mergeCell ref="H608:I608"/>
    <mergeCell ref="B601:B602"/>
    <mergeCell ref="D601:E601"/>
    <mergeCell ref="H601:I601"/>
    <mergeCell ref="D602:E602"/>
    <mergeCell ref="H602:I602"/>
    <mergeCell ref="B603:B604"/>
    <mergeCell ref="D603:E603"/>
    <mergeCell ref="H603:I603"/>
    <mergeCell ref="D604:E604"/>
    <mergeCell ref="H604:I604"/>
    <mergeCell ref="D598:E598"/>
    <mergeCell ref="H598:I598"/>
    <mergeCell ref="D599:E599"/>
    <mergeCell ref="H599:I599"/>
    <mergeCell ref="D600:E600"/>
    <mergeCell ref="H600:I600"/>
    <mergeCell ref="D595:E595"/>
    <mergeCell ref="H595:I595"/>
    <mergeCell ref="D596:E596"/>
    <mergeCell ref="H596:I596"/>
    <mergeCell ref="D597:E597"/>
    <mergeCell ref="H597:I597"/>
    <mergeCell ref="D592:E592"/>
    <mergeCell ref="H592:I592"/>
    <mergeCell ref="D593:E593"/>
    <mergeCell ref="H593:I593"/>
    <mergeCell ref="D594:E594"/>
    <mergeCell ref="H594:I594"/>
    <mergeCell ref="D589:E589"/>
    <mergeCell ref="H589:I589"/>
    <mergeCell ref="D590:E590"/>
    <mergeCell ref="H590:I590"/>
    <mergeCell ref="D591:E591"/>
    <mergeCell ref="H591:I591"/>
    <mergeCell ref="B585:B586"/>
    <mergeCell ref="D585:E585"/>
    <mergeCell ref="H585:I585"/>
    <mergeCell ref="D586:E586"/>
    <mergeCell ref="H586:I586"/>
    <mergeCell ref="B587:B600"/>
    <mergeCell ref="D587:E587"/>
    <mergeCell ref="H587:I587"/>
    <mergeCell ref="D588:E588"/>
    <mergeCell ref="H588:I588"/>
    <mergeCell ref="D582:E582"/>
    <mergeCell ref="H582:I582"/>
    <mergeCell ref="B583:B584"/>
    <mergeCell ref="D583:E583"/>
    <mergeCell ref="H583:I583"/>
    <mergeCell ref="D584:E584"/>
    <mergeCell ref="H584:I584"/>
    <mergeCell ref="B578:B579"/>
    <mergeCell ref="D578:E578"/>
    <mergeCell ref="H578:I578"/>
    <mergeCell ref="D579:E579"/>
    <mergeCell ref="H579:I579"/>
    <mergeCell ref="B580:B582"/>
    <mergeCell ref="D580:E580"/>
    <mergeCell ref="H580:I580"/>
    <mergeCell ref="D581:E581"/>
    <mergeCell ref="H581:I581"/>
    <mergeCell ref="D575:E575"/>
    <mergeCell ref="H575:I575"/>
    <mergeCell ref="D576:E576"/>
    <mergeCell ref="H576:I576"/>
    <mergeCell ref="D577:E577"/>
    <mergeCell ref="H577:I577"/>
    <mergeCell ref="D572:E572"/>
    <mergeCell ref="H572:I572"/>
    <mergeCell ref="D573:E573"/>
    <mergeCell ref="H573:I573"/>
    <mergeCell ref="D574:E574"/>
    <mergeCell ref="H574:I574"/>
    <mergeCell ref="D569:E569"/>
    <mergeCell ref="H569:I569"/>
    <mergeCell ref="D570:E570"/>
    <mergeCell ref="H570:I570"/>
    <mergeCell ref="D571:E571"/>
    <mergeCell ref="H571:I571"/>
    <mergeCell ref="D553:E553"/>
    <mergeCell ref="H553:I553"/>
    <mergeCell ref="D566:E566"/>
    <mergeCell ref="H566:I566"/>
    <mergeCell ref="D567:E567"/>
    <mergeCell ref="H567:I567"/>
    <mergeCell ref="D568:E568"/>
    <mergeCell ref="H568:I568"/>
    <mergeCell ref="D563:E563"/>
    <mergeCell ref="H563:I563"/>
    <mergeCell ref="D564:E564"/>
    <mergeCell ref="H564:I564"/>
    <mergeCell ref="D565:E565"/>
    <mergeCell ref="H565:I565"/>
    <mergeCell ref="D560:E560"/>
    <mergeCell ref="H560:I560"/>
    <mergeCell ref="D561:E561"/>
    <mergeCell ref="H561:I561"/>
    <mergeCell ref="D562:E562"/>
    <mergeCell ref="H562:I562"/>
    <mergeCell ref="B547:B577"/>
    <mergeCell ref="D547:E547"/>
    <mergeCell ref="H547:I547"/>
    <mergeCell ref="D548:E548"/>
    <mergeCell ref="H548:I548"/>
    <mergeCell ref="D549:E549"/>
    <mergeCell ref="H549:I549"/>
    <mergeCell ref="D550:E550"/>
    <mergeCell ref="H542:I542"/>
    <mergeCell ref="D543:E543"/>
    <mergeCell ref="H543:I543"/>
    <mergeCell ref="D544:E544"/>
    <mergeCell ref="H544:I544"/>
    <mergeCell ref="D545:E545"/>
    <mergeCell ref="H545:I545"/>
    <mergeCell ref="D557:E557"/>
    <mergeCell ref="H557:I557"/>
    <mergeCell ref="D558:E558"/>
    <mergeCell ref="H558:I558"/>
    <mergeCell ref="D559:E559"/>
    <mergeCell ref="H559:I559"/>
    <mergeCell ref="D554:E554"/>
    <mergeCell ref="H554:I554"/>
    <mergeCell ref="D555:E555"/>
    <mergeCell ref="H555:I555"/>
    <mergeCell ref="D556:E556"/>
    <mergeCell ref="H556:I556"/>
    <mergeCell ref="H550:I550"/>
    <mergeCell ref="D551:E551"/>
    <mergeCell ref="H551:I551"/>
    <mergeCell ref="D552:E552"/>
    <mergeCell ref="H552:I552"/>
    <mergeCell ref="D538:E538"/>
    <mergeCell ref="H538:I538"/>
    <mergeCell ref="B539:B546"/>
    <mergeCell ref="D539:E539"/>
    <mergeCell ref="H539:I539"/>
    <mergeCell ref="D540:E540"/>
    <mergeCell ref="H540:I540"/>
    <mergeCell ref="D541:E541"/>
    <mergeCell ref="H541:I541"/>
    <mergeCell ref="D542:E542"/>
    <mergeCell ref="H534:I534"/>
    <mergeCell ref="D535:E535"/>
    <mergeCell ref="H535:I535"/>
    <mergeCell ref="D536:E536"/>
    <mergeCell ref="H536:I536"/>
    <mergeCell ref="D537:E537"/>
    <mergeCell ref="H537:I537"/>
    <mergeCell ref="B530:B538"/>
    <mergeCell ref="D530:E530"/>
    <mergeCell ref="H530:I530"/>
    <mergeCell ref="D531:E531"/>
    <mergeCell ref="H531:I531"/>
    <mergeCell ref="D532:E532"/>
    <mergeCell ref="H532:I532"/>
    <mergeCell ref="D533:E533"/>
    <mergeCell ref="H533:I533"/>
    <mergeCell ref="D534:E534"/>
    <mergeCell ref="D546:E546"/>
    <mergeCell ref="H546:I546"/>
    <mergeCell ref="H526:I526"/>
    <mergeCell ref="D527:E527"/>
    <mergeCell ref="H527:I527"/>
    <mergeCell ref="D528:E528"/>
    <mergeCell ref="H528:I528"/>
    <mergeCell ref="D529:E529"/>
    <mergeCell ref="H529:I529"/>
    <mergeCell ref="B522:B529"/>
    <mergeCell ref="D522:E522"/>
    <mergeCell ref="H522:I522"/>
    <mergeCell ref="D523:E523"/>
    <mergeCell ref="H523:I523"/>
    <mergeCell ref="D524:E524"/>
    <mergeCell ref="H524:I524"/>
    <mergeCell ref="D525:E525"/>
    <mergeCell ref="H525:I525"/>
    <mergeCell ref="D526:E526"/>
    <mergeCell ref="H518:I518"/>
    <mergeCell ref="D519:E519"/>
    <mergeCell ref="H519:I519"/>
    <mergeCell ref="D520:E520"/>
    <mergeCell ref="H520:I520"/>
    <mergeCell ref="D521:E521"/>
    <mergeCell ref="H521:I521"/>
    <mergeCell ref="B514:B521"/>
    <mergeCell ref="D514:E514"/>
    <mergeCell ref="H514:I514"/>
    <mergeCell ref="D515:E515"/>
    <mergeCell ref="H515:I515"/>
    <mergeCell ref="D516:E516"/>
    <mergeCell ref="H516:I516"/>
    <mergeCell ref="D517:E517"/>
    <mergeCell ref="H517:I517"/>
    <mergeCell ref="D518:E518"/>
    <mergeCell ref="H495:I495"/>
    <mergeCell ref="D496:E496"/>
    <mergeCell ref="H496:I496"/>
    <mergeCell ref="D497:E497"/>
    <mergeCell ref="H497:I497"/>
    <mergeCell ref="D498:E498"/>
    <mergeCell ref="H498:I498"/>
    <mergeCell ref="H510:I510"/>
    <mergeCell ref="D511:E511"/>
    <mergeCell ref="H511:I511"/>
    <mergeCell ref="D512:E512"/>
    <mergeCell ref="H512:I512"/>
    <mergeCell ref="D513:E513"/>
    <mergeCell ref="H513:I513"/>
    <mergeCell ref="B506:B513"/>
    <mergeCell ref="D506:E506"/>
    <mergeCell ref="H506:I506"/>
    <mergeCell ref="D507:E507"/>
    <mergeCell ref="H507:I507"/>
    <mergeCell ref="D508:E508"/>
    <mergeCell ref="H508:I508"/>
    <mergeCell ref="D509:E509"/>
    <mergeCell ref="H509:I509"/>
    <mergeCell ref="D510:E510"/>
    <mergeCell ref="A492:A624"/>
    <mergeCell ref="B492:B493"/>
    <mergeCell ref="D492:E492"/>
    <mergeCell ref="H492:I492"/>
    <mergeCell ref="D493:E493"/>
    <mergeCell ref="H493:I493"/>
    <mergeCell ref="B494:B501"/>
    <mergeCell ref="D494:E494"/>
    <mergeCell ref="H494:I494"/>
    <mergeCell ref="D495:E495"/>
    <mergeCell ref="B489:B490"/>
    <mergeCell ref="D489:E489"/>
    <mergeCell ref="H489:I489"/>
    <mergeCell ref="D490:E490"/>
    <mergeCell ref="H490:I490"/>
    <mergeCell ref="D491:E491"/>
    <mergeCell ref="H491:I491"/>
    <mergeCell ref="B502:B505"/>
    <mergeCell ref="D502:E502"/>
    <mergeCell ref="H502:I502"/>
    <mergeCell ref="D503:E503"/>
    <mergeCell ref="H503:I503"/>
    <mergeCell ref="D504:E504"/>
    <mergeCell ref="H504:I504"/>
    <mergeCell ref="D505:E505"/>
    <mergeCell ref="H505:I505"/>
    <mergeCell ref="D499:E499"/>
    <mergeCell ref="H499:I499"/>
    <mergeCell ref="D500:E500"/>
    <mergeCell ref="H500:I500"/>
    <mergeCell ref="D501:E501"/>
    <mergeCell ref="H501:I501"/>
    <mergeCell ref="B485:B488"/>
    <mergeCell ref="D485:E485"/>
    <mergeCell ref="H485:I485"/>
    <mergeCell ref="D486:E486"/>
    <mergeCell ref="H486:I486"/>
    <mergeCell ref="D487:E487"/>
    <mergeCell ref="H487:I487"/>
    <mergeCell ref="D488:E488"/>
    <mergeCell ref="H488:I488"/>
    <mergeCell ref="D481:E481"/>
    <mergeCell ref="H481:I481"/>
    <mergeCell ref="D482:E482"/>
    <mergeCell ref="H482:I482"/>
    <mergeCell ref="B483:B484"/>
    <mergeCell ref="D483:E483"/>
    <mergeCell ref="H483:I483"/>
    <mergeCell ref="D484:E484"/>
    <mergeCell ref="H484:I484"/>
    <mergeCell ref="D478:E478"/>
    <mergeCell ref="H478:I478"/>
    <mergeCell ref="D479:E479"/>
    <mergeCell ref="H479:I479"/>
    <mergeCell ref="D480:E480"/>
    <mergeCell ref="H480:I480"/>
    <mergeCell ref="D475:E475"/>
    <mergeCell ref="H475:I475"/>
    <mergeCell ref="D476:E476"/>
    <mergeCell ref="H476:I476"/>
    <mergeCell ref="D477:E477"/>
    <mergeCell ref="H477:I477"/>
    <mergeCell ref="B471:B472"/>
    <mergeCell ref="D471:E471"/>
    <mergeCell ref="H471:I471"/>
    <mergeCell ref="D472:E472"/>
    <mergeCell ref="H472:I472"/>
    <mergeCell ref="B473:B482"/>
    <mergeCell ref="D473:E473"/>
    <mergeCell ref="H473:I473"/>
    <mergeCell ref="D474:E474"/>
    <mergeCell ref="H474:I474"/>
    <mergeCell ref="H466:I466"/>
    <mergeCell ref="D467:E467"/>
    <mergeCell ref="H467:I467"/>
    <mergeCell ref="D468:E468"/>
    <mergeCell ref="H468:I468"/>
    <mergeCell ref="B469:B470"/>
    <mergeCell ref="D469:E469"/>
    <mergeCell ref="H469:I469"/>
    <mergeCell ref="D470:E470"/>
    <mergeCell ref="H470:I470"/>
    <mergeCell ref="B462:B468"/>
    <mergeCell ref="D462:E462"/>
    <mergeCell ref="H462:I462"/>
    <mergeCell ref="D463:E463"/>
    <mergeCell ref="H463:I463"/>
    <mergeCell ref="D464:E464"/>
    <mergeCell ref="H464:I464"/>
    <mergeCell ref="D465:E465"/>
    <mergeCell ref="H465:I465"/>
    <mergeCell ref="D466:E466"/>
    <mergeCell ref="B460:B461"/>
    <mergeCell ref="D460:E460"/>
    <mergeCell ref="H460:I460"/>
    <mergeCell ref="D461:E461"/>
    <mergeCell ref="H461:I461"/>
    <mergeCell ref="D456:E456"/>
    <mergeCell ref="H456:I456"/>
    <mergeCell ref="D457:E457"/>
    <mergeCell ref="H457:I457"/>
    <mergeCell ref="D458:E458"/>
    <mergeCell ref="H458:I458"/>
    <mergeCell ref="D453:E453"/>
    <mergeCell ref="H453:I453"/>
    <mergeCell ref="D454:E454"/>
    <mergeCell ref="H454:I454"/>
    <mergeCell ref="D455:E455"/>
    <mergeCell ref="H455:I455"/>
    <mergeCell ref="D450:E450"/>
    <mergeCell ref="H450:I450"/>
    <mergeCell ref="D451:E451"/>
    <mergeCell ref="H451:I451"/>
    <mergeCell ref="D452:E452"/>
    <mergeCell ref="H452:I452"/>
    <mergeCell ref="H446:I446"/>
    <mergeCell ref="D447:E447"/>
    <mergeCell ref="H447:I447"/>
    <mergeCell ref="D448:E448"/>
    <mergeCell ref="H448:I448"/>
    <mergeCell ref="D449:E449"/>
    <mergeCell ref="H449:I449"/>
    <mergeCell ref="D442:E442"/>
    <mergeCell ref="H442:I442"/>
    <mergeCell ref="B443:B459"/>
    <mergeCell ref="D443:E443"/>
    <mergeCell ref="H443:I443"/>
    <mergeCell ref="D444:E444"/>
    <mergeCell ref="H444:I444"/>
    <mergeCell ref="D445:E445"/>
    <mergeCell ref="H445:I445"/>
    <mergeCell ref="D446:E446"/>
    <mergeCell ref="B433:B442"/>
    <mergeCell ref="D459:E459"/>
    <mergeCell ref="H459:I459"/>
    <mergeCell ref="D439:E439"/>
    <mergeCell ref="H439:I439"/>
    <mergeCell ref="D440:E440"/>
    <mergeCell ref="H440:I440"/>
    <mergeCell ref="D441:E441"/>
    <mergeCell ref="H441:I441"/>
    <mergeCell ref="H419:I419"/>
    <mergeCell ref="B413:B423"/>
    <mergeCell ref="D413:E413"/>
    <mergeCell ref="H413:I413"/>
    <mergeCell ref="D414:E414"/>
    <mergeCell ref="H414:I414"/>
    <mergeCell ref="D415:E415"/>
    <mergeCell ref="H415:I415"/>
    <mergeCell ref="D416:E416"/>
    <mergeCell ref="H435:I435"/>
    <mergeCell ref="D436:E436"/>
    <mergeCell ref="H436:I436"/>
    <mergeCell ref="D437:E437"/>
    <mergeCell ref="H437:I437"/>
    <mergeCell ref="D438:E438"/>
    <mergeCell ref="H438:I438"/>
    <mergeCell ref="D431:E431"/>
    <mergeCell ref="H431:I431"/>
    <mergeCell ref="D432:E432"/>
    <mergeCell ref="H432:I432"/>
    <mergeCell ref="D433:E433"/>
    <mergeCell ref="H433:I433"/>
    <mergeCell ref="D434:E434"/>
    <mergeCell ref="H434:I434"/>
    <mergeCell ref="D435:E435"/>
    <mergeCell ref="H427:I427"/>
    <mergeCell ref="D428:E428"/>
    <mergeCell ref="H428:I428"/>
    <mergeCell ref="D429:E429"/>
    <mergeCell ref="H429:I429"/>
    <mergeCell ref="D430:E430"/>
    <mergeCell ref="H430:I430"/>
    <mergeCell ref="D423:E423"/>
    <mergeCell ref="H423:I423"/>
    <mergeCell ref="B402:B403"/>
    <mergeCell ref="D402:E402"/>
    <mergeCell ref="H402:I402"/>
    <mergeCell ref="D403:E403"/>
    <mergeCell ref="H403:I403"/>
    <mergeCell ref="B404:B412"/>
    <mergeCell ref="D404:E404"/>
    <mergeCell ref="H404:I404"/>
    <mergeCell ref="D405:E405"/>
    <mergeCell ref="H405:I405"/>
    <mergeCell ref="B424:B432"/>
    <mergeCell ref="D424:E424"/>
    <mergeCell ref="H424:I424"/>
    <mergeCell ref="D425:E425"/>
    <mergeCell ref="H425:I425"/>
    <mergeCell ref="D426:E426"/>
    <mergeCell ref="H426:I426"/>
    <mergeCell ref="D427:E427"/>
    <mergeCell ref="D420:E420"/>
    <mergeCell ref="H420:I420"/>
    <mergeCell ref="D421:E421"/>
    <mergeCell ref="H421:I421"/>
    <mergeCell ref="D422:E422"/>
    <mergeCell ref="H422:I422"/>
    <mergeCell ref="H416:I416"/>
    <mergeCell ref="D417:E417"/>
    <mergeCell ref="H417:I417"/>
    <mergeCell ref="D418:E418"/>
    <mergeCell ref="H418:I418"/>
    <mergeCell ref="D419:E419"/>
    <mergeCell ref="B399:B401"/>
    <mergeCell ref="D399:E399"/>
    <mergeCell ref="H399:I399"/>
    <mergeCell ref="D400:E400"/>
    <mergeCell ref="H400:I400"/>
    <mergeCell ref="D401:E401"/>
    <mergeCell ref="H401:I401"/>
    <mergeCell ref="D412:E412"/>
    <mergeCell ref="H412:I412"/>
    <mergeCell ref="H394:I394"/>
    <mergeCell ref="D395:E395"/>
    <mergeCell ref="H395:I395"/>
    <mergeCell ref="D396:E396"/>
    <mergeCell ref="H396:I396"/>
    <mergeCell ref="D397:E397"/>
    <mergeCell ref="H397:I397"/>
    <mergeCell ref="D409:E409"/>
    <mergeCell ref="H409:I409"/>
    <mergeCell ref="D410:E410"/>
    <mergeCell ref="H410:I410"/>
    <mergeCell ref="D411:E411"/>
    <mergeCell ref="H411:I411"/>
    <mergeCell ref="D406:E406"/>
    <mergeCell ref="H406:I406"/>
    <mergeCell ref="D407:E407"/>
    <mergeCell ref="H407:I407"/>
    <mergeCell ref="D408:E408"/>
    <mergeCell ref="H408:I408"/>
    <mergeCell ref="D390:E390"/>
    <mergeCell ref="H390:I390"/>
    <mergeCell ref="B391:B398"/>
    <mergeCell ref="D391:E391"/>
    <mergeCell ref="H391:I391"/>
    <mergeCell ref="D392:E392"/>
    <mergeCell ref="H392:I392"/>
    <mergeCell ref="D393:E393"/>
    <mergeCell ref="H393:I393"/>
    <mergeCell ref="D394:E394"/>
    <mergeCell ref="D387:E387"/>
    <mergeCell ref="H387:I387"/>
    <mergeCell ref="D388:E388"/>
    <mergeCell ref="H388:I388"/>
    <mergeCell ref="D389:E389"/>
    <mergeCell ref="H389:I389"/>
    <mergeCell ref="H382:I382"/>
    <mergeCell ref="B383:B390"/>
    <mergeCell ref="D383:E383"/>
    <mergeCell ref="H383:I383"/>
    <mergeCell ref="D384:E384"/>
    <mergeCell ref="H384:I384"/>
    <mergeCell ref="D385:E385"/>
    <mergeCell ref="H385:I385"/>
    <mergeCell ref="D386:E386"/>
    <mergeCell ref="H386:I386"/>
    <mergeCell ref="D398:E398"/>
    <mergeCell ref="H398:I398"/>
    <mergeCell ref="D378:E378"/>
    <mergeCell ref="H378:I378"/>
    <mergeCell ref="D379:E379"/>
    <mergeCell ref="H379:I379"/>
    <mergeCell ref="B380:B382"/>
    <mergeCell ref="D380:E380"/>
    <mergeCell ref="H380:I380"/>
    <mergeCell ref="D381:E381"/>
    <mergeCell ref="H381:I381"/>
    <mergeCell ref="D382:E382"/>
    <mergeCell ref="H374:I374"/>
    <mergeCell ref="D375:E375"/>
    <mergeCell ref="H375:I375"/>
    <mergeCell ref="D376:E376"/>
    <mergeCell ref="H376:I376"/>
    <mergeCell ref="D377:E377"/>
    <mergeCell ref="H377:I377"/>
    <mergeCell ref="B370:B379"/>
    <mergeCell ref="D370:E370"/>
    <mergeCell ref="H370:I370"/>
    <mergeCell ref="D371:E371"/>
    <mergeCell ref="H371:I371"/>
    <mergeCell ref="D372:E372"/>
    <mergeCell ref="H372:I372"/>
    <mergeCell ref="D373:E373"/>
    <mergeCell ref="H373:I373"/>
    <mergeCell ref="D374:E374"/>
    <mergeCell ref="D367:E367"/>
    <mergeCell ref="H367:I367"/>
    <mergeCell ref="D368:E368"/>
    <mergeCell ref="H368:I368"/>
    <mergeCell ref="D369:E369"/>
    <mergeCell ref="H369:I369"/>
    <mergeCell ref="H363:I363"/>
    <mergeCell ref="D364:E364"/>
    <mergeCell ref="H364:I364"/>
    <mergeCell ref="D365:E365"/>
    <mergeCell ref="H365:I365"/>
    <mergeCell ref="D366:E366"/>
    <mergeCell ref="H366:I366"/>
    <mergeCell ref="D359:E359"/>
    <mergeCell ref="H359:I359"/>
    <mergeCell ref="B360:B369"/>
    <mergeCell ref="D360:E360"/>
    <mergeCell ref="H360:I360"/>
    <mergeCell ref="D361:E361"/>
    <mergeCell ref="H361:I361"/>
    <mergeCell ref="D362:E362"/>
    <mergeCell ref="H362:I362"/>
    <mergeCell ref="D363:E363"/>
    <mergeCell ref="D356:E356"/>
    <mergeCell ref="H356:I356"/>
    <mergeCell ref="D357:E357"/>
    <mergeCell ref="H357:I357"/>
    <mergeCell ref="D358:E358"/>
    <mergeCell ref="H358:I358"/>
    <mergeCell ref="H351:I351"/>
    <mergeCell ref="B352:B359"/>
    <mergeCell ref="D352:E352"/>
    <mergeCell ref="H352:I352"/>
    <mergeCell ref="D353:E353"/>
    <mergeCell ref="H353:I353"/>
    <mergeCell ref="D354:E354"/>
    <mergeCell ref="H354:I354"/>
    <mergeCell ref="D355:E355"/>
    <mergeCell ref="H355:I355"/>
    <mergeCell ref="B347:B351"/>
    <mergeCell ref="D347:E347"/>
    <mergeCell ref="H347:I347"/>
    <mergeCell ref="D348:E348"/>
    <mergeCell ref="H348:I348"/>
    <mergeCell ref="D349:E349"/>
    <mergeCell ref="H349:I349"/>
    <mergeCell ref="D350:E350"/>
    <mergeCell ref="H350:I350"/>
    <mergeCell ref="D351:E351"/>
    <mergeCell ref="B266:B272"/>
    <mergeCell ref="D266:E266"/>
    <mergeCell ref="H266:I266"/>
    <mergeCell ref="D267:E267"/>
    <mergeCell ref="H267:I267"/>
    <mergeCell ref="D268:E268"/>
    <mergeCell ref="H268:I268"/>
    <mergeCell ref="D269:E269"/>
    <mergeCell ref="H269:I269"/>
    <mergeCell ref="H342:I342"/>
    <mergeCell ref="B343:B346"/>
    <mergeCell ref="D343:E343"/>
    <mergeCell ref="H343:I343"/>
    <mergeCell ref="D344:E344"/>
    <mergeCell ref="H344:I344"/>
    <mergeCell ref="D345:E345"/>
    <mergeCell ref="H345:I345"/>
    <mergeCell ref="D346:E346"/>
    <mergeCell ref="H346:I346"/>
    <mergeCell ref="B281:B308"/>
    <mergeCell ref="B309:B338"/>
    <mergeCell ref="B339:B342"/>
    <mergeCell ref="D339:E339"/>
    <mergeCell ref="H339:I339"/>
    <mergeCell ref="D340:E340"/>
    <mergeCell ref="H340:I340"/>
    <mergeCell ref="D341:E341"/>
    <mergeCell ref="H341:I341"/>
    <mergeCell ref="D342:E342"/>
    <mergeCell ref="D258:E258"/>
    <mergeCell ref="H258:I258"/>
    <mergeCell ref="D259:E259"/>
    <mergeCell ref="H259:I259"/>
    <mergeCell ref="D260:E260"/>
    <mergeCell ref="H260:I260"/>
    <mergeCell ref="D261:E261"/>
    <mergeCell ref="H261:I261"/>
    <mergeCell ref="D262:E262"/>
    <mergeCell ref="D278:E278"/>
    <mergeCell ref="H278:I278"/>
    <mergeCell ref="B279:B280"/>
    <mergeCell ref="D279:E279"/>
    <mergeCell ref="H279:I279"/>
    <mergeCell ref="D280:E280"/>
    <mergeCell ref="H280:I280"/>
    <mergeCell ref="D275:E275"/>
    <mergeCell ref="H275:I275"/>
    <mergeCell ref="D276:E276"/>
    <mergeCell ref="H276:I276"/>
    <mergeCell ref="D277:E277"/>
    <mergeCell ref="H277:I277"/>
    <mergeCell ref="H270:I270"/>
    <mergeCell ref="D271:E271"/>
    <mergeCell ref="H271:I271"/>
    <mergeCell ref="D272:E272"/>
    <mergeCell ref="H272:I272"/>
    <mergeCell ref="B273:B278"/>
    <mergeCell ref="D273:E273"/>
    <mergeCell ref="H273:I273"/>
    <mergeCell ref="D274:E274"/>
    <mergeCell ref="H274:I274"/>
    <mergeCell ref="D255:E255"/>
    <mergeCell ref="H255:I255"/>
    <mergeCell ref="D256:E256"/>
    <mergeCell ref="H256:I256"/>
    <mergeCell ref="D257:E257"/>
    <mergeCell ref="H257:I257"/>
    <mergeCell ref="D252:E252"/>
    <mergeCell ref="H252:I252"/>
    <mergeCell ref="D253:E253"/>
    <mergeCell ref="H253:I253"/>
    <mergeCell ref="D254:E254"/>
    <mergeCell ref="H254:I254"/>
    <mergeCell ref="D248:E248"/>
    <mergeCell ref="H248:I248"/>
    <mergeCell ref="A249:A491"/>
    <mergeCell ref="B249:B257"/>
    <mergeCell ref="D249:E249"/>
    <mergeCell ref="H249:I249"/>
    <mergeCell ref="D250:E250"/>
    <mergeCell ref="H250:I250"/>
    <mergeCell ref="D251:E251"/>
    <mergeCell ref="H251:I251"/>
    <mergeCell ref="D270:E270"/>
    <mergeCell ref="H262:I262"/>
    <mergeCell ref="B263:B265"/>
    <mergeCell ref="D263:E263"/>
    <mergeCell ref="H263:I263"/>
    <mergeCell ref="D264:E264"/>
    <mergeCell ref="H264:I264"/>
    <mergeCell ref="D265:E265"/>
    <mergeCell ref="H265:I265"/>
    <mergeCell ref="B258:B262"/>
    <mergeCell ref="B245:B247"/>
    <mergeCell ref="D245:E245"/>
    <mergeCell ref="H245:I245"/>
    <mergeCell ref="D246:E246"/>
    <mergeCell ref="H246:I246"/>
    <mergeCell ref="D247:E247"/>
    <mergeCell ref="H247:I247"/>
    <mergeCell ref="B241:B242"/>
    <mergeCell ref="D241:E241"/>
    <mergeCell ref="H241:I241"/>
    <mergeCell ref="D242:E242"/>
    <mergeCell ref="H242:I242"/>
    <mergeCell ref="B243:B244"/>
    <mergeCell ref="D243:E243"/>
    <mergeCell ref="H243:I243"/>
    <mergeCell ref="D244:E244"/>
    <mergeCell ref="H244:I244"/>
    <mergeCell ref="B237:B238"/>
    <mergeCell ref="D237:E237"/>
    <mergeCell ref="H237:I237"/>
    <mergeCell ref="D238:E238"/>
    <mergeCell ref="H238:I238"/>
    <mergeCell ref="B239:B240"/>
    <mergeCell ref="D239:E239"/>
    <mergeCell ref="H239:I239"/>
    <mergeCell ref="D240:E240"/>
    <mergeCell ref="H240:I240"/>
    <mergeCell ref="H234:I234"/>
    <mergeCell ref="B235:B236"/>
    <mergeCell ref="D235:E235"/>
    <mergeCell ref="H235:I235"/>
    <mergeCell ref="D236:E236"/>
    <mergeCell ref="H236:I236"/>
    <mergeCell ref="D230:E230"/>
    <mergeCell ref="H230:I230"/>
    <mergeCell ref="B231:B234"/>
    <mergeCell ref="D231:E231"/>
    <mergeCell ref="H231:I231"/>
    <mergeCell ref="D232:E232"/>
    <mergeCell ref="H232:I232"/>
    <mergeCell ref="D233:E233"/>
    <mergeCell ref="H233:I233"/>
    <mergeCell ref="D234:E234"/>
    <mergeCell ref="B226:B227"/>
    <mergeCell ref="D226:E226"/>
    <mergeCell ref="H226:I226"/>
    <mergeCell ref="D227:E227"/>
    <mergeCell ref="H227:I227"/>
    <mergeCell ref="B228:B230"/>
    <mergeCell ref="D228:E228"/>
    <mergeCell ref="H228:I228"/>
    <mergeCell ref="D229:E229"/>
    <mergeCell ref="H229:I229"/>
    <mergeCell ref="B222:B223"/>
    <mergeCell ref="D222:E222"/>
    <mergeCell ref="H222:I222"/>
    <mergeCell ref="D223:E223"/>
    <mergeCell ref="H223:I223"/>
    <mergeCell ref="B224:B225"/>
    <mergeCell ref="D224:E224"/>
    <mergeCell ref="H224:I224"/>
    <mergeCell ref="D225:E225"/>
    <mergeCell ref="H225:I225"/>
    <mergeCell ref="H207:I207"/>
    <mergeCell ref="D208:E208"/>
    <mergeCell ref="H208:I208"/>
    <mergeCell ref="B218:B219"/>
    <mergeCell ref="D218:E218"/>
    <mergeCell ref="H218:I218"/>
    <mergeCell ref="D219:E219"/>
    <mergeCell ref="H219:I219"/>
    <mergeCell ref="B220:B221"/>
    <mergeCell ref="D220:E220"/>
    <mergeCell ref="H220:I220"/>
    <mergeCell ref="D221:E221"/>
    <mergeCell ref="H221:I221"/>
    <mergeCell ref="D215:E215"/>
    <mergeCell ref="H215:I215"/>
    <mergeCell ref="B216:B217"/>
    <mergeCell ref="D216:E216"/>
    <mergeCell ref="H216:I216"/>
    <mergeCell ref="D217:E217"/>
    <mergeCell ref="H217:I217"/>
    <mergeCell ref="H202:I202"/>
    <mergeCell ref="D203:E203"/>
    <mergeCell ref="H203:I203"/>
    <mergeCell ref="D204:E204"/>
    <mergeCell ref="H204:I204"/>
    <mergeCell ref="D205:E205"/>
    <mergeCell ref="H205:I205"/>
    <mergeCell ref="B198:B215"/>
    <mergeCell ref="D198:E198"/>
    <mergeCell ref="H198:I198"/>
    <mergeCell ref="D199:E199"/>
    <mergeCell ref="H199:I199"/>
    <mergeCell ref="D200:E200"/>
    <mergeCell ref="H200:I200"/>
    <mergeCell ref="D201:E201"/>
    <mergeCell ref="H201:I201"/>
    <mergeCell ref="D202:E202"/>
    <mergeCell ref="D212:E212"/>
    <mergeCell ref="H212:I212"/>
    <mergeCell ref="D213:E213"/>
    <mergeCell ref="H213:I213"/>
    <mergeCell ref="D214:E214"/>
    <mergeCell ref="H214:I214"/>
    <mergeCell ref="D209:E209"/>
    <mergeCell ref="H209:I209"/>
    <mergeCell ref="D210:E210"/>
    <mergeCell ref="H210:I210"/>
    <mergeCell ref="D211:E211"/>
    <mergeCell ref="H211:I211"/>
    <mergeCell ref="D206:E206"/>
    <mergeCell ref="H206:I206"/>
    <mergeCell ref="D207:E207"/>
    <mergeCell ref="B195:B197"/>
    <mergeCell ref="D195:E195"/>
    <mergeCell ref="H195:I195"/>
    <mergeCell ref="D196:E196"/>
    <mergeCell ref="H196:I196"/>
    <mergeCell ref="D197:E197"/>
    <mergeCell ref="H197:I197"/>
    <mergeCell ref="D191:E191"/>
    <mergeCell ref="H191:I191"/>
    <mergeCell ref="D192:E192"/>
    <mergeCell ref="H192:I192"/>
    <mergeCell ref="D193:E193"/>
    <mergeCell ref="H193:I193"/>
    <mergeCell ref="D188:E188"/>
    <mergeCell ref="H188:I188"/>
    <mergeCell ref="D189:E189"/>
    <mergeCell ref="H189:I189"/>
    <mergeCell ref="D190:E190"/>
    <mergeCell ref="H190:I190"/>
    <mergeCell ref="B184:B185"/>
    <mergeCell ref="D184:E184"/>
    <mergeCell ref="H184:I184"/>
    <mergeCell ref="D185:E185"/>
    <mergeCell ref="H185:I185"/>
    <mergeCell ref="B186:B194"/>
    <mergeCell ref="D186:E186"/>
    <mergeCell ref="H186:I186"/>
    <mergeCell ref="D187:E187"/>
    <mergeCell ref="H187:I187"/>
    <mergeCell ref="B181:B183"/>
    <mergeCell ref="D181:E181"/>
    <mergeCell ref="H181:I181"/>
    <mergeCell ref="D182:E182"/>
    <mergeCell ref="H182:I182"/>
    <mergeCell ref="D183:E183"/>
    <mergeCell ref="H183:I183"/>
    <mergeCell ref="D194:E194"/>
    <mergeCell ref="H194:I194"/>
    <mergeCell ref="D177:E177"/>
    <mergeCell ref="H177:I177"/>
    <mergeCell ref="B178:B180"/>
    <mergeCell ref="D178:E178"/>
    <mergeCell ref="H178:I178"/>
    <mergeCell ref="D179:E179"/>
    <mergeCell ref="H179:I179"/>
    <mergeCell ref="D180:E180"/>
    <mergeCell ref="H180:I180"/>
    <mergeCell ref="H173:I173"/>
    <mergeCell ref="D174:E174"/>
    <mergeCell ref="H174:I174"/>
    <mergeCell ref="D175:E175"/>
    <mergeCell ref="H175:I175"/>
    <mergeCell ref="D176:E176"/>
    <mergeCell ref="H176:I176"/>
    <mergeCell ref="D169:E169"/>
    <mergeCell ref="H169:I169"/>
    <mergeCell ref="B170:B177"/>
    <mergeCell ref="D170:E170"/>
    <mergeCell ref="H170:I170"/>
    <mergeCell ref="D171:E171"/>
    <mergeCell ref="H171:I171"/>
    <mergeCell ref="D172:E172"/>
    <mergeCell ref="H172:I172"/>
    <mergeCell ref="D173:E173"/>
    <mergeCell ref="H165:I165"/>
    <mergeCell ref="D166:E166"/>
    <mergeCell ref="H166:I166"/>
    <mergeCell ref="D167:E167"/>
    <mergeCell ref="H167:I167"/>
    <mergeCell ref="D168:E168"/>
    <mergeCell ref="H168:I168"/>
    <mergeCell ref="D161:E161"/>
    <mergeCell ref="H161:I161"/>
    <mergeCell ref="B162:B169"/>
    <mergeCell ref="D162:E162"/>
    <mergeCell ref="H162:I162"/>
    <mergeCell ref="D163:E163"/>
    <mergeCell ref="H163:I163"/>
    <mergeCell ref="D164:E164"/>
    <mergeCell ref="H164:I164"/>
    <mergeCell ref="D165:E165"/>
    <mergeCell ref="H157:I157"/>
    <mergeCell ref="D158:E158"/>
    <mergeCell ref="H158:I158"/>
    <mergeCell ref="D159:E159"/>
    <mergeCell ref="H159:I159"/>
    <mergeCell ref="D160:E160"/>
    <mergeCell ref="H160:I160"/>
    <mergeCell ref="D153:E153"/>
    <mergeCell ref="H153:I153"/>
    <mergeCell ref="B154:B161"/>
    <mergeCell ref="D154:E154"/>
    <mergeCell ref="H154:I154"/>
    <mergeCell ref="D155:E155"/>
    <mergeCell ref="H155:I155"/>
    <mergeCell ref="D156:E156"/>
    <mergeCell ref="H156:I156"/>
    <mergeCell ref="D157:E157"/>
    <mergeCell ref="H149:I149"/>
    <mergeCell ref="D150:E150"/>
    <mergeCell ref="H150:I150"/>
    <mergeCell ref="D151:E151"/>
    <mergeCell ref="H151:I151"/>
    <mergeCell ref="D152:E152"/>
    <mergeCell ref="H152:I152"/>
    <mergeCell ref="D145:E145"/>
    <mergeCell ref="H145:I145"/>
    <mergeCell ref="B146:B153"/>
    <mergeCell ref="D146:E146"/>
    <mergeCell ref="H146:I146"/>
    <mergeCell ref="D147:E147"/>
    <mergeCell ref="H147:I147"/>
    <mergeCell ref="D148:E148"/>
    <mergeCell ref="H148:I148"/>
    <mergeCell ref="D149:E149"/>
    <mergeCell ref="H141:I141"/>
    <mergeCell ref="D142:E142"/>
    <mergeCell ref="H142:I142"/>
    <mergeCell ref="D143:E143"/>
    <mergeCell ref="H143:I143"/>
    <mergeCell ref="D144:E144"/>
    <mergeCell ref="H144:I144"/>
    <mergeCell ref="D137:E137"/>
    <mergeCell ref="H137:I137"/>
    <mergeCell ref="B138:B145"/>
    <mergeCell ref="D138:E138"/>
    <mergeCell ref="H138:I138"/>
    <mergeCell ref="D139:E139"/>
    <mergeCell ref="H139:I139"/>
    <mergeCell ref="D140:E140"/>
    <mergeCell ref="H140:I140"/>
    <mergeCell ref="D141:E141"/>
    <mergeCell ref="H133:I133"/>
    <mergeCell ref="D134:E134"/>
    <mergeCell ref="H134:I134"/>
    <mergeCell ref="D135:E135"/>
    <mergeCell ref="H135:I135"/>
    <mergeCell ref="D136:E136"/>
    <mergeCell ref="H136:I136"/>
    <mergeCell ref="B129:B137"/>
    <mergeCell ref="D129:E129"/>
    <mergeCell ref="H129:I129"/>
    <mergeCell ref="D130:E130"/>
    <mergeCell ref="H130:I130"/>
    <mergeCell ref="D131:E131"/>
    <mergeCell ref="H131:I131"/>
    <mergeCell ref="D132:E132"/>
    <mergeCell ref="H132:I132"/>
    <mergeCell ref="D133:E133"/>
    <mergeCell ref="D126:E126"/>
    <mergeCell ref="H126:I126"/>
    <mergeCell ref="D127:E127"/>
    <mergeCell ref="H127:I127"/>
    <mergeCell ref="D128:E128"/>
    <mergeCell ref="H128:I128"/>
    <mergeCell ref="D123:E123"/>
    <mergeCell ref="H123:I123"/>
    <mergeCell ref="D124:E124"/>
    <mergeCell ref="H124:I124"/>
    <mergeCell ref="D125:E125"/>
    <mergeCell ref="H125:I125"/>
    <mergeCell ref="B119:B120"/>
    <mergeCell ref="D119:E119"/>
    <mergeCell ref="H119:I119"/>
    <mergeCell ref="D120:E120"/>
    <mergeCell ref="H120:I120"/>
    <mergeCell ref="B121:B128"/>
    <mergeCell ref="D121:E121"/>
    <mergeCell ref="H121:I121"/>
    <mergeCell ref="D122:E122"/>
    <mergeCell ref="H122:I122"/>
    <mergeCell ref="D115:E115"/>
    <mergeCell ref="H115:I115"/>
    <mergeCell ref="D116:E116"/>
    <mergeCell ref="H116:I116"/>
    <mergeCell ref="B117:B118"/>
    <mergeCell ref="D117:E117"/>
    <mergeCell ref="H117:I117"/>
    <mergeCell ref="D118:E118"/>
    <mergeCell ref="H118:I118"/>
    <mergeCell ref="H111:I111"/>
    <mergeCell ref="D112:E112"/>
    <mergeCell ref="H112:I112"/>
    <mergeCell ref="D113:E113"/>
    <mergeCell ref="H113:I113"/>
    <mergeCell ref="D114:E114"/>
    <mergeCell ref="H114:I114"/>
    <mergeCell ref="D107:E107"/>
    <mergeCell ref="H107:I107"/>
    <mergeCell ref="D108:E108"/>
    <mergeCell ref="H108:I108"/>
    <mergeCell ref="B109:B116"/>
    <mergeCell ref="D109:E109"/>
    <mergeCell ref="H109:I109"/>
    <mergeCell ref="D110:E110"/>
    <mergeCell ref="H110:I110"/>
    <mergeCell ref="D111:E111"/>
    <mergeCell ref="H103:I103"/>
    <mergeCell ref="D104:E104"/>
    <mergeCell ref="H104:I104"/>
    <mergeCell ref="D105:E105"/>
    <mergeCell ref="H105:I105"/>
    <mergeCell ref="D106:E106"/>
    <mergeCell ref="H106:I106"/>
    <mergeCell ref="D99:E99"/>
    <mergeCell ref="H99:I99"/>
    <mergeCell ref="D100:E100"/>
    <mergeCell ref="H100:I100"/>
    <mergeCell ref="B101:B108"/>
    <mergeCell ref="D101:E101"/>
    <mergeCell ref="H101:I101"/>
    <mergeCell ref="D102:E102"/>
    <mergeCell ref="H102:I102"/>
    <mergeCell ref="D103:E103"/>
    <mergeCell ref="H95:I95"/>
    <mergeCell ref="D96:E96"/>
    <mergeCell ref="H96:I96"/>
    <mergeCell ref="D97:E97"/>
    <mergeCell ref="H97:I97"/>
    <mergeCell ref="D98:E98"/>
    <mergeCell ref="H98:I98"/>
    <mergeCell ref="D91:E91"/>
    <mergeCell ref="H91:I91"/>
    <mergeCell ref="B92:B100"/>
    <mergeCell ref="D92:E92"/>
    <mergeCell ref="H92:I92"/>
    <mergeCell ref="D93:E93"/>
    <mergeCell ref="H93:I93"/>
    <mergeCell ref="D94:E94"/>
    <mergeCell ref="H94:I94"/>
    <mergeCell ref="D95:E95"/>
    <mergeCell ref="H87:I87"/>
    <mergeCell ref="D88:E88"/>
    <mergeCell ref="H88:I88"/>
    <mergeCell ref="D89:E89"/>
    <mergeCell ref="H89:I89"/>
    <mergeCell ref="D90:E90"/>
    <mergeCell ref="H90:I90"/>
    <mergeCell ref="B83:B91"/>
    <mergeCell ref="D83:E83"/>
    <mergeCell ref="H83:I83"/>
    <mergeCell ref="D84:E84"/>
    <mergeCell ref="H84:I84"/>
    <mergeCell ref="D85:E85"/>
    <mergeCell ref="H85:I85"/>
    <mergeCell ref="D86:E86"/>
    <mergeCell ref="H86:I86"/>
    <mergeCell ref="D87:E87"/>
    <mergeCell ref="H78:I78"/>
    <mergeCell ref="D79:E79"/>
    <mergeCell ref="H79:I79"/>
    <mergeCell ref="D80:E80"/>
    <mergeCell ref="H80:I80"/>
    <mergeCell ref="B81:B82"/>
    <mergeCell ref="D81:E81"/>
    <mergeCell ref="H81:I81"/>
    <mergeCell ref="D82:E82"/>
    <mergeCell ref="H82:I82"/>
    <mergeCell ref="B74:B80"/>
    <mergeCell ref="D74:E74"/>
    <mergeCell ref="H74:I74"/>
    <mergeCell ref="D75:E75"/>
    <mergeCell ref="H75:I75"/>
    <mergeCell ref="D76:E76"/>
    <mergeCell ref="H76:I76"/>
    <mergeCell ref="D77:E77"/>
    <mergeCell ref="H77:I77"/>
    <mergeCell ref="D78:E78"/>
    <mergeCell ref="B70:B73"/>
    <mergeCell ref="D70:E70"/>
    <mergeCell ref="H70:I70"/>
    <mergeCell ref="D71:E71"/>
    <mergeCell ref="H71:I71"/>
    <mergeCell ref="D72:E72"/>
    <mergeCell ref="H72:I72"/>
    <mergeCell ref="D73:E73"/>
    <mergeCell ref="H73:I73"/>
    <mergeCell ref="D67:E67"/>
    <mergeCell ref="H67:I67"/>
    <mergeCell ref="B68:B69"/>
    <mergeCell ref="D68:E68"/>
    <mergeCell ref="H68:I68"/>
    <mergeCell ref="D69:E69"/>
    <mergeCell ref="H69:I69"/>
    <mergeCell ref="B63:B64"/>
    <mergeCell ref="D63:E63"/>
    <mergeCell ref="H63:I63"/>
    <mergeCell ref="D64:E64"/>
    <mergeCell ref="H64:I64"/>
    <mergeCell ref="B65:B67"/>
    <mergeCell ref="D65:E65"/>
    <mergeCell ref="H65:I65"/>
    <mergeCell ref="D66:E66"/>
    <mergeCell ref="H66:I66"/>
    <mergeCell ref="H59:I59"/>
    <mergeCell ref="D60:E60"/>
    <mergeCell ref="H60:I60"/>
    <mergeCell ref="B61:B62"/>
    <mergeCell ref="D61:E61"/>
    <mergeCell ref="H61:I61"/>
    <mergeCell ref="D62:E62"/>
    <mergeCell ref="H62:I62"/>
    <mergeCell ref="D55:E55"/>
    <mergeCell ref="H55:I55"/>
    <mergeCell ref="B56:B60"/>
    <mergeCell ref="D56:E56"/>
    <mergeCell ref="H56:I56"/>
    <mergeCell ref="D57:E57"/>
    <mergeCell ref="H57:I57"/>
    <mergeCell ref="D58:E58"/>
    <mergeCell ref="H58:I58"/>
    <mergeCell ref="D59:E59"/>
    <mergeCell ref="D52:E52"/>
    <mergeCell ref="H52:I52"/>
    <mergeCell ref="D53:E53"/>
    <mergeCell ref="H53:I53"/>
    <mergeCell ref="D54:E54"/>
    <mergeCell ref="H54:I54"/>
    <mergeCell ref="H47:I47"/>
    <mergeCell ref="D48:E48"/>
    <mergeCell ref="H48:I48"/>
    <mergeCell ref="D49:E49"/>
    <mergeCell ref="H49:I49"/>
    <mergeCell ref="B50:B55"/>
    <mergeCell ref="D50:E50"/>
    <mergeCell ref="H50:I50"/>
    <mergeCell ref="D51:E51"/>
    <mergeCell ref="H51:I51"/>
    <mergeCell ref="B43:B49"/>
    <mergeCell ref="D43:E43"/>
    <mergeCell ref="H43:I43"/>
    <mergeCell ref="D44:E44"/>
    <mergeCell ref="H44:I44"/>
    <mergeCell ref="D45:E45"/>
    <mergeCell ref="H45:I45"/>
    <mergeCell ref="D46:E46"/>
    <mergeCell ref="H46:I46"/>
    <mergeCell ref="D47:E47"/>
    <mergeCell ref="D40:E40"/>
    <mergeCell ref="H40:I40"/>
    <mergeCell ref="D41:E41"/>
    <mergeCell ref="H41:I41"/>
    <mergeCell ref="D42:E42"/>
    <mergeCell ref="H42:I42"/>
    <mergeCell ref="D37:E37"/>
    <mergeCell ref="H37:I37"/>
    <mergeCell ref="D38:E38"/>
    <mergeCell ref="H38:I38"/>
    <mergeCell ref="D39:E39"/>
    <mergeCell ref="H39:I39"/>
    <mergeCell ref="B33:B34"/>
    <mergeCell ref="D33:E33"/>
    <mergeCell ref="H33:I33"/>
    <mergeCell ref="D34:E34"/>
    <mergeCell ref="H34:I34"/>
    <mergeCell ref="B35:B42"/>
    <mergeCell ref="D35:E35"/>
    <mergeCell ref="H35:I35"/>
    <mergeCell ref="D36:E36"/>
    <mergeCell ref="H36:I36"/>
    <mergeCell ref="B30:B32"/>
    <mergeCell ref="D30:E30"/>
    <mergeCell ref="H30:I30"/>
    <mergeCell ref="D31:E31"/>
    <mergeCell ref="H31:I31"/>
    <mergeCell ref="D32:E32"/>
    <mergeCell ref="H32:I32"/>
    <mergeCell ref="B26:B27"/>
    <mergeCell ref="D26:E26"/>
    <mergeCell ref="H26:I26"/>
    <mergeCell ref="D27:E27"/>
    <mergeCell ref="H27:I27"/>
    <mergeCell ref="B28:B29"/>
    <mergeCell ref="D28:E28"/>
    <mergeCell ref="H28:I28"/>
    <mergeCell ref="D29:E29"/>
    <mergeCell ref="H29:I29"/>
    <mergeCell ref="D24:E24"/>
    <mergeCell ref="H24:I24"/>
    <mergeCell ref="D25:E25"/>
    <mergeCell ref="H25:I25"/>
    <mergeCell ref="D20:E20"/>
    <mergeCell ref="H20:I20"/>
    <mergeCell ref="D21:E21"/>
    <mergeCell ref="H21:I21"/>
    <mergeCell ref="D22:E22"/>
    <mergeCell ref="H22:I22"/>
    <mergeCell ref="H16:I16"/>
    <mergeCell ref="D17:E17"/>
    <mergeCell ref="H17:I17"/>
    <mergeCell ref="D18:E18"/>
    <mergeCell ref="H18:I18"/>
    <mergeCell ref="D19:E19"/>
    <mergeCell ref="H19:I19"/>
    <mergeCell ref="A1:H1"/>
    <mergeCell ref="A3:D3"/>
    <mergeCell ref="D5:E5"/>
    <mergeCell ref="H5:I5"/>
    <mergeCell ref="A6:A248"/>
    <mergeCell ref="B6:B7"/>
    <mergeCell ref="D6:E6"/>
    <mergeCell ref="H6:I6"/>
    <mergeCell ref="D7:E7"/>
    <mergeCell ref="H7:I7"/>
    <mergeCell ref="B12:B25"/>
    <mergeCell ref="D12:E12"/>
    <mergeCell ref="H12:I12"/>
    <mergeCell ref="D13:E13"/>
    <mergeCell ref="H13:I13"/>
    <mergeCell ref="D14:E14"/>
    <mergeCell ref="H14:I14"/>
    <mergeCell ref="D15:E15"/>
    <mergeCell ref="H15:I15"/>
    <mergeCell ref="D16:E16"/>
    <mergeCell ref="B8:B9"/>
    <mergeCell ref="D8:E8"/>
    <mergeCell ref="H8:I8"/>
    <mergeCell ref="D9:E9"/>
    <mergeCell ref="H9:I9"/>
    <mergeCell ref="B10:B11"/>
    <mergeCell ref="D10:E10"/>
    <mergeCell ref="H10:I10"/>
    <mergeCell ref="D11:E11"/>
    <mergeCell ref="H11:I11"/>
    <mergeCell ref="D23:E23"/>
    <mergeCell ref="H23:I23"/>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88"/>
  <sheetViews>
    <sheetView view="pageBreakPreview" topLeftCell="A20" zoomScaleNormal="100" zoomScaleSheetLayoutView="100" workbookViewId="0">
      <selection activeCell="B38" sqref="B38"/>
    </sheetView>
  </sheetViews>
  <sheetFormatPr defaultColWidth="9.1796875" defaultRowHeight="14"/>
  <cols>
    <col min="1" max="1" width="48" style="208" customWidth="1"/>
    <col min="2" max="2" width="15.81640625" style="208" customWidth="1"/>
    <col min="3" max="3" width="3.1796875" style="208" customWidth="1"/>
    <col min="4" max="4" width="14.1796875" style="208" customWidth="1"/>
    <col min="5" max="5" width="9.81640625" style="208" hidden="1" customWidth="1"/>
    <col min="6" max="6" width="13.7265625" style="208" hidden="1" customWidth="1"/>
    <col min="7" max="7" width="11.1796875" style="208" hidden="1" customWidth="1"/>
    <col min="8" max="8" width="12.81640625" style="208" hidden="1" customWidth="1"/>
    <col min="9" max="9" width="14.453125" style="208" bestFit="1" customWidth="1"/>
    <col min="10" max="10" width="17.453125" style="208" customWidth="1"/>
    <col min="11" max="11" width="18.7265625" style="244" customWidth="1"/>
    <col min="12" max="12" width="21.7265625" style="244" customWidth="1"/>
    <col min="13" max="13" width="20.1796875" style="208" bestFit="1" customWidth="1"/>
    <col min="14" max="16384" width="9.1796875" style="208"/>
  </cols>
  <sheetData>
    <row r="1" spans="1:12" s="205" customFormat="1" ht="15.75" customHeight="1">
      <c r="A1" s="127" t="e">
        <f>#REF!</f>
        <v>#REF!</v>
      </c>
      <c r="B1" s="125"/>
      <c r="C1" s="125"/>
      <c r="D1" s="212"/>
      <c r="E1" s="125"/>
      <c r="F1" s="212"/>
      <c r="G1" s="212"/>
      <c r="H1" s="212"/>
      <c r="I1" s="294"/>
      <c r="J1" s="294"/>
      <c r="K1" s="294"/>
      <c r="L1" s="244"/>
    </row>
    <row r="2" spans="1:12" s="205" customFormat="1" ht="7.5" customHeight="1">
      <c r="A2" s="128"/>
      <c r="D2" s="212"/>
      <c r="F2" s="212"/>
      <c r="G2" s="212"/>
      <c r="H2" s="212"/>
      <c r="I2" s="294"/>
      <c r="J2" s="294"/>
      <c r="K2" s="294"/>
      <c r="L2" s="244"/>
    </row>
    <row r="3" spans="1:12" s="205" customFormat="1" ht="15.75" customHeight="1">
      <c r="A3" s="129" t="s">
        <v>477</v>
      </c>
      <c r="B3" s="126"/>
      <c r="C3" s="126"/>
      <c r="D3" s="212"/>
      <c r="E3" s="126"/>
      <c r="F3" s="212"/>
      <c r="G3" s="212"/>
      <c r="H3" s="212"/>
      <c r="I3" s="294"/>
      <c r="J3" s="294"/>
      <c r="K3" s="294"/>
      <c r="L3" s="244"/>
    </row>
    <row r="4" spans="1:12" s="205" customFormat="1" ht="14.25" customHeight="1">
      <c r="A4" s="204" t="e">
        <f>#REF!</f>
        <v>#REF!</v>
      </c>
      <c r="B4" s="204"/>
      <c r="C4" s="204"/>
      <c r="D4" s="427"/>
      <c r="F4" s="212"/>
      <c r="G4" s="212"/>
      <c r="H4" s="212"/>
      <c r="I4" s="294"/>
      <c r="J4" s="294"/>
      <c r="K4" s="294"/>
      <c r="L4" s="244"/>
    </row>
    <row r="5" spans="1:12" s="205" customFormat="1" ht="6.75" customHeight="1">
      <c r="D5" s="212"/>
      <c r="F5" s="212"/>
      <c r="G5" s="212"/>
      <c r="H5" s="212"/>
      <c r="I5" s="294"/>
      <c r="J5" s="294"/>
      <c r="K5" s="294"/>
      <c r="L5" s="244"/>
    </row>
    <row r="6" spans="1:12" s="205" customFormat="1" ht="14.25" customHeight="1">
      <c r="A6" s="353" t="s">
        <v>26</v>
      </c>
      <c r="D6" s="219"/>
      <c r="F6" s="212"/>
      <c r="G6" s="212"/>
      <c r="H6" s="212"/>
      <c r="I6" s="294"/>
      <c r="J6" s="294"/>
      <c r="K6" s="294"/>
      <c r="L6" s="244"/>
    </row>
    <row r="7" spans="1:12" s="205" customFormat="1" ht="5.25" customHeight="1">
      <c r="D7" s="212"/>
      <c r="F7" s="212"/>
      <c r="G7" s="212"/>
      <c r="H7" s="212"/>
      <c r="I7" s="294"/>
      <c r="J7" s="294"/>
      <c r="K7" s="294"/>
      <c r="L7" s="244"/>
    </row>
    <row r="8" spans="1:12" s="205" customFormat="1" ht="15.75" customHeight="1">
      <c r="A8" s="129" t="s">
        <v>80</v>
      </c>
      <c r="B8" s="358" t="s">
        <v>3059</v>
      </c>
      <c r="C8" s="239"/>
      <c r="D8" s="354" t="s">
        <v>2328</v>
      </c>
      <c r="E8" s="126"/>
      <c r="F8" s="213"/>
      <c r="G8" s="208"/>
      <c r="H8" s="213"/>
      <c r="I8" s="294"/>
      <c r="J8" s="294"/>
      <c r="K8" s="294"/>
      <c r="L8" s="244"/>
    </row>
    <row r="9" spans="1:12" s="205" customFormat="1" ht="8.25" customHeight="1">
      <c r="D9" s="206"/>
      <c r="F9" s="206"/>
      <c r="G9" s="274"/>
      <c r="H9" s="206"/>
      <c r="I9" s="294"/>
      <c r="J9" s="294"/>
      <c r="K9" s="294"/>
      <c r="L9" s="244"/>
    </row>
    <row r="10" spans="1:12" s="205" customFormat="1" ht="15.75" customHeight="1">
      <c r="A10" s="205" t="s">
        <v>14</v>
      </c>
      <c r="B10" s="295">
        <f>'TB 2015'!J448+'TB 2015'!J455+'TB 2015'!J459+'TB 2015'!J467+'TB 2015'!J475+'TB 2015'!J482+'TB 2015'!J498</f>
        <v>54935473.189999998</v>
      </c>
      <c r="D10" s="213">
        <v>43684121.700000003</v>
      </c>
      <c r="F10" s="219"/>
      <c r="G10" s="223"/>
      <c r="H10" s="217"/>
      <c r="I10" s="294"/>
      <c r="J10" s="294"/>
      <c r="K10" s="294"/>
      <c r="L10" s="275"/>
    </row>
    <row r="11" spans="1:12" s="205" customFormat="1" ht="15.75" customHeight="1">
      <c r="A11" s="205" t="s">
        <v>33</v>
      </c>
      <c r="B11" s="435">
        <f>('TB 2015'!J569+'TB 2015'!J571+'TB 2015'!J575+'TB 2015'!J605+'TB 2015'!J618)</f>
        <v>-19875515.439999998</v>
      </c>
      <c r="D11" s="228">
        <v>-15947175.17</v>
      </c>
      <c r="F11" s="219"/>
      <c r="H11" s="217"/>
      <c r="I11" s="294"/>
      <c r="J11" s="294"/>
      <c r="K11" s="294"/>
      <c r="L11" s="244"/>
    </row>
    <row r="12" spans="1:12" s="205" customFormat="1" ht="7.5" customHeight="1">
      <c r="B12" s="126"/>
      <c r="D12" s="219"/>
      <c r="F12" s="219"/>
      <c r="H12" s="217"/>
      <c r="I12" s="294"/>
      <c r="J12" s="294"/>
      <c r="K12" s="294"/>
      <c r="L12" s="244"/>
    </row>
    <row r="13" spans="1:12" s="205" customFormat="1" ht="15" customHeight="1">
      <c r="A13" s="126"/>
      <c r="B13" s="295">
        <f>B10+B11</f>
        <v>35059957.75</v>
      </c>
      <c r="C13" s="126"/>
      <c r="D13" s="219">
        <v>27736946.530000001</v>
      </c>
      <c r="E13" s="126"/>
      <c r="F13" s="219"/>
      <c r="G13" s="223"/>
      <c r="H13" s="217"/>
      <c r="I13" s="294"/>
      <c r="J13" s="294"/>
      <c r="K13" s="294"/>
      <c r="L13" s="244"/>
    </row>
    <row r="14" spans="1:12" s="205" customFormat="1" ht="15" customHeight="1">
      <c r="A14" s="129" t="s">
        <v>81</v>
      </c>
      <c r="B14" s="126"/>
      <c r="C14" s="126"/>
      <c r="D14" s="208"/>
      <c r="E14" s="126"/>
      <c r="F14" s="208"/>
      <c r="G14" s="208"/>
      <c r="I14" s="294"/>
      <c r="J14" s="294"/>
      <c r="K14" s="294"/>
      <c r="L14" s="244"/>
    </row>
    <row r="15" spans="1:12" s="205" customFormat="1" ht="15.75" customHeight="1">
      <c r="A15" s="205" t="s">
        <v>1903</v>
      </c>
      <c r="B15" s="227">
        <f>'TB 2015'!J523+'TB 2015'!J525+'TB 2015'!J545+'TB 2015'!J547</f>
        <v>34283393.979999997</v>
      </c>
      <c r="C15" s="126"/>
      <c r="D15" s="293">
        <v>27256111.460000001</v>
      </c>
      <c r="E15" s="126"/>
      <c r="F15" s="208"/>
      <c r="G15" s="208"/>
      <c r="I15" s="294"/>
      <c r="J15" s="294"/>
      <c r="K15" s="294"/>
      <c r="L15" s="244"/>
    </row>
    <row r="16" spans="1:12" s="205" customFormat="1" ht="15.75" customHeight="1">
      <c r="A16" s="205" t="s">
        <v>472</v>
      </c>
      <c r="B16" s="227">
        <f>'TB 2015'!J563</f>
        <v>5439277.6399999997</v>
      </c>
      <c r="D16" s="293">
        <v>2751939.2</v>
      </c>
      <c r="F16" s="219"/>
      <c r="G16" s="223"/>
      <c r="H16" s="217"/>
      <c r="I16" s="294"/>
      <c r="J16" s="294"/>
      <c r="K16" s="294"/>
      <c r="L16" s="244"/>
    </row>
    <row r="17" spans="1:12" s="205" customFormat="1" ht="15.75" customHeight="1">
      <c r="A17" s="205" t="s">
        <v>1926</v>
      </c>
      <c r="B17" s="227">
        <f>'TB 2015'!J528+'TB 2015'!J530+'TB 2015'!J532+'TB 2015'!J553+'TB 2015'!J555+'TB 2015'!J561</f>
        <v>639934.98</v>
      </c>
      <c r="D17" s="293">
        <v>1499408.95</v>
      </c>
      <c r="F17" s="219"/>
      <c r="G17" s="223"/>
      <c r="H17" s="217"/>
      <c r="I17" s="294"/>
      <c r="J17" s="294"/>
      <c r="K17" s="294"/>
      <c r="L17" s="244"/>
    </row>
    <row r="18" spans="1:12" s="205" customFormat="1" ht="15.75" customHeight="1">
      <c r="A18" s="205" t="s">
        <v>469</v>
      </c>
      <c r="B18" s="432">
        <f>'TB 2015'!J490</f>
        <v>565484.75</v>
      </c>
      <c r="D18" s="293">
        <v>847633.51</v>
      </c>
      <c r="F18" s="219"/>
      <c r="G18" s="223"/>
      <c r="H18" s="217"/>
      <c r="I18" s="294"/>
      <c r="J18" s="294"/>
      <c r="K18" s="294"/>
      <c r="L18" s="244"/>
    </row>
    <row r="19" spans="1:12" s="205" customFormat="1" ht="7.5" customHeight="1">
      <c r="B19" s="126"/>
      <c r="D19" s="362"/>
      <c r="F19" s="219"/>
      <c r="G19" s="223"/>
      <c r="H19" s="217"/>
      <c r="I19" s="294"/>
      <c r="J19" s="294"/>
      <c r="K19" s="294"/>
      <c r="L19" s="244"/>
    </row>
    <row r="20" spans="1:12" s="205" customFormat="1" ht="15.75" customHeight="1">
      <c r="A20" s="129" t="s">
        <v>82</v>
      </c>
      <c r="B20" s="435">
        <f>B13+SUM(B15:B18)</f>
        <v>75988049.099999994</v>
      </c>
      <c r="C20" s="126"/>
      <c r="D20" s="221">
        <v>60092039.650000006</v>
      </c>
      <c r="E20" s="126"/>
      <c r="F20" s="219"/>
      <c r="G20" s="223"/>
      <c r="H20" s="217"/>
      <c r="I20" s="294"/>
      <c r="J20" s="294"/>
      <c r="K20" s="294"/>
      <c r="L20" s="357"/>
    </row>
    <row r="21" spans="1:12" s="205" customFormat="1" ht="8.25" customHeight="1">
      <c r="A21" s="129"/>
      <c r="B21" s="126"/>
      <c r="D21" s="219"/>
      <c r="F21" s="219"/>
      <c r="G21" s="223"/>
      <c r="H21" s="217"/>
      <c r="I21" s="294"/>
      <c r="J21" s="294"/>
      <c r="K21" s="294"/>
      <c r="L21" s="244"/>
    </row>
    <row r="22" spans="1:12" s="205" customFormat="1" ht="14.25" customHeight="1">
      <c r="A22" s="129" t="s">
        <v>64</v>
      </c>
      <c r="B22" s="126"/>
      <c r="C22" s="126"/>
      <c r="D22" s="219"/>
      <c r="E22" s="126"/>
      <c r="F22" s="219"/>
      <c r="H22" s="217"/>
      <c r="I22" s="294"/>
      <c r="J22" s="294"/>
      <c r="K22" s="294"/>
      <c r="L22" s="244"/>
    </row>
    <row r="23" spans="1:12" s="205" customFormat="1" ht="15.75" customHeight="1">
      <c r="A23" s="276" t="s">
        <v>18</v>
      </c>
      <c r="B23" s="295">
        <f>-('TB 2015'!J644+'TB 2015'!J650)</f>
        <v>36223704.32</v>
      </c>
      <c r="C23" s="276"/>
      <c r="D23" s="293">
        <v>31000248.119999997</v>
      </c>
      <c r="E23" s="244"/>
      <c r="F23" s="213"/>
      <c r="G23" s="244"/>
      <c r="H23" s="217"/>
      <c r="I23" s="294"/>
      <c r="J23" s="294"/>
      <c r="K23" s="294"/>
      <c r="L23" s="277"/>
    </row>
    <row r="24" spans="1:12" s="205" customFormat="1" ht="14.25" customHeight="1">
      <c r="A24" s="205" t="s">
        <v>3042</v>
      </c>
      <c r="B24" s="295">
        <f>-('TB 2015'!J634+'TB 2015'!J636+'TB 2015'!J638)</f>
        <v>3196910.58</v>
      </c>
      <c r="D24" s="293">
        <v>5115503.8699999992</v>
      </c>
      <c r="E24" s="244"/>
      <c r="F24" s="213"/>
      <c r="G24" s="244"/>
      <c r="H24" s="217"/>
      <c r="I24" s="294"/>
      <c r="J24" s="294"/>
      <c r="K24" s="294"/>
      <c r="L24" s="277"/>
    </row>
    <row r="25" spans="1:12" s="205" customFormat="1" ht="14.25" customHeight="1">
      <c r="A25" s="205" t="s">
        <v>383</v>
      </c>
      <c r="B25" s="295">
        <f>-('TB 2015'!J632)</f>
        <v>7124253.75</v>
      </c>
      <c r="D25" s="293">
        <v>4433677.5100000007</v>
      </c>
      <c r="E25" s="244"/>
      <c r="F25" s="213"/>
      <c r="G25" s="244"/>
      <c r="H25" s="217"/>
      <c r="I25" s="294"/>
      <c r="J25" s="294"/>
      <c r="K25" s="294"/>
      <c r="L25" s="277"/>
    </row>
    <row r="26" spans="1:12" s="205" customFormat="1" ht="14.25" customHeight="1">
      <c r="A26" s="205" t="s">
        <v>437</v>
      </c>
      <c r="B26" s="295">
        <f>-('TB 2015'!J660+'TB 2015'!J663)</f>
        <v>3841020.66</v>
      </c>
      <c r="D26" s="293">
        <v>3827790.62</v>
      </c>
      <c r="E26" s="244"/>
      <c r="F26" s="213"/>
      <c r="G26" s="244"/>
      <c r="H26" s="217"/>
      <c r="I26" s="294"/>
      <c r="J26" s="294"/>
      <c r="K26" s="294"/>
      <c r="L26" s="277"/>
    </row>
    <row r="27" spans="1:12" s="205" customFormat="1" ht="14.25" customHeight="1">
      <c r="A27" s="205" t="s">
        <v>413</v>
      </c>
      <c r="B27" s="295">
        <f>-'TB 2015'!J675</f>
        <v>3079337.44</v>
      </c>
      <c r="D27" s="293">
        <v>2892549.41</v>
      </c>
      <c r="E27" s="244"/>
      <c r="F27" s="213"/>
      <c r="G27" s="244"/>
      <c r="H27" s="217"/>
      <c r="I27" s="294"/>
      <c r="J27" s="294"/>
      <c r="K27" s="294"/>
      <c r="L27" s="277"/>
    </row>
    <row r="28" spans="1:12" s="205" customFormat="1" ht="15.75" customHeight="1">
      <c r="A28" s="205" t="s">
        <v>3015</v>
      </c>
      <c r="B28" s="126">
        <v>0</v>
      </c>
      <c r="D28" s="293">
        <v>2217001.6100000003</v>
      </c>
      <c r="E28" s="244"/>
      <c r="F28" s="213"/>
      <c r="G28" s="244"/>
      <c r="H28" s="217"/>
      <c r="I28" s="294"/>
      <c r="J28" s="294"/>
      <c r="K28" s="294"/>
      <c r="L28" s="277"/>
    </row>
    <row r="29" spans="1:12" s="205" customFormat="1" ht="15.75" customHeight="1">
      <c r="A29" s="205" t="s">
        <v>436</v>
      </c>
      <c r="B29" s="295">
        <f>-('TB 2015'!J721+'TB 2015'!J724+'TB 2015'!J725+'TB 2015'!J726)</f>
        <v>2016264.1500000001</v>
      </c>
      <c r="D29" s="293">
        <v>1868381.29</v>
      </c>
      <c r="E29" s="244"/>
      <c r="F29" s="213"/>
      <c r="G29" s="244"/>
      <c r="H29" s="217"/>
      <c r="I29" s="294"/>
      <c r="J29" s="294"/>
      <c r="K29" s="294"/>
      <c r="L29" s="277"/>
    </row>
    <row r="30" spans="1:12" s="205" customFormat="1" ht="15.75" customHeight="1">
      <c r="A30" s="276" t="s">
        <v>1919</v>
      </c>
      <c r="B30" s="295">
        <f>-('TB 2015'!J765+'TB 2015'!J767)</f>
        <v>3342157.77</v>
      </c>
      <c r="C30" s="276"/>
      <c r="D30" s="293">
        <v>1638242.32</v>
      </c>
      <c r="E30" s="244"/>
      <c r="F30" s="213"/>
      <c r="G30" s="244"/>
      <c r="H30" s="217"/>
      <c r="I30" s="294"/>
      <c r="J30" s="294"/>
      <c r="K30" s="294"/>
      <c r="L30" s="277"/>
    </row>
    <row r="31" spans="1:12" s="205" customFormat="1" ht="15" customHeight="1">
      <c r="A31" s="205" t="s">
        <v>2993</v>
      </c>
      <c r="B31" s="295">
        <f>-('TB 2015'!J637)</f>
        <v>2962131.38</v>
      </c>
      <c r="D31" s="293">
        <v>1512237.98</v>
      </c>
      <c r="E31" s="244"/>
      <c r="F31" s="213"/>
      <c r="G31" s="244"/>
      <c r="H31" s="217"/>
      <c r="I31" s="294"/>
      <c r="J31" s="294"/>
      <c r="K31" s="294"/>
      <c r="L31" s="277"/>
    </row>
    <row r="32" spans="1:12" s="205" customFormat="1" ht="15.75" customHeight="1">
      <c r="A32" s="205" t="s">
        <v>438</v>
      </c>
      <c r="B32" s="295">
        <f>-('TB 2015'!J723+'TB 2015'!J727+'TB 2015'!J748)</f>
        <v>1593195.37</v>
      </c>
      <c r="D32" s="293">
        <v>1471949.19</v>
      </c>
      <c r="E32" s="244"/>
      <c r="F32" s="213"/>
      <c r="G32" s="244"/>
      <c r="H32" s="217"/>
      <c r="I32" s="294"/>
      <c r="J32" s="294"/>
      <c r="K32" s="294"/>
      <c r="L32" s="277"/>
    </row>
    <row r="33" spans="1:12" s="205" customFormat="1" ht="15.75" customHeight="1">
      <c r="A33" s="205" t="s">
        <v>471</v>
      </c>
      <c r="B33" s="295">
        <f>-('TB 2015'!J665+'TB 2015'!J674)</f>
        <v>2306866.5</v>
      </c>
      <c r="D33" s="293">
        <v>1340357.3699999999</v>
      </c>
      <c r="E33" s="244"/>
      <c r="F33" s="213"/>
      <c r="G33" s="244"/>
      <c r="H33" s="217"/>
      <c r="I33" s="294"/>
      <c r="J33" s="294"/>
      <c r="K33" s="294"/>
      <c r="L33" s="277"/>
    </row>
    <row r="34" spans="1:12" s="205" customFormat="1" ht="15.75" customHeight="1">
      <c r="A34" s="209" t="s">
        <v>439</v>
      </c>
      <c r="B34" s="295">
        <f>-('TB 2015'!J654+'TB 2015'!J657)</f>
        <v>240849.93</v>
      </c>
      <c r="D34" s="293">
        <v>940542.78</v>
      </c>
      <c r="E34" s="244"/>
      <c r="F34" s="213"/>
      <c r="G34" s="244"/>
      <c r="H34" s="217"/>
      <c r="I34" s="294"/>
      <c r="J34" s="294"/>
      <c r="K34" s="294"/>
      <c r="L34" s="277"/>
    </row>
    <row r="35" spans="1:12" s="205" customFormat="1" ht="15.75" customHeight="1">
      <c r="A35" s="205" t="s">
        <v>414</v>
      </c>
      <c r="B35" s="295">
        <f>-('TB 2015'!J704)</f>
        <v>946316.77</v>
      </c>
      <c r="D35" s="293">
        <v>893587.34</v>
      </c>
      <c r="E35" s="244"/>
      <c r="F35" s="213"/>
      <c r="G35" s="244"/>
      <c r="H35" s="217"/>
      <c r="I35" s="294"/>
      <c r="J35" s="294"/>
      <c r="K35" s="294"/>
      <c r="L35" s="277"/>
    </row>
    <row r="36" spans="1:12" s="205" customFormat="1" ht="15.75" customHeight="1">
      <c r="A36" s="205" t="s">
        <v>29</v>
      </c>
      <c r="B36" s="295">
        <f>-('TB 2015'!J685+'TB 2015'!J687+'TB 2015'!J683)</f>
        <v>1221023.77</v>
      </c>
      <c r="D36" s="293">
        <v>770561.06</v>
      </c>
      <c r="E36" s="244"/>
      <c r="F36" s="213"/>
      <c r="G36" s="244"/>
      <c r="H36" s="217"/>
      <c r="I36" s="294"/>
      <c r="J36" s="294"/>
      <c r="K36" s="294"/>
      <c r="L36" s="277"/>
    </row>
    <row r="37" spans="1:12" s="205" customFormat="1" ht="14.25" customHeight="1">
      <c r="A37" s="205" t="s">
        <v>415</v>
      </c>
      <c r="B37" s="295">
        <f>-('TB 2015'!J769)</f>
        <v>1530079</v>
      </c>
      <c r="D37" s="293">
        <v>668834.18000000005</v>
      </c>
      <c r="E37" s="244"/>
      <c r="F37" s="213"/>
      <c r="G37" s="244"/>
      <c r="H37" s="217"/>
      <c r="I37" s="294"/>
      <c r="J37" s="294"/>
      <c r="K37" s="294"/>
      <c r="L37" s="277"/>
    </row>
    <row r="38" spans="1:12" s="205" customFormat="1" ht="15" customHeight="1">
      <c r="A38" s="205" t="s">
        <v>440</v>
      </c>
      <c r="B38" s="295">
        <f>-('TB 2015'!J728)</f>
        <v>631486.31000000006</v>
      </c>
      <c r="D38" s="293">
        <v>498941.80000000005</v>
      </c>
      <c r="E38" s="244"/>
      <c r="F38" s="213"/>
      <c r="G38" s="244"/>
      <c r="H38" s="217"/>
      <c r="I38" s="294"/>
      <c r="J38" s="294"/>
      <c r="K38" s="294"/>
      <c r="L38" s="277"/>
    </row>
    <row r="39" spans="1:12" s="205" customFormat="1" ht="15.75" customHeight="1">
      <c r="A39" s="205" t="s">
        <v>1937</v>
      </c>
      <c r="B39" s="295">
        <f>-('TB 2015'!J758+'TB 2015'!J752+'TB 2015'!J737+'TB 2015'!J707+'TB 2015'!J676+'TB 2015'!J672+'TB 2015'!J722+'TB 2015'!J623)</f>
        <v>1060722.8400000001</v>
      </c>
      <c r="D39" s="293">
        <v>657059.12000000011</v>
      </c>
      <c r="E39" s="244"/>
      <c r="F39" s="213"/>
      <c r="G39" s="244"/>
      <c r="H39" s="217"/>
      <c r="I39" s="294"/>
      <c r="J39" s="294"/>
      <c r="K39" s="294"/>
      <c r="L39" s="277"/>
    </row>
    <row r="40" spans="1:12" s="205" customFormat="1" ht="15.75" customHeight="1">
      <c r="A40" s="205" t="s">
        <v>473</v>
      </c>
      <c r="B40" s="295">
        <f>-('TB 2015'!J718+'TB 2015'!J754)</f>
        <v>704981.58000000007</v>
      </c>
      <c r="D40" s="293">
        <v>276398.64</v>
      </c>
      <c r="E40" s="244"/>
      <c r="F40" s="213"/>
      <c r="G40" s="244"/>
      <c r="H40" s="217"/>
      <c r="I40" s="294"/>
      <c r="J40" s="294"/>
      <c r="K40" s="294"/>
      <c r="L40" s="277"/>
    </row>
    <row r="41" spans="1:12" s="205" customFormat="1" ht="15.75" customHeight="1">
      <c r="A41" s="205" t="s">
        <v>28</v>
      </c>
      <c r="B41" s="295">
        <f>-('TB 2015'!J734+'TB 2015'!J699+'TB 2015'!J713)</f>
        <v>266671.19</v>
      </c>
      <c r="D41" s="293">
        <v>276246.37</v>
      </c>
      <c r="E41" s="244"/>
      <c r="F41" s="217"/>
      <c r="G41" s="244"/>
      <c r="H41" s="217"/>
      <c r="I41" s="294"/>
      <c r="J41" s="294"/>
      <c r="K41" s="294"/>
      <c r="L41" s="277"/>
    </row>
    <row r="42" spans="1:12" s="205" customFormat="1" ht="14.25" customHeight="1">
      <c r="A42" s="205" t="s">
        <v>435</v>
      </c>
      <c r="B42" s="295">
        <f>-('TB 2015'!J667)</f>
        <v>375900</v>
      </c>
      <c r="D42" s="293">
        <v>249317.87</v>
      </c>
      <c r="E42" s="244"/>
      <c r="F42" s="213"/>
      <c r="G42" s="244"/>
      <c r="H42" s="217"/>
      <c r="I42" s="294"/>
      <c r="J42" s="294"/>
      <c r="K42" s="294"/>
      <c r="L42" s="277"/>
    </row>
    <row r="43" spans="1:12" s="205" customFormat="1" ht="15.75" customHeight="1">
      <c r="A43" s="205" t="s">
        <v>17</v>
      </c>
      <c r="B43" s="295">
        <f>-('TB 2015'!J624-'TB 2015'!J623)</f>
        <v>216117.26</v>
      </c>
      <c r="D43" s="293">
        <v>234554.05</v>
      </c>
      <c r="E43" s="244"/>
      <c r="F43" s="213"/>
      <c r="G43" s="244"/>
      <c r="H43" s="217"/>
      <c r="I43" s="294"/>
      <c r="L43" s="277"/>
    </row>
    <row r="44" spans="1:12" s="205" customFormat="1" ht="15.75" customHeight="1">
      <c r="A44" s="205" t="s">
        <v>21</v>
      </c>
      <c r="B44" s="295">
        <f>-('TB 2015'!J689+'TB 2015'!J692+'TB 2015'!J694)</f>
        <v>125829.79999999999</v>
      </c>
      <c r="D44" s="293">
        <v>142685.82</v>
      </c>
      <c r="E44" s="244"/>
      <c r="F44" s="217"/>
      <c r="G44" s="244"/>
      <c r="H44" s="217"/>
      <c r="I44" s="294"/>
      <c r="J44" s="294"/>
      <c r="K44" s="294"/>
      <c r="L44" s="277"/>
    </row>
    <row r="45" spans="1:12" s="205" customFormat="1" ht="14.25" customHeight="1">
      <c r="A45" s="205" t="s">
        <v>412</v>
      </c>
      <c r="B45" s="295">
        <f>-('TB 2015'!J681+'TB 2015'!J679+'TB 2015'!J696)</f>
        <v>156870.98000000001</v>
      </c>
      <c r="D45" s="293">
        <v>136566.41999999998</v>
      </c>
      <c r="E45" s="244"/>
      <c r="F45" s="213"/>
      <c r="G45" s="244"/>
      <c r="H45" s="217"/>
      <c r="I45" s="294"/>
      <c r="J45" s="294"/>
      <c r="K45" s="294"/>
      <c r="L45" s="277"/>
    </row>
    <row r="46" spans="1:12" s="205" customFormat="1" ht="15.75" customHeight="1">
      <c r="A46" s="205" t="s">
        <v>470</v>
      </c>
      <c r="B46" s="295">
        <f>-('TB 2015'!J669)</f>
        <v>48250</v>
      </c>
      <c r="D46" s="293">
        <v>117021.44</v>
      </c>
      <c r="J46" s="294"/>
      <c r="K46" s="294"/>
      <c r="L46" s="277"/>
    </row>
    <row r="47" spans="1:12" s="205" customFormat="1" ht="15.75" customHeight="1">
      <c r="A47" s="205" t="s">
        <v>19</v>
      </c>
      <c r="B47" s="295">
        <f>-('TB 2015'!J742)</f>
        <v>329017.37</v>
      </c>
      <c r="D47" s="293">
        <v>50416.04</v>
      </c>
      <c r="J47" s="294"/>
      <c r="K47" s="294"/>
      <c r="L47" s="277"/>
    </row>
    <row r="48" spans="1:12" s="205" customFormat="1" ht="15.75" customHeight="1">
      <c r="A48" s="205" t="s">
        <v>474</v>
      </c>
      <c r="B48" s="435">
        <f>-'TB 2015'!J565</f>
        <v>1305427.28</v>
      </c>
      <c r="D48" s="293">
        <v>0</v>
      </c>
      <c r="E48" s="244"/>
      <c r="F48" s="213"/>
      <c r="G48" s="244"/>
      <c r="H48" s="217"/>
      <c r="I48" s="294"/>
      <c r="J48" s="294"/>
      <c r="K48" s="294"/>
      <c r="L48" s="277"/>
    </row>
    <row r="49" spans="1:13" s="205" customFormat="1" ht="9" customHeight="1">
      <c r="B49" s="126"/>
      <c r="D49" s="428"/>
      <c r="E49" s="244"/>
      <c r="F49" s="213"/>
      <c r="G49" s="244"/>
      <c r="H49" s="217"/>
      <c r="I49" s="294"/>
      <c r="J49" s="294"/>
      <c r="K49" s="294"/>
      <c r="L49" s="277"/>
    </row>
    <row r="50" spans="1:13" s="205" customFormat="1" ht="14.25" customHeight="1">
      <c r="A50" s="220"/>
      <c r="B50" s="435">
        <f>SUM(B23:B48)</f>
        <v>74845386.000000015</v>
      </c>
      <c r="C50" s="208"/>
      <c r="D50" s="272">
        <v>63230672.219999969</v>
      </c>
      <c r="E50" s="208"/>
      <c r="F50" s="213"/>
      <c r="G50" s="244"/>
      <c r="H50" s="217"/>
      <c r="I50" s="294"/>
      <c r="J50" s="294"/>
      <c r="K50" s="294"/>
      <c r="L50" s="356"/>
    </row>
    <row r="51" spans="1:13" s="205" customFormat="1" ht="9" customHeight="1">
      <c r="A51" s="208" t="s">
        <v>441</v>
      </c>
      <c r="B51" s="126"/>
      <c r="C51" s="208"/>
      <c r="D51" s="259"/>
      <c r="E51" s="208"/>
      <c r="F51" s="213"/>
      <c r="G51" s="244"/>
      <c r="H51" s="217"/>
      <c r="I51" s="294"/>
      <c r="J51" s="294"/>
      <c r="K51" s="294"/>
      <c r="L51" s="244"/>
    </row>
    <row r="52" spans="1:13" s="205" customFormat="1" ht="15.75" customHeight="1" thickBot="1">
      <c r="A52" s="129" t="s">
        <v>3043</v>
      </c>
      <c r="B52" s="433">
        <f>B20-B50</f>
        <v>1142663.0999999791</v>
      </c>
      <c r="C52" s="126"/>
      <c r="D52" s="292">
        <v>-3138632.569999963</v>
      </c>
      <c r="E52" s="126"/>
      <c r="F52" s="213"/>
      <c r="G52" s="244"/>
      <c r="H52" s="217"/>
      <c r="I52" s="294"/>
      <c r="J52" s="294"/>
      <c r="K52" s="294"/>
      <c r="L52" s="244"/>
    </row>
    <row r="53" spans="1:13" s="205" customFormat="1" ht="12" customHeight="1" thickTop="1">
      <c r="A53" s="204"/>
      <c r="B53" s="126"/>
      <c r="C53" s="211"/>
      <c r="D53" s="272"/>
      <c r="E53" s="126"/>
      <c r="F53" s="213"/>
      <c r="G53" s="244"/>
      <c r="H53" s="217"/>
      <c r="I53" s="294"/>
      <c r="J53" s="294"/>
      <c r="K53" s="294"/>
      <c r="L53" s="244"/>
    </row>
    <row r="54" spans="1:13" s="205" customFormat="1" ht="15.75" customHeight="1">
      <c r="A54" s="126"/>
      <c r="B54" s="295"/>
      <c r="C54" s="126"/>
      <c r="D54" s="213"/>
      <c r="E54" s="126"/>
      <c r="F54" s="213"/>
      <c r="G54" s="244"/>
      <c r="H54" s="213"/>
      <c r="I54" s="294"/>
      <c r="J54" s="294"/>
      <c r="K54" s="294"/>
      <c r="L54" s="244"/>
    </row>
    <row r="55" spans="1:13" s="205" customFormat="1" ht="15.75" customHeight="1">
      <c r="A55" s="126"/>
      <c r="B55" s="126"/>
      <c r="C55" s="126"/>
      <c r="D55" s="210"/>
      <c r="E55" s="126"/>
      <c r="F55" s="219"/>
      <c r="G55" s="223"/>
      <c r="H55" s="219"/>
      <c r="I55" s="294"/>
      <c r="J55" s="294"/>
      <c r="K55" s="294"/>
      <c r="L55" s="244"/>
    </row>
    <row r="56" spans="1:13" s="205" customFormat="1" ht="15.75" customHeight="1">
      <c r="A56" s="126"/>
      <c r="B56" s="243"/>
      <c r="C56" s="126"/>
      <c r="D56" s="355"/>
      <c r="E56" s="126"/>
      <c r="F56" s="244"/>
      <c r="G56" s="244"/>
      <c r="H56" s="244"/>
      <c r="I56" s="294"/>
      <c r="J56" s="294"/>
      <c r="K56" s="294"/>
      <c r="M56" s="278"/>
    </row>
    <row r="57" spans="1:13" s="205" customFormat="1">
      <c r="A57" s="208"/>
      <c r="B57" s="208"/>
      <c r="C57" s="208"/>
      <c r="D57" s="355"/>
      <c r="E57" s="208"/>
      <c r="F57" s="244"/>
      <c r="G57" s="243"/>
      <c r="H57" s="244"/>
      <c r="I57" s="294"/>
      <c r="J57" s="294"/>
      <c r="K57" s="294"/>
      <c r="L57" s="240"/>
      <c r="M57" s="279"/>
    </row>
    <row r="58" spans="1:13" s="205" customFormat="1">
      <c r="A58" s="126"/>
      <c r="B58" s="126"/>
      <c r="C58" s="126"/>
      <c r="D58" s="355"/>
      <c r="E58" s="126"/>
      <c r="F58" s="244"/>
      <c r="G58" s="244"/>
      <c r="H58" s="213"/>
      <c r="I58" s="294"/>
      <c r="J58" s="294"/>
      <c r="K58" s="294"/>
      <c r="L58" s="240"/>
      <c r="M58" s="279"/>
    </row>
    <row r="59" spans="1:13">
      <c r="B59" s="237"/>
      <c r="D59" s="237"/>
      <c r="F59" s="220"/>
      <c r="H59" s="213"/>
      <c r="I59" s="294"/>
      <c r="J59" s="294"/>
      <c r="K59" s="294"/>
      <c r="L59" s="240"/>
      <c r="M59" s="279"/>
    </row>
    <row r="60" spans="1:13">
      <c r="D60" s="355"/>
      <c r="F60" s="244"/>
      <c r="G60" s="244"/>
      <c r="H60" s="213"/>
      <c r="I60" s="294"/>
      <c r="J60" s="294"/>
      <c r="K60" s="294"/>
      <c r="L60" s="240"/>
      <c r="M60" s="279"/>
    </row>
    <row r="61" spans="1:13">
      <c r="B61" s="247"/>
      <c r="D61" s="355"/>
      <c r="F61" s="244"/>
      <c r="G61" s="244"/>
      <c r="H61" s="213"/>
      <c r="I61" s="294"/>
      <c r="J61" s="294"/>
      <c r="K61" s="294"/>
      <c r="L61" s="240"/>
      <c r="M61" s="279"/>
    </row>
    <row r="62" spans="1:13">
      <c r="D62" s="355"/>
      <c r="F62" s="244"/>
      <c r="G62" s="244"/>
      <c r="H62" s="213"/>
      <c r="I62" s="294"/>
      <c r="J62" s="294"/>
      <c r="K62" s="294"/>
      <c r="L62" s="240"/>
      <c r="M62" s="279"/>
    </row>
    <row r="63" spans="1:13">
      <c r="D63" s="355"/>
      <c r="F63" s="244"/>
      <c r="G63" s="244"/>
      <c r="H63" s="213"/>
      <c r="I63" s="294"/>
      <c r="J63" s="294"/>
      <c r="K63" s="294"/>
      <c r="L63" s="240"/>
      <c r="M63" s="279"/>
    </row>
    <row r="64" spans="1:13">
      <c r="D64" s="355"/>
      <c r="F64" s="244"/>
      <c r="G64" s="244"/>
      <c r="H64" s="213"/>
      <c r="I64" s="294"/>
      <c r="J64" s="294"/>
      <c r="K64" s="294"/>
      <c r="L64" s="240"/>
      <c r="M64" s="279"/>
    </row>
    <row r="65" spans="4:13">
      <c r="D65" s="355"/>
      <c r="F65" s="244"/>
      <c r="G65" s="244"/>
      <c r="H65" s="213"/>
      <c r="I65" s="294"/>
      <c r="J65" s="294"/>
      <c r="K65" s="294"/>
      <c r="L65" s="240"/>
      <c r="M65" s="279"/>
    </row>
    <row r="66" spans="4:13">
      <c r="D66" s="355"/>
      <c r="F66" s="244"/>
      <c r="G66" s="244"/>
      <c r="H66" s="213"/>
      <c r="I66" s="294"/>
      <c r="J66" s="294"/>
      <c r="K66" s="294"/>
      <c r="L66" s="240"/>
      <c r="M66" s="279"/>
    </row>
    <row r="67" spans="4:13">
      <c r="D67" s="355"/>
      <c r="F67" s="244"/>
      <c r="G67" s="244"/>
      <c r="H67" s="213"/>
      <c r="I67" s="294"/>
      <c r="J67" s="294"/>
      <c r="K67" s="294"/>
      <c r="L67" s="240"/>
      <c r="M67" s="279"/>
    </row>
    <row r="68" spans="4:13">
      <c r="D68" s="355"/>
      <c r="F68" s="244"/>
      <c r="G68" s="244"/>
      <c r="H68" s="213"/>
      <c r="I68" s="294"/>
      <c r="J68" s="294"/>
      <c r="K68" s="294"/>
      <c r="L68" s="240"/>
      <c r="M68" s="279"/>
    </row>
    <row r="69" spans="4:13">
      <c r="D69" s="355"/>
      <c r="F69" s="244"/>
      <c r="G69" s="244"/>
      <c r="H69" s="213"/>
      <c r="I69" s="294"/>
      <c r="J69" s="294"/>
      <c r="K69" s="294"/>
      <c r="L69" s="240"/>
      <c r="M69" s="279"/>
    </row>
    <row r="70" spans="4:13">
      <c r="D70" s="355"/>
      <c r="F70" s="244"/>
      <c r="G70" s="244"/>
      <c r="H70" s="213"/>
      <c r="I70" s="294"/>
      <c r="J70" s="294"/>
      <c r="K70" s="294"/>
      <c r="L70" s="240"/>
      <c r="M70" s="279"/>
    </row>
    <row r="71" spans="4:13">
      <c r="D71" s="355"/>
      <c r="F71" s="244"/>
      <c r="G71" s="244"/>
      <c r="H71" s="213"/>
      <c r="I71" s="294"/>
      <c r="J71" s="294"/>
      <c r="K71" s="294"/>
      <c r="L71" s="240"/>
      <c r="M71" s="279"/>
    </row>
    <row r="72" spans="4:13">
      <c r="D72" s="355"/>
      <c r="F72" s="244"/>
      <c r="G72" s="244"/>
      <c r="H72" s="213"/>
      <c r="I72" s="294"/>
      <c r="J72" s="294"/>
      <c r="K72" s="294"/>
      <c r="L72" s="240"/>
      <c r="M72" s="279"/>
    </row>
    <row r="73" spans="4:13">
      <c r="D73" s="355"/>
      <c r="F73" s="244"/>
      <c r="G73" s="244"/>
      <c r="H73" s="213"/>
      <c r="I73" s="294"/>
      <c r="J73" s="294"/>
      <c r="K73" s="294"/>
      <c r="L73" s="240"/>
      <c r="M73" s="279"/>
    </row>
    <row r="74" spans="4:13">
      <c r="D74" s="355"/>
      <c r="F74" s="244"/>
      <c r="G74" s="244"/>
      <c r="H74" s="213"/>
      <c r="I74" s="294"/>
      <c r="J74" s="294"/>
      <c r="K74" s="294"/>
      <c r="L74" s="240"/>
      <c r="M74" s="279"/>
    </row>
    <row r="75" spans="4:13">
      <c r="D75" s="355"/>
      <c r="F75" s="244"/>
      <c r="G75" s="244"/>
      <c r="H75" s="213"/>
      <c r="I75" s="294"/>
      <c r="J75" s="294"/>
      <c r="K75" s="294"/>
      <c r="L75" s="240"/>
      <c r="M75" s="279"/>
    </row>
    <row r="76" spans="4:13">
      <c r="D76" s="355"/>
      <c r="F76" s="244"/>
      <c r="G76" s="244"/>
      <c r="H76" s="213"/>
      <c r="I76" s="294"/>
      <c r="J76" s="294"/>
      <c r="K76" s="294"/>
      <c r="L76" s="240"/>
      <c r="M76" s="279"/>
    </row>
    <row r="77" spans="4:13">
      <c r="D77" s="355"/>
      <c r="F77" s="244"/>
      <c r="G77" s="244"/>
      <c r="H77" s="213"/>
      <c r="I77" s="294"/>
      <c r="J77" s="294"/>
      <c r="K77" s="294"/>
      <c r="L77" s="240"/>
      <c r="M77" s="279"/>
    </row>
    <row r="78" spans="4:13">
      <c r="D78" s="355"/>
      <c r="F78" s="244"/>
      <c r="G78" s="244"/>
      <c r="H78" s="213"/>
      <c r="I78" s="294"/>
      <c r="J78" s="294"/>
      <c r="K78" s="294"/>
      <c r="L78" s="240"/>
      <c r="M78" s="279"/>
    </row>
    <row r="79" spans="4:13">
      <c r="D79" s="355"/>
      <c r="F79" s="244"/>
      <c r="G79" s="244"/>
      <c r="H79" s="213"/>
      <c r="I79" s="294"/>
      <c r="J79" s="294"/>
      <c r="K79" s="294"/>
      <c r="L79" s="240"/>
      <c r="M79" s="279"/>
    </row>
    <row r="80" spans="4:13">
      <c r="D80" s="355"/>
      <c r="F80" s="244"/>
      <c r="G80" s="244"/>
      <c r="H80" s="213"/>
      <c r="I80" s="294"/>
      <c r="J80" s="294"/>
      <c r="K80" s="294"/>
      <c r="L80" s="240"/>
      <c r="M80" s="279"/>
    </row>
    <row r="81" spans="4:13">
      <c r="D81" s="355"/>
      <c r="F81" s="244"/>
      <c r="G81" s="244"/>
      <c r="H81" s="213"/>
      <c r="I81" s="294"/>
      <c r="J81" s="294"/>
      <c r="K81" s="294"/>
      <c r="M81" s="280"/>
    </row>
    <row r="82" spans="4:13">
      <c r="D82" s="355"/>
      <c r="F82" s="244"/>
      <c r="G82" s="244"/>
      <c r="H82" s="213"/>
      <c r="I82" s="294"/>
      <c r="J82" s="294"/>
      <c r="K82" s="294"/>
      <c r="L82" s="240"/>
      <c r="M82" s="279"/>
    </row>
    <row r="83" spans="4:13">
      <c r="D83" s="355"/>
      <c r="F83" s="244"/>
      <c r="G83" s="244"/>
      <c r="H83" s="213"/>
      <c r="I83" s="294"/>
      <c r="J83" s="294"/>
      <c r="K83" s="294"/>
      <c r="L83" s="240"/>
      <c r="M83" s="279"/>
    </row>
    <row r="84" spans="4:13">
      <c r="D84" s="355"/>
      <c r="F84" s="244"/>
      <c r="G84" s="244"/>
      <c r="H84" s="213"/>
      <c r="I84" s="294"/>
      <c r="J84" s="294"/>
      <c r="K84" s="294"/>
      <c r="L84" s="240"/>
      <c r="M84" s="279"/>
    </row>
    <row r="85" spans="4:13">
      <c r="D85" s="355"/>
      <c r="F85" s="244"/>
      <c r="G85" s="244"/>
      <c r="H85" s="213"/>
      <c r="I85" s="294"/>
      <c r="J85" s="294"/>
      <c r="K85" s="294"/>
      <c r="L85" s="240"/>
      <c r="M85" s="279"/>
    </row>
    <row r="86" spans="4:13">
      <c r="D86" s="355"/>
      <c r="F86" s="244"/>
      <c r="G86" s="244"/>
      <c r="H86" s="213"/>
      <c r="I86" s="294"/>
      <c r="J86" s="294"/>
      <c r="K86" s="294"/>
      <c r="L86" s="240"/>
      <c r="M86" s="279"/>
    </row>
    <row r="87" spans="4:13">
      <c r="D87" s="355"/>
      <c r="F87" s="244"/>
      <c r="G87" s="244"/>
      <c r="H87" s="213"/>
      <c r="I87" s="294"/>
      <c r="J87" s="294"/>
      <c r="K87" s="294"/>
      <c r="L87" s="240"/>
      <c r="M87" s="279"/>
    </row>
    <row r="88" spans="4:13">
      <c r="D88" s="355"/>
      <c r="F88" s="244"/>
      <c r="G88" s="244"/>
      <c r="H88" s="213"/>
      <c r="I88" s="294"/>
      <c r="J88" s="294"/>
      <c r="K88" s="294"/>
      <c r="L88" s="240"/>
      <c r="M88" s="279"/>
    </row>
    <row r="89" spans="4:13">
      <c r="D89" s="355"/>
      <c r="F89" s="244"/>
      <c r="G89" s="244"/>
      <c r="H89" s="213"/>
      <c r="I89" s="294"/>
      <c r="J89" s="294"/>
      <c r="K89" s="294"/>
      <c r="L89" s="240"/>
      <c r="M89" s="279"/>
    </row>
    <row r="90" spans="4:13">
      <c r="D90" s="355"/>
      <c r="F90" s="244"/>
      <c r="G90" s="244"/>
      <c r="H90" s="213"/>
      <c r="I90" s="294"/>
      <c r="J90" s="294"/>
      <c r="K90" s="294"/>
      <c r="L90" s="240"/>
      <c r="M90" s="279"/>
    </row>
    <row r="91" spans="4:13">
      <c r="D91" s="355"/>
      <c r="F91" s="244"/>
      <c r="G91" s="244"/>
      <c r="H91" s="213"/>
      <c r="I91" s="294"/>
      <c r="J91" s="294"/>
      <c r="K91" s="294"/>
      <c r="L91" s="240"/>
      <c r="M91" s="279"/>
    </row>
    <row r="92" spans="4:13">
      <c r="D92" s="355"/>
      <c r="F92" s="244"/>
      <c r="G92" s="244"/>
      <c r="H92" s="213"/>
      <c r="I92" s="294"/>
      <c r="J92" s="294"/>
      <c r="K92" s="294"/>
      <c r="L92" s="240"/>
      <c r="M92" s="279"/>
    </row>
    <row r="93" spans="4:13">
      <c r="D93" s="355"/>
      <c r="F93" s="244"/>
      <c r="G93" s="244"/>
      <c r="H93" s="213"/>
      <c r="I93" s="294"/>
      <c r="J93" s="294"/>
      <c r="K93" s="294"/>
      <c r="L93" s="240"/>
      <c r="M93" s="279"/>
    </row>
    <row r="94" spans="4:13">
      <c r="D94" s="355"/>
      <c r="F94" s="244"/>
      <c r="G94" s="244"/>
      <c r="H94" s="213"/>
      <c r="I94" s="294"/>
      <c r="J94" s="294"/>
      <c r="K94" s="294"/>
      <c r="L94" s="240"/>
      <c r="M94" s="279"/>
    </row>
    <row r="95" spans="4:13">
      <c r="D95" s="355"/>
      <c r="F95" s="244"/>
      <c r="G95" s="244"/>
      <c r="H95" s="213"/>
      <c r="I95" s="294"/>
      <c r="J95" s="294"/>
      <c r="K95" s="294"/>
      <c r="L95" s="240"/>
      <c r="M95" s="279"/>
    </row>
    <row r="96" spans="4:13">
      <c r="D96" s="355"/>
      <c r="F96" s="244"/>
      <c r="G96" s="244"/>
      <c r="H96" s="213"/>
      <c r="I96" s="294"/>
      <c r="J96" s="294"/>
      <c r="K96" s="294"/>
      <c r="L96" s="240"/>
      <c r="M96" s="279"/>
    </row>
    <row r="97" spans="4:13">
      <c r="D97" s="355"/>
      <c r="F97" s="244"/>
      <c r="G97" s="244"/>
      <c r="H97" s="213"/>
      <c r="I97" s="294"/>
      <c r="J97" s="294"/>
      <c r="K97" s="294"/>
      <c r="L97" s="240"/>
      <c r="M97" s="279"/>
    </row>
    <row r="98" spans="4:13">
      <c r="D98" s="355"/>
      <c r="F98" s="244"/>
      <c r="G98" s="244"/>
      <c r="H98" s="213"/>
      <c r="I98" s="294"/>
      <c r="J98" s="294"/>
      <c r="K98" s="294"/>
      <c r="L98" s="240"/>
      <c r="M98" s="279"/>
    </row>
    <row r="99" spans="4:13">
      <c r="D99" s="355"/>
      <c r="F99" s="244"/>
      <c r="G99" s="244"/>
      <c r="H99" s="213"/>
      <c r="I99" s="294"/>
      <c r="J99" s="294"/>
      <c r="K99" s="294"/>
      <c r="L99" s="240"/>
      <c r="M99" s="279"/>
    </row>
    <row r="100" spans="4:13">
      <c r="D100" s="355"/>
      <c r="F100" s="244"/>
      <c r="G100" s="244"/>
      <c r="H100" s="213"/>
      <c r="I100" s="294"/>
      <c r="J100" s="294"/>
      <c r="K100" s="294"/>
      <c r="L100" s="240"/>
      <c r="M100" s="279"/>
    </row>
    <row r="101" spans="4:13">
      <c r="D101" s="355"/>
      <c r="F101" s="244"/>
      <c r="G101" s="244"/>
      <c r="H101" s="213"/>
      <c r="I101" s="294"/>
      <c r="J101" s="294"/>
      <c r="K101" s="294"/>
      <c r="L101" s="240"/>
      <c r="M101" s="279"/>
    </row>
    <row r="102" spans="4:13">
      <c r="D102" s="355"/>
      <c r="F102" s="244"/>
      <c r="G102" s="244"/>
      <c r="H102" s="213"/>
      <c r="I102" s="294"/>
      <c r="J102" s="294"/>
      <c r="K102" s="294"/>
      <c r="L102" s="240"/>
      <c r="M102" s="279"/>
    </row>
    <row r="103" spans="4:13">
      <c r="D103" s="355"/>
      <c r="F103" s="244"/>
      <c r="G103" s="244"/>
      <c r="H103" s="213"/>
      <c r="I103" s="294"/>
      <c r="J103" s="294"/>
      <c r="K103" s="294"/>
      <c r="L103" s="240"/>
      <c r="M103" s="279"/>
    </row>
    <row r="104" spans="4:13">
      <c r="D104" s="355"/>
      <c r="F104" s="244"/>
      <c r="G104" s="244"/>
      <c r="H104" s="213"/>
      <c r="I104" s="294"/>
      <c r="J104" s="294"/>
      <c r="K104" s="294"/>
      <c r="L104" s="240"/>
      <c r="M104" s="279"/>
    </row>
    <row r="105" spans="4:13">
      <c r="D105" s="355"/>
      <c r="F105" s="244"/>
      <c r="G105" s="244"/>
      <c r="H105" s="244"/>
      <c r="I105" s="294"/>
      <c r="J105" s="294"/>
      <c r="K105" s="294"/>
      <c r="L105" s="240"/>
      <c r="M105" s="279"/>
    </row>
    <row r="106" spans="4:13">
      <c r="D106" s="355"/>
      <c r="F106" s="244"/>
      <c r="G106" s="244"/>
      <c r="H106" s="244"/>
      <c r="I106" s="294"/>
      <c r="J106" s="294"/>
      <c r="K106" s="294"/>
      <c r="L106" s="240"/>
      <c r="M106" s="279"/>
    </row>
    <row r="107" spans="4:13">
      <c r="D107" s="355"/>
      <c r="F107" s="244"/>
      <c r="G107" s="244"/>
      <c r="H107" s="244"/>
      <c r="I107" s="294"/>
      <c r="J107" s="294"/>
      <c r="K107" s="294"/>
      <c r="L107" s="240"/>
      <c r="M107" s="279"/>
    </row>
    <row r="108" spans="4:13">
      <c r="D108" s="355"/>
      <c r="F108" s="244"/>
      <c r="G108" s="244"/>
      <c r="H108" s="244"/>
      <c r="I108" s="294"/>
      <c r="J108" s="294"/>
      <c r="K108" s="294"/>
      <c r="L108" s="240"/>
      <c r="M108" s="279"/>
    </row>
    <row r="109" spans="4:13">
      <c r="D109" s="355"/>
      <c r="F109" s="244"/>
      <c r="G109" s="244"/>
      <c r="H109" s="244"/>
      <c r="I109" s="294"/>
      <c r="J109" s="294"/>
      <c r="K109" s="294"/>
      <c r="L109" s="240"/>
      <c r="M109" s="279"/>
    </row>
    <row r="110" spans="4:13">
      <c r="D110" s="355"/>
      <c r="F110" s="244"/>
      <c r="G110" s="244"/>
      <c r="H110" s="244"/>
      <c r="I110" s="294"/>
      <c r="J110" s="294"/>
      <c r="K110" s="294"/>
      <c r="L110" s="240"/>
      <c r="M110" s="279"/>
    </row>
    <row r="111" spans="4:13">
      <c r="D111" s="355"/>
      <c r="F111" s="244"/>
      <c r="G111" s="244"/>
      <c r="H111" s="244"/>
      <c r="I111" s="294"/>
      <c r="J111" s="294"/>
      <c r="K111" s="294"/>
      <c r="M111" s="276"/>
    </row>
    <row r="112" spans="4:13">
      <c r="D112" s="355"/>
      <c r="F112" s="244"/>
      <c r="G112" s="244"/>
      <c r="H112" s="244"/>
      <c r="I112" s="294"/>
      <c r="J112" s="294"/>
      <c r="K112" s="294"/>
      <c r="M112" s="276"/>
    </row>
    <row r="113" spans="4:13">
      <c r="D113" s="355"/>
      <c r="F113" s="244"/>
      <c r="G113" s="244"/>
      <c r="H113" s="244"/>
      <c r="I113" s="294"/>
      <c r="J113" s="294"/>
      <c r="K113" s="294"/>
      <c r="L113" s="240"/>
      <c r="M113" s="279"/>
    </row>
    <row r="114" spans="4:13">
      <c r="D114" s="355"/>
      <c r="F114" s="244"/>
      <c r="G114" s="244"/>
      <c r="H114" s="244"/>
      <c r="I114" s="294"/>
      <c r="J114" s="294"/>
      <c r="K114" s="294"/>
      <c r="L114" s="240"/>
      <c r="M114" s="279"/>
    </row>
    <row r="115" spans="4:13">
      <c r="D115" s="355"/>
      <c r="F115" s="244"/>
      <c r="G115" s="244"/>
      <c r="H115" s="244"/>
      <c r="I115" s="294"/>
      <c r="J115" s="294"/>
      <c r="K115" s="294"/>
      <c r="M115" s="276"/>
    </row>
    <row r="116" spans="4:13">
      <c r="D116" s="355"/>
      <c r="F116" s="244"/>
      <c r="G116" s="244"/>
      <c r="H116" s="244"/>
      <c r="I116" s="294"/>
      <c r="J116" s="294"/>
      <c r="K116" s="294"/>
      <c r="M116" s="276"/>
    </row>
    <row r="117" spans="4:13">
      <c r="D117" s="355"/>
      <c r="F117" s="244"/>
      <c r="G117" s="244"/>
      <c r="H117" s="244"/>
      <c r="I117" s="294"/>
      <c r="J117" s="294"/>
      <c r="K117" s="294"/>
      <c r="M117" s="276"/>
    </row>
    <row r="118" spans="4:13">
      <c r="D118" s="355"/>
      <c r="F118" s="244"/>
      <c r="G118" s="244"/>
      <c r="H118" s="244"/>
      <c r="I118" s="294"/>
      <c r="J118" s="294"/>
      <c r="K118" s="294"/>
      <c r="L118" s="240"/>
      <c r="M118" s="279"/>
    </row>
    <row r="119" spans="4:13">
      <c r="D119" s="224"/>
      <c r="F119" s="244"/>
      <c r="G119" s="244"/>
      <c r="H119" s="244"/>
      <c r="I119" s="294"/>
      <c r="J119" s="294"/>
      <c r="K119" s="294"/>
      <c r="L119" s="240"/>
      <c r="M119" s="279"/>
    </row>
    <row r="120" spans="4:13">
      <c r="D120" s="224"/>
      <c r="F120" s="244"/>
      <c r="G120" s="244"/>
      <c r="H120" s="244"/>
      <c r="I120" s="294"/>
      <c r="J120" s="294"/>
      <c r="K120" s="294"/>
      <c r="L120" s="240"/>
      <c r="M120" s="279"/>
    </row>
    <row r="121" spans="4:13">
      <c r="D121" s="224"/>
      <c r="F121" s="244"/>
      <c r="G121" s="244"/>
      <c r="H121" s="244"/>
      <c r="I121" s="294"/>
      <c r="J121" s="294"/>
      <c r="K121" s="294"/>
      <c r="L121" s="240"/>
      <c r="M121" s="279"/>
    </row>
    <row r="122" spans="4:13">
      <c r="D122" s="224"/>
      <c r="F122" s="244"/>
      <c r="G122" s="244"/>
      <c r="H122" s="244"/>
      <c r="I122" s="294"/>
      <c r="J122" s="294"/>
      <c r="K122" s="294"/>
      <c r="L122" s="240"/>
      <c r="M122" s="279"/>
    </row>
    <row r="123" spans="4:13">
      <c r="D123" s="224"/>
      <c r="F123" s="244"/>
      <c r="G123" s="244"/>
      <c r="H123" s="244"/>
      <c r="I123" s="294"/>
      <c r="J123" s="294"/>
      <c r="K123" s="294"/>
      <c r="L123" s="240"/>
      <c r="M123" s="279"/>
    </row>
    <row r="124" spans="4:13">
      <c r="D124" s="224"/>
      <c r="F124" s="244"/>
      <c r="G124" s="244"/>
      <c r="H124" s="244"/>
      <c r="I124" s="294"/>
      <c r="J124" s="294"/>
      <c r="K124" s="294"/>
      <c r="L124" s="240"/>
      <c r="M124" s="279"/>
    </row>
    <row r="125" spans="4:13">
      <c r="D125" s="224"/>
      <c r="F125" s="244"/>
      <c r="G125" s="244"/>
      <c r="H125" s="244"/>
      <c r="I125" s="294"/>
      <c r="J125" s="294"/>
      <c r="K125" s="294"/>
      <c r="L125" s="240"/>
      <c r="M125" s="279"/>
    </row>
    <row r="126" spans="4:13">
      <c r="D126" s="224"/>
      <c r="F126" s="244"/>
      <c r="G126" s="244"/>
      <c r="H126" s="244"/>
      <c r="I126" s="294"/>
      <c r="J126" s="294"/>
      <c r="K126" s="294"/>
      <c r="L126" s="240"/>
      <c r="M126" s="279"/>
    </row>
    <row r="127" spans="4:13">
      <c r="D127" s="224"/>
      <c r="F127" s="244"/>
      <c r="G127" s="244"/>
      <c r="H127" s="244"/>
      <c r="I127" s="294"/>
      <c r="J127" s="294"/>
      <c r="K127" s="294"/>
      <c r="L127" s="240"/>
      <c r="M127" s="279"/>
    </row>
    <row r="128" spans="4:13">
      <c r="D128" s="224"/>
      <c r="F128" s="244"/>
      <c r="G128" s="244"/>
      <c r="H128" s="244"/>
      <c r="I128" s="294"/>
      <c r="J128" s="294"/>
      <c r="K128" s="294"/>
      <c r="M128" s="280"/>
    </row>
    <row r="129" spans="4:13">
      <c r="D129" s="224"/>
      <c r="F129" s="244"/>
      <c r="G129" s="244"/>
      <c r="H129" s="244"/>
      <c r="I129" s="294"/>
      <c r="J129" s="294"/>
      <c r="K129" s="294"/>
      <c r="M129" s="276"/>
    </row>
    <row r="130" spans="4:13">
      <c r="I130" s="294"/>
      <c r="J130" s="294"/>
      <c r="K130" s="294"/>
      <c r="L130" s="243"/>
      <c r="M130" s="243"/>
    </row>
    <row r="131" spans="4:13">
      <c r="I131" s="294"/>
      <c r="J131" s="294"/>
      <c r="K131" s="294"/>
      <c r="M131" s="276"/>
    </row>
    <row r="132" spans="4:13" ht="15" customHeight="1">
      <c r="I132" s="294"/>
      <c r="J132" s="294"/>
      <c r="K132" s="294"/>
      <c r="M132" s="280"/>
    </row>
    <row r="133" spans="4:13">
      <c r="I133" s="294"/>
      <c r="J133" s="294"/>
      <c r="K133" s="294"/>
      <c r="M133" s="276"/>
    </row>
    <row r="134" spans="4:13">
      <c r="I134" s="294"/>
      <c r="J134" s="294"/>
      <c r="K134" s="294"/>
      <c r="L134" s="240"/>
      <c r="M134" s="279"/>
    </row>
    <row r="135" spans="4:13">
      <c r="I135" s="294"/>
      <c r="J135" s="294"/>
      <c r="K135" s="294"/>
      <c r="L135" s="240"/>
      <c r="M135" s="279"/>
    </row>
    <row r="136" spans="4:13">
      <c r="I136" s="294"/>
      <c r="J136" s="294"/>
      <c r="K136" s="294"/>
      <c r="L136" s="240"/>
      <c r="M136" s="279"/>
    </row>
    <row r="137" spans="4:13">
      <c r="I137" s="294"/>
      <c r="J137" s="294"/>
      <c r="K137" s="294"/>
      <c r="L137" s="240"/>
      <c r="M137" s="279"/>
    </row>
    <row r="138" spans="4:13">
      <c r="I138" s="294"/>
      <c r="J138" s="294"/>
      <c r="K138" s="294"/>
      <c r="L138" s="240"/>
      <c r="M138" s="279"/>
    </row>
    <row r="139" spans="4:13">
      <c r="I139" s="294"/>
      <c r="J139" s="294"/>
      <c r="K139" s="294"/>
      <c r="L139" s="240"/>
      <c r="M139" s="279"/>
    </row>
    <row r="140" spans="4:13">
      <c r="I140" s="294"/>
      <c r="J140" s="294"/>
      <c r="K140" s="294"/>
      <c r="L140" s="240"/>
      <c r="M140" s="279"/>
    </row>
    <row r="141" spans="4:13">
      <c r="I141" s="294"/>
      <c r="J141" s="294"/>
      <c r="K141" s="294"/>
      <c r="L141" s="240"/>
      <c r="M141" s="279"/>
    </row>
    <row r="142" spans="4:13">
      <c r="I142" s="294"/>
      <c r="J142" s="294"/>
      <c r="K142" s="294"/>
      <c r="L142" s="240"/>
      <c r="M142" s="279"/>
    </row>
    <row r="143" spans="4:13">
      <c r="I143" s="294"/>
      <c r="J143" s="294"/>
      <c r="K143" s="294"/>
      <c r="L143" s="240"/>
      <c r="M143" s="279"/>
    </row>
    <row r="144" spans="4:13">
      <c r="I144" s="294"/>
      <c r="J144" s="294"/>
      <c r="K144" s="294"/>
      <c r="L144" s="240"/>
      <c r="M144" s="279"/>
    </row>
    <row r="145" spans="9:13">
      <c r="I145" s="294"/>
      <c r="J145" s="294"/>
      <c r="K145" s="294"/>
      <c r="L145" s="240"/>
      <c r="M145" s="279"/>
    </row>
    <row r="146" spans="9:13">
      <c r="I146" s="294"/>
      <c r="J146" s="294"/>
      <c r="K146" s="294"/>
      <c r="L146" s="240"/>
      <c r="M146" s="279"/>
    </row>
    <row r="147" spans="9:13">
      <c r="I147" s="294"/>
      <c r="J147" s="294"/>
      <c r="K147" s="294"/>
      <c r="L147" s="240"/>
      <c r="M147" s="279"/>
    </row>
    <row r="148" spans="9:13">
      <c r="I148" s="294"/>
      <c r="J148" s="294"/>
      <c r="K148" s="294"/>
      <c r="L148" s="240"/>
      <c r="M148" s="279"/>
    </row>
    <row r="149" spans="9:13">
      <c r="I149" s="294"/>
      <c r="J149" s="294"/>
      <c r="K149" s="294"/>
      <c r="L149" s="240"/>
      <c r="M149" s="279"/>
    </row>
    <row r="150" spans="9:13">
      <c r="I150" s="294"/>
      <c r="J150" s="294"/>
      <c r="K150" s="294"/>
      <c r="L150" s="240"/>
      <c r="M150" s="279"/>
    </row>
    <row r="151" spans="9:13">
      <c r="I151" s="294"/>
      <c r="J151" s="294"/>
      <c r="K151" s="294"/>
      <c r="L151" s="240"/>
      <c r="M151" s="279"/>
    </row>
    <row r="152" spans="9:13">
      <c r="I152" s="294"/>
      <c r="J152" s="294"/>
      <c r="K152" s="294"/>
      <c r="L152" s="240"/>
      <c r="M152" s="279"/>
    </row>
    <row r="153" spans="9:13">
      <c r="I153" s="294"/>
      <c r="J153" s="294"/>
      <c r="K153" s="294"/>
      <c r="L153" s="240"/>
      <c r="M153" s="279"/>
    </row>
    <row r="154" spans="9:13">
      <c r="I154" s="294"/>
      <c r="J154" s="294"/>
      <c r="K154" s="294"/>
      <c r="L154" s="240"/>
      <c r="M154" s="279"/>
    </row>
    <row r="155" spans="9:13">
      <c r="I155" s="294"/>
      <c r="J155" s="294"/>
      <c r="K155" s="294"/>
      <c r="L155" s="240"/>
      <c r="M155" s="279"/>
    </row>
    <row r="156" spans="9:13">
      <c r="I156" s="294"/>
      <c r="J156" s="294"/>
      <c r="K156" s="294"/>
      <c r="L156" s="240"/>
      <c r="M156" s="279"/>
    </row>
    <row r="157" spans="9:13">
      <c r="I157" s="294"/>
      <c r="J157" s="294"/>
      <c r="K157" s="294"/>
      <c r="L157" s="240"/>
      <c r="M157" s="279"/>
    </row>
    <row r="158" spans="9:13">
      <c r="I158" s="294"/>
      <c r="J158" s="294"/>
      <c r="K158" s="294"/>
      <c r="L158" s="240"/>
      <c r="M158" s="279"/>
    </row>
    <row r="159" spans="9:13">
      <c r="I159" s="294"/>
      <c r="J159" s="294"/>
      <c r="K159" s="294"/>
      <c r="L159" s="240"/>
      <c r="M159" s="279"/>
    </row>
    <row r="160" spans="9:13">
      <c r="I160" s="294"/>
      <c r="J160" s="294"/>
      <c r="K160" s="294"/>
      <c r="L160" s="240"/>
      <c r="M160" s="279"/>
    </row>
    <row r="161" spans="9:13">
      <c r="I161" s="294"/>
      <c r="J161" s="294"/>
      <c r="K161" s="294"/>
      <c r="L161" s="240"/>
      <c r="M161" s="279"/>
    </row>
    <row r="162" spans="9:13">
      <c r="I162" s="294"/>
      <c r="J162" s="294"/>
      <c r="K162" s="294"/>
      <c r="L162" s="240"/>
      <c r="M162" s="279"/>
    </row>
    <row r="163" spans="9:13">
      <c r="I163" s="294"/>
      <c r="J163" s="294"/>
      <c r="K163" s="294"/>
      <c r="L163" s="240"/>
      <c r="M163" s="279"/>
    </row>
    <row r="164" spans="9:13">
      <c r="I164" s="294"/>
      <c r="J164" s="294"/>
      <c r="K164" s="294"/>
      <c r="L164" s="240"/>
      <c r="M164" s="279"/>
    </row>
    <row r="165" spans="9:13">
      <c r="I165" s="294"/>
      <c r="J165" s="294"/>
      <c r="K165" s="294"/>
      <c r="L165" s="240"/>
      <c r="M165" s="279"/>
    </row>
    <row r="166" spans="9:13">
      <c r="I166" s="294"/>
      <c r="J166" s="294"/>
      <c r="K166" s="294"/>
      <c r="L166" s="240"/>
      <c r="M166" s="279"/>
    </row>
    <row r="167" spans="9:13">
      <c r="I167" s="294"/>
      <c r="J167" s="294"/>
      <c r="K167" s="294"/>
      <c r="L167" s="240"/>
      <c r="M167" s="279"/>
    </row>
    <row r="168" spans="9:13">
      <c r="I168" s="294"/>
      <c r="J168" s="294"/>
      <c r="K168" s="294"/>
      <c r="L168" s="240"/>
      <c r="M168" s="279"/>
    </row>
    <row r="169" spans="9:13">
      <c r="I169" s="294"/>
      <c r="J169" s="294"/>
      <c r="K169" s="294"/>
      <c r="L169" s="240"/>
      <c r="M169" s="279"/>
    </row>
    <row r="170" spans="9:13">
      <c r="I170" s="294"/>
      <c r="J170" s="294"/>
      <c r="K170" s="294"/>
      <c r="L170" s="240"/>
      <c r="M170" s="279"/>
    </row>
    <row r="171" spans="9:13">
      <c r="I171" s="294"/>
      <c r="J171" s="294"/>
      <c r="K171" s="294"/>
      <c r="L171" s="240"/>
      <c r="M171" s="279"/>
    </row>
    <row r="172" spans="9:13">
      <c r="I172" s="294"/>
      <c r="J172" s="294"/>
      <c r="K172" s="294"/>
      <c r="L172" s="240"/>
      <c r="M172" s="279"/>
    </row>
    <row r="173" spans="9:13">
      <c r="I173" s="294"/>
      <c r="J173" s="294"/>
      <c r="K173" s="294"/>
      <c r="L173" s="240"/>
      <c r="M173" s="279"/>
    </row>
    <row r="174" spans="9:13">
      <c r="I174" s="294"/>
      <c r="J174" s="294"/>
      <c r="K174" s="294"/>
      <c r="L174" s="240"/>
      <c r="M174" s="279"/>
    </row>
    <row r="175" spans="9:13">
      <c r="I175" s="294"/>
      <c r="J175" s="294"/>
      <c r="K175" s="294"/>
      <c r="L175" s="240"/>
      <c r="M175" s="279"/>
    </row>
    <row r="176" spans="9:13">
      <c r="I176" s="294"/>
      <c r="J176" s="294"/>
      <c r="K176" s="294"/>
      <c r="L176" s="240"/>
      <c r="M176" s="279"/>
    </row>
    <row r="177" spans="9:13">
      <c r="I177" s="294"/>
      <c r="J177" s="294"/>
      <c r="K177" s="294"/>
      <c r="L177" s="240"/>
      <c r="M177" s="279"/>
    </row>
    <row r="178" spans="9:13">
      <c r="I178" s="294"/>
      <c r="J178" s="294"/>
      <c r="K178" s="294"/>
      <c r="L178" s="240"/>
      <c r="M178" s="279"/>
    </row>
    <row r="179" spans="9:13">
      <c r="I179" s="294"/>
      <c r="J179" s="294"/>
      <c r="K179" s="294"/>
      <c r="L179" s="240"/>
      <c r="M179" s="279"/>
    </row>
    <row r="180" spans="9:13">
      <c r="I180" s="294"/>
      <c r="J180" s="294"/>
      <c r="K180" s="294"/>
      <c r="L180" s="240"/>
      <c r="M180" s="279"/>
    </row>
    <row r="181" spans="9:13">
      <c r="I181" s="294"/>
      <c r="J181" s="294"/>
      <c r="K181" s="294"/>
      <c r="L181" s="240"/>
      <c r="M181" s="279"/>
    </row>
    <row r="182" spans="9:13">
      <c r="I182" s="294"/>
      <c r="J182" s="294"/>
      <c r="K182" s="294"/>
      <c r="M182" s="276"/>
    </row>
    <row r="183" spans="9:13">
      <c r="I183" s="294"/>
      <c r="J183" s="294"/>
      <c r="K183" s="294"/>
      <c r="L183" s="240"/>
      <c r="M183" s="279"/>
    </row>
    <row r="184" spans="9:13">
      <c r="I184" s="294"/>
      <c r="J184" s="294"/>
      <c r="K184" s="294"/>
      <c r="L184" s="240"/>
      <c r="M184" s="279"/>
    </row>
    <row r="185" spans="9:13">
      <c r="I185" s="294"/>
      <c r="J185" s="294"/>
      <c r="K185" s="294"/>
      <c r="L185" s="240"/>
      <c r="M185" s="279"/>
    </row>
    <row r="186" spans="9:13">
      <c r="I186" s="294"/>
      <c r="J186" s="294"/>
      <c r="K186" s="294"/>
      <c r="M186" s="276"/>
    </row>
    <row r="187" spans="9:13">
      <c r="I187" s="294"/>
      <c r="J187" s="294"/>
      <c r="K187" s="294"/>
      <c r="L187" s="240"/>
      <c r="M187" s="279"/>
    </row>
    <row r="188" spans="9:13">
      <c r="I188" s="294"/>
      <c r="J188" s="294"/>
      <c r="K188" s="294"/>
      <c r="L188" s="240"/>
      <c r="M188" s="279"/>
    </row>
    <row r="189" spans="9:13">
      <c r="I189" s="294"/>
      <c r="J189" s="294"/>
      <c r="K189" s="294"/>
      <c r="M189" s="276"/>
    </row>
    <row r="190" spans="9:13">
      <c r="I190" s="294"/>
      <c r="J190" s="294"/>
      <c r="K190" s="294"/>
      <c r="L190" s="240"/>
      <c r="M190" s="279"/>
    </row>
    <row r="191" spans="9:13">
      <c r="I191" s="294"/>
      <c r="J191" s="294"/>
      <c r="K191" s="294"/>
      <c r="L191" s="240"/>
      <c r="M191" s="279"/>
    </row>
    <row r="192" spans="9:13">
      <c r="I192" s="294"/>
      <c r="J192" s="294"/>
      <c r="K192" s="294"/>
      <c r="L192" s="240"/>
      <c r="M192" s="279"/>
    </row>
    <row r="193" spans="9:13">
      <c r="I193" s="294"/>
      <c r="J193" s="294"/>
      <c r="K193" s="294"/>
      <c r="L193" s="240"/>
      <c r="M193" s="279"/>
    </row>
    <row r="194" spans="9:13">
      <c r="I194" s="294"/>
      <c r="J194" s="294"/>
      <c r="K194" s="294"/>
      <c r="L194" s="240"/>
      <c r="M194" s="279"/>
    </row>
    <row r="195" spans="9:13">
      <c r="I195" s="294"/>
      <c r="J195" s="294"/>
      <c r="K195" s="294"/>
      <c r="L195" s="240"/>
      <c r="M195" s="279"/>
    </row>
    <row r="196" spans="9:13">
      <c r="I196" s="294"/>
      <c r="J196" s="294"/>
      <c r="K196" s="294"/>
      <c r="L196" s="240"/>
      <c r="M196" s="279"/>
    </row>
    <row r="197" spans="9:13">
      <c r="I197" s="294"/>
      <c r="J197" s="294"/>
      <c r="K197" s="294"/>
      <c r="L197" s="240"/>
      <c r="M197" s="279"/>
    </row>
    <row r="198" spans="9:13">
      <c r="I198" s="294"/>
      <c r="J198" s="294"/>
      <c r="K198" s="294"/>
      <c r="L198" s="240"/>
      <c r="M198" s="279"/>
    </row>
    <row r="199" spans="9:13">
      <c r="I199" s="294"/>
      <c r="J199" s="294"/>
      <c r="K199" s="294"/>
      <c r="L199" s="240"/>
      <c r="M199" s="279"/>
    </row>
    <row r="200" spans="9:13">
      <c r="I200" s="294"/>
      <c r="J200" s="294"/>
      <c r="K200" s="294"/>
      <c r="L200" s="240"/>
      <c r="M200" s="279"/>
    </row>
    <row r="201" spans="9:13">
      <c r="I201" s="294"/>
      <c r="J201" s="294"/>
      <c r="K201" s="294"/>
      <c r="L201" s="240"/>
      <c r="M201" s="279"/>
    </row>
    <row r="202" spans="9:13">
      <c r="I202" s="294"/>
      <c r="J202" s="294"/>
      <c r="K202" s="294"/>
      <c r="L202" s="240"/>
      <c r="M202" s="279"/>
    </row>
    <row r="203" spans="9:13">
      <c r="I203" s="294"/>
      <c r="J203" s="294"/>
      <c r="K203" s="294"/>
      <c r="L203" s="240"/>
      <c r="M203" s="279"/>
    </row>
    <row r="204" spans="9:13">
      <c r="I204" s="294"/>
      <c r="J204" s="294"/>
      <c r="K204" s="294"/>
      <c r="L204" s="240"/>
      <c r="M204" s="279"/>
    </row>
    <row r="205" spans="9:13">
      <c r="I205" s="294"/>
      <c r="J205" s="294"/>
      <c r="K205" s="294"/>
      <c r="L205" s="240"/>
      <c r="M205" s="279"/>
    </row>
    <row r="206" spans="9:13">
      <c r="I206" s="294"/>
      <c r="J206" s="294"/>
      <c r="K206" s="294"/>
      <c r="L206" s="240"/>
      <c r="M206" s="279"/>
    </row>
    <row r="207" spans="9:13">
      <c r="I207" s="294"/>
      <c r="J207" s="294"/>
      <c r="K207" s="294"/>
      <c r="L207" s="240"/>
      <c r="M207" s="279"/>
    </row>
    <row r="208" spans="9:13">
      <c r="I208" s="294"/>
      <c r="J208" s="294"/>
      <c r="K208" s="294"/>
      <c r="L208" s="240"/>
      <c r="M208" s="279"/>
    </row>
    <row r="209" spans="9:13">
      <c r="I209" s="294"/>
      <c r="J209" s="294"/>
      <c r="K209" s="294"/>
      <c r="L209" s="240"/>
      <c r="M209" s="279"/>
    </row>
    <row r="210" spans="9:13">
      <c r="I210" s="294"/>
      <c r="J210" s="294"/>
      <c r="K210" s="294"/>
      <c r="L210" s="240"/>
      <c r="M210" s="279"/>
    </row>
    <row r="211" spans="9:13">
      <c r="I211" s="294"/>
      <c r="J211" s="294"/>
      <c r="K211" s="294"/>
      <c r="M211" s="280"/>
    </row>
    <row r="212" spans="9:13">
      <c r="I212" s="294"/>
      <c r="J212" s="294"/>
      <c r="K212" s="294"/>
      <c r="L212" s="240"/>
      <c r="M212" s="279"/>
    </row>
    <row r="213" spans="9:13">
      <c r="I213" s="294"/>
      <c r="J213" s="294"/>
      <c r="K213" s="294"/>
      <c r="L213" s="240"/>
      <c r="M213" s="279"/>
    </row>
    <row r="214" spans="9:13">
      <c r="I214" s="294"/>
      <c r="J214" s="294"/>
      <c r="K214" s="294"/>
      <c r="L214" s="240"/>
      <c r="M214" s="279"/>
    </row>
    <row r="215" spans="9:13">
      <c r="I215" s="294"/>
      <c r="J215" s="294"/>
      <c r="K215" s="294"/>
      <c r="L215" s="240"/>
      <c r="M215" s="279"/>
    </row>
    <row r="216" spans="9:13">
      <c r="I216" s="294"/>
      <c r="J216" s="294"/>
      <c r="K216" s="294"/>
      <c r="L216" s="240"/>
      <c r="M216" s="279"/>
    </row>
    <row r="217" spans="9:13">
      <c r="I217" s="294"/>
      <c r="J217" s="294"/>
      <c r="K217" s="294"/>
      <c r="L217" s="240"/>
      <c r="M217" s="279"/>
    </row>
    <row r="218" spans="9:13">
      <c r="I218" s="294"/>
      <c r="J218" s="294"/>
      <c r="K218" s="294"/>
      <c r="L218" s="240"/>
      <c r="M218" s="279"/>
    </row>
    <row r="219" spans="9:13">
      <c r="I219" s="294"/>
      <c r="J219" s="294"/>
      <c r="K219" s="294"/>
      <c r="L219" s="240"/>
      <c r="M219" s="279"/>
    </row>
    <row r="220" spans="9:13">
      <c r="I220" s="294"/>
      <c r="J220" s="294"/>
      <c r="K220" s="294"/>
      <c r="L220" s="240"/>
      <c r="M220" s="279"/>
    </row>
    <row r="221" spans="9:13">
      <c r="I221" s="294"/>
      <c r="J221" s="294"/>
      <c r="K221" s="294"/>
      <c r="L221" s="240"/>
      <c r="M221" s="279"/>
    </row>
    <row r="222" spans="9:13">
      <c r="I222" s="294"/>
      <c r="J222" s="294"/>
      <c r="K222" s="294"/>
      <c r="L222" s="240"/>
      <c r="M222" s="279"/>
    </row>
    <row r="223" spans="9:13">
      <c r="I223" s="294"/>
      <c r="J223" s="294"/>
      <c r="K223" s="294"/>
      <c r="L223" s="240"/>
      <c r="M223" s="279"/>
    </row>
    <row r="224" spans="9:13">
      <c r="I224" s="294"/>
      <c r="J224" s="294"/>
      <c r="K224" s="294"/>
      <c r="L224" s="240"/>
      <c r="M224" s="279"/>
    </row>
    <row r="225" spans="9:13">
      <c r="I225" s="294"/>
      <c r="J225" s="294"/>
      <c r="K225" s="294"/>
      <c r="L225" s="240"/>
      <c r="M225" s="279"/>
    </row>
    <row r="226" spans="9:13">
      <c r="I226" s="294"/>
      <c r="J226" s="294"/>
      <c r="K226" s="294"/>
      <c r="M226" s="276"/>
    </row>
    <row r="227" spans="9:13">
      <c r="I227" s="294"/>
      <c r="J227" s="294"/>
      <c r="K227" s="294"/>
      <c r="M227" s="276"/>
    </row>
    <row r="228" spans="9:13">
      <c r="I228" s="294"/>
      <c r="J228" s="294"/>
      <c r="K228" s="294"/>
      <c r="M228" s="276"/>
    </row>
    <row r="229" spans="9:13">
      <c r="I229" s="294"/>
      <c r="J229" s="294"/>
      <c r="K229" s="294"/>
      <c r="M229" s="276"/>
    </row>
    <row r="230" spans="9:13">
      <c r="I230" s="294"/>
      <c r="J230" s="294"/>
      <c r="K230" s="294"/>
      <c r="M230" s="276"/>
    </row>
    <row r="231" spans="9:13">
      <c r="I231" s="294"/>
      <c r="J231" s="294"/>
      <c r="K231" s="294"/>
      <c r="M231" s="276"/>
    </row>
    <row r="232" spans="9:13">
      <c r="I232" s="294"/>
      <c r="J232" s="294"/>
      <c r="K232" s="294"/>
      <c r="M232" s="276"/>
    </row>
    <row r="233" spans="9:13" ht="15" customHeight="1">
      <c r="I233" s="294"/>
      <c r="J233" s="294"/>
      <c r="K233" s="294"/>
      <c r="L233" s="240"/>
      <c r="M233" s="279"/>
    </row>
    <row r="234" spans="9:13">
      <c r="I234" s="294"/>
      <c r="J234" s="294"/>
      <c r="K234" s="294"/>
      <c r="M234" s="276"/>
    </row>
    <row r="235" spans="9:13">
      <c r="I235" s="294"/>
      <c r="J235" s="294"/>
      <c r="K235" s="294"/>
      <c r="M235" s="276"/>
    </row>
    <row r="236" spans="9:13">
      <c r="I236" s="294"/>
      <c r="J236" s="294"/>
      <c r="K236" s="294"/>
      <c r="M236" s="276"/>
    </row>
    <row r="237" spans="9:13">
      <c r="I237" s="294"/>
      <c r="J237" s="294"/>
      <c r="K237" s="294"/>
      <c r="M237" s="276"/>
    </row>
    <row r="238" spans="9:13">
      <c r="I238" s="294"/>
      <c r="J238" s="294"/>
      <c r="K238" s="294"/>
      <c r="M238" s="276"/>
    </row>
    <row r="239" spans="9:13">
      <c r="I239" s="294"/>
      <c r="J239" s="294"/>
      <c r="K239" s="294"/>
      <c r="M239" s="276"/>
    </row>
    <row r="240" spans="9:13">
      <c r="I240" s="294"/>
      <c r="J240" s="294"/>
      <c r="K240" s="294"/>
      <c r="M240" s="276"/>
    </row>
    <row r="241" spans="9:13">
      <c r="I241" s="294"/>
      <c r="J241" s="294"/>
      <c r="K241" s="294"/>
      <c r="M241" s="276"/>
    </row>
    <row r="242" spans="9:13">
      <c r="I242" s="294"/>
      <c r="J242" s="294"/>
      <c r="K242" s="294"/>
      <c r="L242" s="240"/>
      <c r="M242" s="279"/>
    </row>
    <row r="243" spans="9:13">
      <c r="I243" s="294"/>
      <c r="J243" s="294"/>
      <c r="K243" s="294"/>
      <c r="M243" s="276"/>
    </row>
    <row r="244" spans="9:13">
      <c r="I244" s="294"/>
      <c r="J244" s="294"/>
      <c r="K244" s="294"/>
      <c r="M244" s="276"/>
    </row>
    <row r="245" spans="9:13">
      <c r="I245" s="294"/>
      <c r="J245" s="294"/>
      <c r="K245" s="294"/>
      <c r="M245" s="276"/>
    </row>
    <row r="246" spans="9:13">
      <c r="I246" s="294"/>
      <c r="J246" s="294"/>
      <c r="K246" s="294"/>
      <c r="M246" s="276"/>
    </row>
    <row r="247" spans="9:13">
      <c r="I247" s="294"/>
      <c r="J247" s="294"/>
      <c r="K247" s="294"/>
      <c r="M247" s="276"/>
    </row>
    <row r="248" spans="9:13">
      <c r="I248" s="294"/>
      <c r="J248" s="294"/>
      <c r="K248" s="294"/>
      <c r="M248" s="276"/>
    </row>
    <row r="249" spans="9:13">
      <c r="I249" s="294"/>
      <c r="J249" s="294"/>
      <c r="K249" s="294"/>
      <c r="M249" s="276"/>
    </row>
    <row r="250" spans="9:13">
      <c r="I250" s="294"/>
      <c r="J250" s="294"/>
      <c r="K250" s="294"/>
      <c r="M250" s="276"/>
    </row>
    <row r="251" spans="9:13">
      <c r="I251" s="294"/>
      <c r="J251" s="294"/>
      <c r="K251" s="294"/>
      <c r="L251" s="240"/>
      <c r="M251" s="279"/>
    </row>
    <row r="252" spans="9:13">
      <c r="I252" s="294"/>
      <c r="J252" s="294"/>
      <c r="K252" s="294"/>
      <c r="L252" s="240"/>
      <c r="M252" s="279"/>
    </row>
    <row r="253" spans="9:13">
      <c r="I253" s="294"/>
      <c r="J253" s="294"/>
      <c r="K253" s="294"/>
      <c r="L253" s="240"/>
      <c r="M253" s="279"/>
    </row>
    <row r="254" spans="9:13">
      <c r="I254" s="294"/>
      <c r="J254" s="294"/>
      <c r="K254" s="294"/>
      <c r="L254" s="230"/>
      <c r="M254" s="281"/>
    </row>
    <row r="255" spans="9:13">
      <c r="I255" s="294"/>
      <c r="J255" s="294"/>
      <c r="K255" s="294"/>
      <c r="M255" s="276"/>
    </row>
    <row r="256" spans="9:13">
      <c r="I256" s="294"/>
      <c r="J256" s="294"/>
      <c r="K256" s="294"/>
      <c r="M256" s="276"/>
    </row>
    <row r="257" spans="9:13">
      <c r="I257" s="294"/>
      <c r="J257" s="294"/>
      <c r="K257" s="294"/>
      <c r="M257" s="276"/>
    </row>
    <row r="258" spans="9:13">
      <c r="I258" s="294"/>
      <c r="J258" s="294"/>
      <c r="K258" s="294"/>
      <c r="M258" s="276"/>
    </row>
    <row r="259" spans="9:13">
      <c r="I259" s="294"/>
      <c r="J259" s="294"/>
      <c r="K259" s="294"/>
      <c r="M259" s="276"/>
    </row>
    <row r="260" spans="9:13">
      <c r="I260" s="294"/>
      <c r="J260" s="294"/>
      <c r="K260" s="294"/>
      <c r="M260" s="276"/>
    </row>
    <row r="261" spans="9:13">
      <c r="I261" s="294"/>
      <c r="J261" s="294"/>
      <c r="K261" s="294"/>
      <c r="L261" s="240"/>
      <c r="M261" s="279"/>
    </row>
    <row r="262" spans="9:13">
      <c r="I262" s="294"/>
      <c r="J262" s="294"/>
      <c r="K262" s="294"/>
      <c r="L262" s="240"/>
      <c r="M262" s="279"/>
    </row>
    <row r="263" spans="9:13">
      <c r="I263" s="294"/>
      <c r="J263" s="294"/>
      <c r="K263" s="294"/>
      <c r="L263" s="240"/>
      <c r="M263" s="279"/>
    </row>
    <row r="264" spans="9:13">
      <c r="I264" s="294"/>
      <c r="J264" s="294"/>
      <c r="K264" s="294"/>
      <c r="L264" s="240"/>
      <c r="M264" s="279"/>
    </row>
    <row r="265" spans="9:13">
      <c r="I265" s="294"/>
      <c r="J265" s="294"/>
      <c r="K265" s="294"/>
      <c r="L265" s="240"/>
      <c r="M265" s="279"/>
    </row>
    <row r="266" spans="9:13">
      <c r="I266" s="294"/>
      <c r="J266" s="294"/>
      <c r="K266" s="294"/>
      <c r="L266" s="230"/>
      <c r="M266" s="281"/>
    </row>
    <row r="267" spans="9:13">
      <c r="I267" s="294"/>
      <c r="J267" s="294"/>
      <c r="K267" s="294"/>
      <c r="L267" s="240"/>
      <c r="M267" s="279"/>
    </row>
    <row r="268" spans="9:13">
      <c r="I268" s="294"/>
      <c r="J268" s="294"/>
      <c r="K268" s="294"/>
      <c r="L268" s="240"/>
      <c r="M268" s="279"/>
    </row>
    <row r="269" spans="9:13">
      <c r="I269" s="294"/>
      <c r="J269" s="294"/>
      <c r="K269" s="294"/>
      <c r="L269" s="240"/>
      <c r="M269" s="279"/>
    </row>
    <row r="270" spans="9:13">
      <c r="I270" s="294"/>
      <c r="J270" s="294"/>
      <c r="K270" s="294"/>
      <c r="L270" s="240"/>
      <c r="M270" s="279"/>
    </row>
    <row r="271" spans="9:13">
      <c r="I271" s="294"/>
      <c r="J271" s="294"/>
      <c r="K271" s="294"/>
      <c r="L271" s="240"/>
      <c r="M271" s="279"/>
    </row>
    <row r="272" spans="9:13">
      <c r="I272" s="294"/>
      <c r="J272" s="294"/>
      <c r="K272" s="294"/>
      <c r="M272" s="278"/>
    </row>
    <row r="273" spans="9:13">
      <c r="I273" s="294"/>
      <c r="J273" s="294"/>
      <c r="K273" s="294"/>
      <c r="M273" s="244"/>
    </row>
    <row r="274" spans="9:13">
      <c r="I274" s="294"/>
      <c r="J274" s="294"/>
      <c r="K274" s="294"/>
      <c r="M274" s="278"/>
    </row>
    <row r="275" spans="9:13">
      <c r="I275" s="294"/>
      <c r="J275" s="294"/>
      <c r="K275" s="294"/>
      <c r="M275" s="278"/>
    </row>
    <row r="276" spans="9:13">
      <c r="I276" s="294"/>
      <c r="J276" s="294"/>
      <c r="K276" s="294"/>
      <c r="M276" s="278"/>
    </row>
    <row r="277" spans="9:13">
      <c r="I277" s="294"/>
      <c r="J277" s="294"/>
      <c r="K277" s="294"/>
      <c r="L277" s="240"/>
      <c r="M277" s="279"/>
    </row>
    <row r="278" spans="9:13">
      <c r="I278" s="294"/>
      <c r="J278" s="294"/>
      <c r="K278" s="294"/>
      <c r="L278" s="240"/>
      <c r="M278" s="279"/>
    </row>
    <row r="279" spans="9:13">
      <c r="I279" s="294"/>
      <c r="J279" s="294"/>
      <c r="K279" s="294"/>
      <c r="L279" s="240"/>
      <c r="M279" s="279"/>
    </row>
    <row r="280" spans="9:13">
      <c r="I280" s="294"/>
      <c r="J280" s="294"/>
      <c r="K280" s="294"/>
      <c r="L280" s="240"/>
      <c r="M280" s="279"/>
    </row>
    <row r="281" spans="9:13">
      <c r="I281" s="294"/>
      <c r="J281" s="294"/>
      <c r="K281" s="294"/>
      <c r="L281" s="240"/>
      <c r="M281" s="279"/>
    </row>
    <row r="282" spans="9:13">
      <c r="I282" s="294"/>
      <c r="J282" s="294"/>
      <c r="K282" s="294"/>
      <c r="L282" s="240"/>
      <c r="M282" s="279"/>
    </row>
    <row r="283" spans="9:13">
      <c r="I283" s="294"/>
      <c r="J283" s="294"/>
      <c r="K283" s="294"/>
      <c r="L283" s="240"/>
      <c r="M283" s="279"/>
    </row>
    <row r="284" spans="9:13">
      <c r="I284" s="294"/>
      <c r="J284" s="294"/>
      <c r="K284" s="294"/>
      <c r="L284" s="240"/>
      <c r="M284" s="279"/>
    </row>
    <row r="285" spans="9:13">
      <c r="I285" s="294"/>
      <c r="J285" s="294"/>
      <c r="K285" s="294"/>
      <c r="M285" s="278"/>
    </row>
    <row r="286" spans="9:13">
      <c r="I286" s="294"/>
      <c r="J286" s="294"/>
      <c r="K286" s="294"/>
      <c r="L286" s="243"/>
      <c r="M286" s="243"/>
    </row>
    <row r="287" spans="9:13">
      <c r="M287" s="278"/>
    </row>
    <row r="288" spans="9:13">
      <c r="M288" s="278"/>
    </row>
  </sheetData>
  <sortState ref="A21:D46">
    <sortCondition descending="1" ref="B21:B46"/>
  </sortState>
  <phoneticPr fontId="0" type="noConversion"/>
  <pageMargins left="0.98425196850393704" right="0.98425196850393704" top="0.78740157480314965" bottom="0.70866141732283472" header="0.51181102362204722" footer="0.51181102362204722"/>
  <pageSetup paperSize="9" firstPageNumber="53" orientation="portrait" useFirstPageNumber="1" r:id="rId1"/>
  <headerFooter alignWithMargins="0">
    <oddFooter>&amp;C&amp;"Frutiger 45 Light,Regular"&amp;11&amp;P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2768"/>
  <sheetViews>
    <sheetView workbookViewId="0">
      <pane xSplit="6" ySplit="7" topLeftCell="I137" activePane="bottomRight" state="frozenSplit"/>
      <selection pane="topRight" activeCell="H1" sqref="H1"/>
      <selection pane="bottomLeft" activeCell="A11" sqref="A11"/>
      <selection pane="bottomRight" activeCell="L137" sqref="L137"/>
    </sheetView>
  </sheetViews>
  <sheetFormatPr defaultColWidth="9.1796875" defaultRowHeight="12.5"/>
  <cols>
    <col min="1" max="1" width="14.54296875" hidden="1" customWidth="1"/>
    <col min="2" max="2" width="14" hidden="1" customWidth="1"/>
    <col min="3" max="3" width="17.7265625" style="2" hidden="1" customWidth="1"/>
    <col min="4" max="4" width="4.54296875" style="2" hidden="1" customWidth="1"/>
    <col min="5" max="5" width="10.81640625" customWidth="1"/>
    <col min="6" max="6" width="38.54296875" customWidth="1"/>
    <col min="7" max="7" width="16.26953125" style="134" customWidth="1"/>
    <col min="8" max="8" width="18.453125" style="9" customWidth="1"/>
    <col min="9" max="11" width="19.7265625" style="6" customWidth="1"/>
    <col min="12" max="12" width="19.7265625" style="63" customWidth="1"/>
    <col min="13" max="13" width="20.7265625" style="4" hidden="1" customWidth="1"/>
    <col min="14" max="14" width="21.1796875" style="62" hidden="1" customWidth="1"/>
    <col min="15" max="15" width="21.54296875" style="62" hidden="1" customWidth="1"/>
    <col min="16" max="16" width="20.1796875" style="62" hidden="1" customWidth="1"/>
    <col min="17" max="17" width="18.54296875" style="7" hidden="1" customWidth="1"/>
    <col min="18" max="19" width="20.1796875" style="7" hidden="1" customWidth="1"/>
    <col min="20" max="20" width="23.81640625" style="9" hidden="1" customWidth="1"/>
    <col min="21" max="21" width="20.1796875" style="9" hidden="1" customWidth="1"/>
    <col min="22" max="22" width="20.1796875" style="10" hidden="1" customWidth="1"/>
    <col min="23" max="23" width="20.1796875" style="9" hidden="1" customWidth="1"/>
    <col min="24" max="24" width="17.7265625" style="9" hidden="1" customWidth="1"/>
    <col min="25" max="25" width="16.453125" style="9" hidden="1" customWidth="1"/>
    <col min="26" max="26" width="21.26953125" style="9" hidden="1" customWidth="1"/>
    <col min="27" max="27" width="0" style="9" hidden="1" customWidth="1"/>
    <col min="28" max="28" width="15" style="9" hidden="1" customWidth="1"/>
    <col min="29" max="31" width="0" style="9" hidden="1" customWidth="1"/>
    <col min="32" max="33" width="18.7265625" style="9" hidden="1" customWidth="1"/>
    <col min="34" max="34" width="0" style="9" hidden="1" customWidth="1"/>
    <col min="35" max="35" width="12.81640625" style="52" bestFit="1" customWidth="1"/>
    <col min="36" max="37" width="16" style="9" hidden="1" customWidth="1"/>
    <col min="38" max="38" width="11.81640625" style="52" bestFit="1" customWidth="1"/>
    <col min="39" max="39" width="27.453125" style="52" customWidth="1"/>
    <col min="40" max="40" width="19" style="46" bestFit="1" customWidth="1"/>
    <col min="41" max="41" width="35.7265625" style="46" bestFit="1" customWidth="1"/>
    <col min="42" max="42" width="19.453125" style="46" bestFit="1" customWidth="1"/>
    <col min="43" max="43" width="21.54296875" style="46" bestFit="1" customWidth="1"/>
    <col min="44" max="45" width="20.1796875" style="147" bestFit="1" customWidth="1"/>
    <col min="46" max="46" width="22" style="46" bestFit="1" customWidth="1"/>
    <col min="47" max="47" width="21.54296875" style="46" bestFit="1" customWidth="1"/>
  </cols>
  <sheetData>
    <row r="2" spans="1:47" ht="13">
      <c r="E2" s="3" t="e">
        <f>#REF!</f>
        <v>#REF!</v>
      </c>
      <c r="I2" s="4"/>
      <c r="J2" s="4"/>
      <c r="K2" s="4"/>
      <c r="L2" s="72"/>
      <c r="N2" s="4"/>
      <c r="O2" s="5" t="s">
        <v>324</v>
      </c>
      <c r="P2" s="6"/>
      <c r="R2" s="8"/>
      <c r="S2" s="8"/>
      <c r="T2" s="8"/>
      <c r="U2" s="7"/>
      <c r="V2" s="7"/>
      <c r="W2" s="7"/>
      <c r="Z2" s="10"/>
    </row>
    <row r="3" spans="1:47" ht="13">
      <c r="E3" s="11" t="e">
        <f>"Trail Balance " &amp;#REF!</f>
        <v>#REF!</v>
      </c>
      <c r="I3" s="4"/>
      <c r="J3" s="4"/>
      <c r="K3" s="4"/>
      <c r="L3" s="72"/>
      <c r="N3" s="4"/>
      <c r="O3" s="4"/>
      <c r="P3" s="6"/>
      <c r="R3" s="8"/>
      <c r="S3" s="8"/>
      <c r="T3" s="8"/>
      <c r="U3" s="7"/>
      <c r="V3" s="7"/>
      <c r="W3" s="7"/>
      <c r="Z3" s="10"/>
      <c r="AP3" s="143" t="s">
        <v>117</v>
      </c>
      <c r="AQ3" s="143" t="s">
        <v>117</v>
      </c>
      <c r="AR3" s="147" t="s">
        <v>391</v>
      </c>
      <c r="AS3" s="147" t="s">
        <v>391</v>
      </c>
      <c r="AT3" s="143" t="s">
        <v>392</v>
      </c>
      <c r="AU3" s="143" t="s">
        <v>392</v>
      </c>
    </row>
    <row r="4" spans="1:47">
      <c r="E4" s="12"/>
      <c r="F4" s="12" t="s">
        <v>111</v>
      </c>
      <c r="I4" s="13"/>
      <c r="J4" s="13"/>
      <c r="K4" s="13"/>
      <c r="L4" s="73"/>
      <c r="M4" s="13"/>
      <c r="N4" s="13"/>
      <c r="O4" s="13"/>
      <c r="P4" s="14"/>
      <c r="Q4" s="15"/>
      <c r="R4" s="16"/>
      <c r="S4" s="16"/>
      <c r="T4" s="8"/>
      <c r="U4" s="15"/>
      <c r="V4" s="15"/>
      <c r="W4" s="15"/>
      <c r="X4" s="17"/>
      <c r="Y4" s="17"/>
      <c r="Z4" s="18"/>
      <c r="AA4" s="17"/>
      <c r="AB4" s="17"/>
      <c r="AN4" s="45" t="s">
        <v>113</v>
      </c>
      <c r="AO4" s="45" t="s">
        <v>111</v>
      </c>
      <c r="AP4" s="144" t="s">
        <v>389</v>
      </c>
      <c r="AQ4" s="144" t="s">
        <v>390</v>
      </c>
      <c r="AR4" s="147" t="s">
        <v>389</v>
      </c>
      <c r="AS4" s="147" t="s">
        <v>390</v>
      </c>
      <c r="AT4" s="143" t="s">
        <v>389</v>
      </c>
      <c r="AU4" s="143" t="s">
        <v>390</v>
      </c>
    </row>
    <row r="5" spans="1:47" ht="12.75" customHeight="1">
      <c r="E5" s="12"/>
      <c r="F5" s="12"/>
      <c r="I5" s="19"/>
      <c r="J5" s="19"/>
      <c r="K5" s="19"/>
      <c r="L5" s="74"/>
      <c r="M5" s="20"/>
      <c r="N5" s="1044" t="s">
        <v>112</v>
      </c>
      <c r="O5" s="1045"/>
      <c r="P5" s="14"/>
      <c r="Q5" s="15"/>
      <c r="R5" s="8"/>
      <c r="S5" s="8"/>
      <c r="T5" s="16"/>
      <c r="U5" s="15"/>
      <c r="V5" s="15"/>
      <c r="W5" s="15"/>
      <c r="X5" s="9" t="s">
        <v>325</v>
      </c>
      <c r="Y5" s="17">
        <v>1</v>
      </c>
      <c r="Z5" s="18"/>
      <c r="AA5" s="17"/>
      <c r="AB5" s="17"/>
    </row>
    <row r="6" spans="1:47" ht="13.5" thickBot="1">
      <c r="E6" s="21" t="s">
        <v>113</v>
      </c>
      <c r="F6" s="22" t="s">
        <v>114</v>
      </c>
      <c r="I6" s="23" t="s">
        <v>349</v>
      </c>
      <c r="J6" s="23" t="s">
        <v>351</v>
      </c>
      <c r="K6" s="23" t="s">
        <v>352</v>
      </c>
      <c r="L6" s="75" t="s">
        <v>350</v>
      </c>
      <c r="M6" s="23"/>
      <c r="N6" s="23" t="s">
        <v>115</v>
      </c>
      <c r="O6" s="23" t="s">
        <v>116</v>
      </c>
      <c r="P6" s="24" t="s">
        <v>326</v>
      </c>
      <c r="Q6" s="25" t="s">
        <v>327</v>
      </c>
      <c r="R6" s="26"/>
      <c r="S6" s="26"/>
      <c r="T6" s="26"/>
      <c r="U6" s="25" t="s">
        <v>327</v>
      </c>
      <c r="V6" s="25" t="s">
        <v>327</v>
      </c>
      <c r="W6" s="25" t="s">
        <v>327</v>
      </c>
      <c r="X6" s="27" t="s">
        <v>328</v>
      </c>
      <c r="Y6" s="27" t="s">
        <v>329</v>
      </c>
      <c r="Z6" s="28" t="s">
        <v>330</v>
      </c>
      <c r="AA6" s="29"/>
      <c r="AB6" s="29"/>
    </row>
    <row r="7" spans="1:47" ht="13.5" thickBot="1">
      <c r="E7" s="30"/>
      <c r="F7" s="31"/>
      <c r="I7" s="20"/>
      <c r="J7" s="20"/>
      <c r="K7" s="20"/>
      <c r="L7" s="66"/>
      <c r="M7" s="32" t="s">
        <v>331</v>
      </c>
      <c r="N7" s="33" t="s">
        <v>332</v>
      </c>
      <c r="O7" s="34"/>
      <c r="P7" s="35"/>
      <c r="Q7" s="36"/>
      <c r="R7" s="37"/>
      <c r="S7" s="37"/>
      <c r="T7" s="37"/>
      <c r="U7" s="36"/>
      <c r="V7" s="36"/>
      <c r="W7" s="36"/>
      <c r="X7" s="29" t="s">
        <v>333</v>
      </c>
      <c r="Y7" s="38">
        <v>1</v>
      </c>
      <c r="Z7" s="39"/>
      <c r="AA7" s="29"/>
      <c r="AB7" s="29"/>
    </row>
    <row r="8" spans="1:47">
      <c r="A8" s="12" t="s">
        <v>118</v>
      </c>
      <c r="B8" s="12" t="s">
        <v>119</v>
      </c>
      <c r="C8" s="40" t="s">
        <v>111</v>
      </c>
      <c r="D8" s="2">
        <v>32862240001.669998</v>
      </c>
      <c r="E8" s="12" t="s">
        <v>490</v>
      </c>
      <c r="F8" s="12" t="s">
        <v>491</v>
      </c>
      <c r="I8" s="70">
        <v>5936</v>
      </c>
      <c r="J8" s="2"/>
      <c r="K8" s="2"/>
      <c r="L8" s="76">
        <f>I8+J8-K8</f>
        <v>5936</v>
      </c>
      <c r="M8" s="40">
        <f t="shared" ref="M8:M39" si="0">(G8-H8+SUM(Q8:W8))/+$Y$7</f>
        <v>0</v>
      </c>
      <c r="N8" s="40"/>
      <c r="O8" s="2">
        <v>11864038369</v>
      </c>
      <c r="P8" s="14">
        <f t="shared" ref="P8:P54" si="1">N8-O8</f>
        <v>-11864038369</v>
      </c>
      <c r="Q8" s="15"/>
      <c r="R8" s="16"/>
      <c r="S8" s="16"/>
      <c r="T8" s="16"/>
      <c r="U8" s="15"/>
      <c r="V8" s="15"/>
      <c r="W8" s="15"/>
      <c r="X8" s="17">
        <f t="shared" ref="X8:X54" si="2">SUM(P8:W8)</f>
        <v>-11864038369</v>
      </c>
      <c r="Y8" s="17"/>
      <c r="Z8" s="41">
        <f>X8/$Y$5</f>
        <v>-11864038369</v>
      </c>
      <c r="AA8" s="17"/>
      <c r="AB8" s="17"/>
      <c r="AI8" s="136">
        <f>+L8</f>
        <v>5936</v>
      </c>
      <c r="AK8" s="9">
        <v>151738141390.10999</v>
      </c>
      <c r="AM8" s="135"/>
      <c r="AN8" s="45"/>
      <c r="AO8" s="45"/>
      <c r="AP8" s="145"/>
      <c r="AQ8" s="146"/>
      <c r="AT8" s="146"/>
      <c r="AU8" s="146"/>
    </row>
    <row r="9" spans="1:47">
      <c r="A9" s="12"/>
      <c r="B9" s="12"/>
      <c r="C9" s="40"/>
      <c r="E9" s="12" t="s">
        <v>492</v>
      </c>
      <c r="F9" s="12" t="s">
        <v>491</v>
      </c>
      <c r="I9" s="70">
        <v>449.75</v>
      </c>
      <c r="J9" s="2"/>
      <c r="K9" s="2"/>
      <c r="L9" s="76">
        <f>I9+J9-K9</f>
        <v>449.75</v>
      </c>
      <c r="M9" s="40"/>
      <c r="N9" s="40"/>
      <c r="O9" s="2"/>
      <c r="P9" s="14"/>
      <c r="Q9" s="15"/>
      <c r="R9" s="16"/>
      <c r="S9" s="16"/>
      <c r="T9" s="16"/>
      <c r="U9" s="15"/>
      <c r="V9" s="15"/>
      <c r="W9" s="15"/>
      <c r="X9" s="17"/>
      <c r="Y9" s="17"/>
      <c r="Z9" s="41"/>
      <c r="AA9" s="17"/>
      <c r="AB9" s="17"/>
      <c r="AI9" s="136">
        <f>+L9</f>
        <v>449.75</v>
      </c>
      <c r="AM9" s="135"/>
      <c r="AN9" s="45"/>
      <c r="AO9" s="45"/>
      <c r="AP9" s="145"/>
      <c r="AQ9" s="146"/>
      <c r="AT9" s="146"/>
      <c r="AU9" s="146"/>
    </row>
    <row r="10" spans="1:47">
      <c r="A10" s="12"/>
      <c r="B10" s="12"/>
      <c r="C10" s="40"/>
      <c r="E10" s="12" t="s">
        <v>494</v>
      </c>
      <c r="F10" s="12" t="s">
        <v>495</v>
      </c>
      <c r="I10" s="70">
        <v>1500</v>
      </c>
      <c r="J10" s="2"/>
      <c r="K10" s="2"/>
      <c r="L10" s="76">
        <f>I10+J10-K10</f>
        <v>1500</v>
      </c>
      <c r="M10" s="40"/>
      <c r="N10" s="40"/>
      <c r="O10" s="2"/>
      <c r="P10" s="14"/>
      <c r="Q10" s="15"/>
      <c r="R10" s="16"/>
      <c r="S10" s="16"/>
      <c r="T10" s="16"/>
      <c r="U10" s="15"/>
      <c r="V10" s="15"/>
      <c r="W10" s="15"/>
      <c r="X10" s="17"/>
      <c r="Y10" s="17"/>
      <c r="Z10" s="41"/>
      <c r="AA10" s="17"/>
      <c r="AB10" s="17"/>
      <c r="AI10" s="136">
        <f>+L10</f>
        <v>1500</v>
      </c>
      <c r="AM10" s="135"/>
      <c r="AN10" s="45"/>
      <c r="AO10" s="45"/>
      <c r="AP10" s="145"/>
      <c r="AQ10" s="146"/>
      <c r="AT10" s="146"/>
      <c r="AU10" s="146"/>
    </row>
    <row r="11" spans="1:47">
      <c r="A11" s="12" t="s">
        <v>120</v>
      </c>
      <c r="B11" s="12" t="s">
        <v>121</v>
      </c>
      <c r="C11" s="40" t="s">
        <v>111</v>
      </c>
      <c r="E11" s="12" t="s">
        <v>496</v>
      </c>
      <c r="F11" s="12" t="s">
        <v>497</v>
      </c>
      <c r="I11" s="70">
        <v>1500</v>
      </c>
      <c r="J11" s="2"/>
      <c r="K11" s="2"/>
      <c r="L11" s="70">
        <f t="shared" ref="L11:L74" si="3">I11+J11-K11</f>
        <v>1500</v>
      </c>
      <c r="M11" s="40">
        <f t="shared" si="0"/>
        <v>0</v>
      </c>
      <c r="N11" s="40"/>
      <c r="O11" s="2"/>
      <c r="P11" s="14">
        <f t="shared" si="1"/>
        <v>0</v>
      </c>
      <c r="Q11" s="15"/>
      <c r="R11" s="16"/>
      <c r="S11" s="16"/>
      <c r="T11" s="16"/>
      <c r="U11" s="15"/>
      <c r="V11" s="15"/>
      <c r="W11" s="15"/>
      <c r="X11" s="17">
        <f t="shared" si="2"/>
        <v>0</v>
      </c>
      <c r="Y11" s="17"/>
      <c r="Z11" s="41">
        <f t="shared" ref="Z11:Z56" si="4">X11/$Y$5</f>
        <v>0</v>
      </c>
      <c r="AA11" s="17"/>
      <c r="AB11" s="17"/>
      <c r="AM11" s="135"/>
      <c r="AN11" s="45"/>
      <c r="AO11" s="45"/>
      <c r="AP11" s="145"/>
      <c r="AQ11" s="146"/>
      <c r="AT11" s="146"/>
      <c r="AU11" s="146"/>
    </row>
    <row r="12" spans="1:47">
      <c r="A12" s="12" t="s">
        <v>122</v>
      </c>
      <c r="B12" s="12" t="s">
        <v>123</v>
      </c>
      <c r="C12" s="40" t="s">
        <v>111</v>
      </c>
      <c r="E12" s="12" t="s">
        <v>498</v>
      </c>
      <c r="F12" s="12" t="s">
        <v>499</v>
      </c>
      <c r="I12" s="70">
        <v>2220</v>
      </c>
      <c r="J12" s="2"/>
      <c r="K12" s="2"/>
      <c r="L12" s="70">
        <f t="shared" si="3"/>
        <v>2220</v>
      </c>
      <c r="M12" s="40">
        <f t="shared" si="0"/>
        <v>0</v>
      </c>
      <c r="N12" s="40"/>
      <c r="O12" s="2"/>
      <c r="P12" s="14">
        <f t="shared" si="1"/>
        <v>0</v>
      </c>
      <c r="Q12" s="15"/>
      <c r="R12" s="16"/>
      <c r="S12" s="16"/>
      <c r="T12" s="16"/>
      <c r="U12" s="15"/>
      <c r="V12" s="15"/>
      <c r="W12" s="15"/>
      <c r="X12" s="17">
        <f t="shared" si="2"/>
        <v>0</v>
      </c>
      <c r="Y12" s="17"/>
      <c r="Z12" s="41">
        <f t="shared" si="4"/>
        <v>0</v>
      </c>
      <c r="AA12" s="17"/>
      <c r="AB12" s="17"/>
      <c r="AM12" s="135"/>
      <c r="AN12" s="45"/>
      <c r="AO12" s="45"/>
      <c r="AP12" s="145"/>
      <c r="AQ12" s="146"/>
      <c r="AT12" s="146"/>
      <c r="AU12" s="146"/>
    </row>
    <row r="13" spans="1:47">
      <c r="A13" s="12" t="s">
        <v>124</v>
      </c>
      <c r="B13" s="12" t="s">
        <v>125</v>
      </c>
      <c r="C13" s="40" t="s">
        <v>111</v>
      </c>
      <c r="D13" s="2">
        <v>14910170.65</v>
      </c>
      <c r="E13" s="12" t="s">
        <v>500</v>
      </c>
      <c r="F13" s="12" t="s">
        <v>501</v>
      </c>
      <c r="I13" s="70">
        <v>1500</v>
      </c>
      <c r="J13" s="2"/>
      <c r="K13" s="2"/>
      <c r="L13" s="76">
        <f t="shared" si="3"/>
        <v>1500</v>
      </c>
      <c r="M13" s="40">
        <f t="shared" si="0"/>
        <v>0</v>
      </c>
      <c r="N13" s="40"/>
      <c r="O13" s="2"/>
      <c r="P13" s="14">
        <f t="shared" si="1"/>
        <v>0</v>
      </c>
      <c r="Q13" s="15"/>
      <c r="R13" s="16"/>
      <c r="S13" s="16"/>
      <c r="T13" s="16"/>
      <c r="U13" s="15"/>
      <c r="V13" s="15"/>
      <c r="W13" s="15"/>
      <c r="X13" s="17">
        <f t="shared" si="2"/>
        <v>0</v>
      </c>
      <c r="Y13" s="17"/>
      <c r="Z13" s="41">
        <f t="shared" si="4"/>
        <v>0</v>
      </c>
      <c r="AA13" s="17"/>
      <c r="AB13" s="17"/>
      <c r="AK13" s="9">
        <v>107264363.20999999</v>
      </c>
      <c r="AM13" s="135"/>
      <c r="AN13" s="45"/>
      <c r="AO13" s="45"/>
      <c r="AP13" s="145"/>
      <c r="AQ13" s="146"/>
      <c r="AT13" s="146"/>
      <c r="AU13" s="146"/>
    </row>
    <row r="14" spans="1:47">
      <c r="A14" s="12" t="s">
        <v>126</v>
      </c>
      <c r="B14" s="12" t="s">
        <v>127</v>
      </c>
      <c r="C14" s="40" t="s">
        <v>111</v>
      </c>
      <c r="E14" s="12" t="s">
        <v>502</v>
      </c>
      <c r="F14" s="12" t="s">
        <v>503</v>
      </c>
      <c r="I14" s="70">
        <v>1500</v>
      </c>
      <c r="J14" s="2"/>
      <c r="K14" s="2"/>
      <c r="L14" s="76">
        <f t="shared" si="3"/>
        <v>1500</v>
      </c>
      <c r="M14" s="40">
        <f t="shared" si="0"/>
        <v>0</v>
      </c>
      <c r="N14" s="40"/>
      <c r="O14" s="2"/>
      <c r="P14" s="14">
        <f t="shared" si="1"/>
        <v>0</v>
      </c>
      <c r="Q14" s="15"/>
      <c r="R14" s="16"/>
      <c r="S14" s="16"/>
      <c r="T14" s="16"/>
      <c r="U14" s="15"/>
      <c r="V14" s="15"/>
      <c r="W14" s="15"/>
      <c r="X14" s="17">
        <f t="shared" si="2"/>
        <v>0</v>
      </c>
      <c r="Y14" s="17"/>
      <c r="Z14" s="41">
        <f t="shared" si="4"/>
        <v>0</v>
      </c>
      <c r="AA14" s="17"/>
      <c r="AB14" s="17">
        <f t="shared" ref="AB14:AB59" si="5">M14-Z14</f>
        <v>0</v>
      </c>
      <c r="AI14" s="136">
        <f>+L14+L45</f>
        <v>761940.91500000004</v>
      </c>
      <c r="AK14" s="9">
        <v>6104140</v>
      </c>
      <c r="AM14" s="135"/>
      <c r="AN14" s="45"/>
      <c r="AO14" s="45"/>
      <c r="AP14" s="146"/>
      <c r="AQ14" s="146"/>
      <c r="AT14" s="146"/>
      <c r="AU14" s="146"/>
    </row>
    <row r="15" spans="1:47">
      <c r="A15" s="12" t="s">
        <v>128</v>
      </c>
      <c r="B15" s="12" t="s">
        <v>129</v>
      </c>
      <c r="C15" s="40" t="s">
        <v>111</v>
      </c>
      <c r="E15" s="12" t="s">
        <v>504</v>
      </c>
      <c r="F15" s="12" t="s">
        <v>505</v>
      </c>
      <c r="I15" s="70">
        <v>3000</v>
      </c>
      <c r="J15" s="2"/>
      <c r="K15" s="2"/>
      <c r="L15" s="76">
        <f t="shared" si="3"/>
        <v>3000</v>
      </c>
      <c r="M15" s="40">
        <f t="shared" si="0"/>
        <v>0</v>
      </c>
      <c r="N15" s="40"/>
      <c r="O15" s="2">
        <v>14418013.869999999</v>
      </c>
      <c r="P15" s="14">
        <f t="shared" si="1"/>
        <v>-14418013.869999999</v>
      </c>
      <c r="Q15" s="15"/>
      <c r="R15" s="16"/>
      <c r="S15" s="16"/>
      <c r="T15" s="16"/>
      <c r="U15" s="15"/>
      <c r="V15" s="15"/>
      <c r="W15" s="15"/>
      <c r="X15" s="17">
        <f t="shared" si="2"/>
        <v>-14418013.869999999</v>
      </c>
      <c r="Y15" s="17"/>
      <c r="Z15" s="41">
        <f t="shared" si="4"/>
        <v>-14418013.869999999</v>
      </c>
      <c r="AA15" s="17"/>
      <c r="AB15" s="17">
        <f t="shared" si="5"/>
        <v>14418013.869999999</v>
      </c>
      <c r="AI15" s="136">
        <f>+L15+L16</f>
        <v>4500</v>
      </c>
      <c r="AK15" s="9">
        <v>303892631.19999999</v>
      </c>
      <c r="AM15" s="135"/>
      <c r="AN15" s="45"/>
      <c r="AO15" s="45"/>
      <c r="AP15" s="145"/>
      <c r="AQ15" s="146"/>
      <c r="AT15" s="146"/>
      <c r="AU15" s="146"/>
    </row>
    <row r="16" spans="1:47">
      <c r="A16" s="12" t="s">
        <v>130</v>
      </c>
      <c r="B16" s="12" t="s">
        <v>131</v>
      </c>
      <c r="C16" s="40" t="s">
        <v>111</v>
      </c>
      <c r="D16" s="2">
        <v>52333266.640000001</v>
      </c>
      <c r="E16" s="12" t="s">
        <v>506</v>
      </c>
      <c r="F16" s="12" t="s">
        <v>507</v>
      </c>
      <c r="I16" s="70">
        <v>1500</v>
      </c>
      <c r="J16" s="2"/>
      <c r="K16" s="2"/>
      <c r="L16" s="76">
        <f t="shared" si="3"/>
        <v>1500</v>
      </c>
      <c r="M16" s="40">
        <f t="shared" si="0"/>
        <v>0</v>
      </c>
      <c r="N16" s="2">
        <v>19204301.390000001</v>
      </c>
      <c r="O16" s="2"/>
      <c r="P16" s="14">
        <f t="shared" si="1"/>
        <v>19204301.390000001</v>
      </c>
      <c r="Q16" s="15"/>
      <c r="R16" s="16"/>
      <c r="S16" s="16"/>
      <c r="T16" s="16"/>
      <c r="U16" s="15"/>
      <c r="V16" s="15"/>
      <c r="W16" s="15"/>
      <c r="X16" s="17">
        <f t="shared" si="2"/>
        <v>19204301.390000001</v>
      </c>
      <c r="Y16" s="17"/>
      <c r="Z16" s="41">
        <f t="shared" si="4"/>
        <v>19204301.390000001</v>
      </c>
      <c r="AA16" s="17"/>
      <c r="AB16" s="17">
        <f t="shared" si="5"/>
        <v>-19204301.390000001</v>
      </c>
      <c r="AK16" s="9">
        <v>471623023.75</v>
      </c>
      <c r="AM16" s="135"/>
      <c r="AN16" s="45"/>
      <c r="AO16" s="45"/>
      <c r="AP16" s="145"/>
      <c r="AQ16" s="146"/>
      <c r="AT16" s="146"/>
      <c r="AU16" s="146"/>
    </row>
    <row r="17" spans="1:47">
      <c r="A17" s="12" t="s">
        <v>132</v>
      </c>
      <c r="B17" s="12" t="s">
        <v>133</v>
      </c>
      <c r="C17" s="40" t="s">
        <v>111</v>
      </c>
      <c r="E17" s="12" t="s">
        <v>508</v>
      </c>
      <c r="F17" s="12" t="s">
        <v>509</v>
      </c>
      <c r="I17" s="70">
        <v>1500</v>
      </c>
      <c r="J17" s="2"/>
      <c r="K17" s="2"/>
      <c r="L17" s="70">
        <f t="shared" si="3"/>
        <v>1500</v>
      </c>
      <c r="M17" s="40">
        <f t="shared" si="0"/>
        <v>0</v>
      </c>
      <c r="N17" s="40"/>
      <c r="O17" s="2"/>
      <c r="P17" s="14">
        <f t="shared" si="1"/>
        <v>0</v>
      </c>
      <c r="Q17" s="15"/>
      <c r="R17" s="16"/>
      <c r="S17" s="16"/>
      <c r="T17" s="16"/>
      <c r="U17" s="15"/>
      <c r="V17" s="15"/>
      <c r="W17" s="15"/>
      <c r="X17" s="17">
        <f t="shared" si="2"/>
        <v>0</v>
      </c>
      <c r="Y17" s="17"/>
      <c r="Z17" s="18">
        <f t="shared" si="4"/>
        <v>0</v>
      </c>
      <c r="AA17" s="17"/>
      <c r="AB17" s="17">
        <f t="shared" si="5"/>
        <v>0</v>
      </c>
      <c r="AM17" s="135"/>
      <c r="AN17" s="45"/>
      <c r="AO17" s="45"/>
      <c r="AP17" s="145"/>
      <c r="AQ17" s="146"/>
      <c r="AT17" s="146"/>
      <c r="AU17" s="146"/>
    </row>
    <row r="18" spans="1:47">
      <c r="A18" s="12" t="s">
        <v>134</v>
      </c>
      <c r="B18" s="12" t="s">
        <v>135</v>
      </c>
      <c r="C18" s="2">
        <v>72432866.900000006</v>
      </c>
      <c r="E18" s="12" t="s">
        <v>510</v>
      </c>
      <c r="F18" s="12" t="s">
        <v>4320</v>
      </c>
      <c r="I18" s="70">
        <v>2200</v>
      </c>
      <c r="J18" s="2"/>
      <c r="K18" s="2"/>
      <c r="L18" s="76">
        <f t="shared" si="3"/>
        <v>2200</v>
      </c>
      <c r="M18" s="2">
        <f t="shared" si="0"/>
        <v>0</v>
      </c>
      <c r="N18" s="2">
        <v>10000000</v>
      </c>
      <c r="O18" s="2"/>
      <c r="P18" s="14">
        <f t="shared" si="1"/>
        <v>10000000</v>
      </c>
      <c r="Q18" s="15"/>
      <c r="R18" s="16"/>
      <c r="S18" s="16"/>
      <c r="T18" s="16"/>
      <c r="U18" s="15"/>
      <c r="V18" s="15"/>
      <c r="W18" s="15"/>
      <c r="X18" s="17">
        <f t="shared" si="2"/>
        <v>10000000</v>
      </c>
      <c r="Y18" s="17"/>
      <c r="Z18" s="18">
        <f t="shared" si="4"/>
        <v>10000000</v>
      </c>
      <c r="AA18" s="17"/>
      <c r="AB18" s="17">
        <f t="shared" si="5"/>
        <v>-10000000</v>
      </c>
      <c r="AI18" s="136">
        <f>+L18</f>
        <v>2200</v>
      </c>
      <c r="AJ18" s="9">
        <v>133949920</v>
      </c>
      <c r="AL18" s="193"/>
      <c r="AM18" s="135"/>
      <c r="AN18" s="45"/>
      <c r="AO18" s="45"/>
      <c r="AP18" s="146"/>
      <c r="AQ18" s="146"/>
      <c r="AT18" s="146"/>
      <c r="AU18" s="146"/>
    </row>
    <row r="19" spans="1:47">
      <c r="A19" s="12" t="s">
        <v>136</v>
      </c>
      <c r="B19" s="12" t="s">
        <v>137</v>
      </c>
      <c r="C19" s="2">
        <v>446124518</v>
      </c>
      <c r="E19" s="12" t="s">
        <v>512</v>
      </c>
      <c r="F19" s="12" t="s">
        <v>4321</v>
      </c>
      <c r="I19" s="70">
        <v>1500</v>
      </c>
      <c r="J19" s="2"/>
      <c r="K19" s="2"/>
      <c r="L19" s="76">
        <f t="shared" si="3"/>
        <v>1500</v>
      </c>
      <c r="M19" s="2">
        <f t="shared" si="0"/>
        <v>0</v>
      </c>
      <c r="N19" s="2">
        <v>134760000</v>
      </c>
      <c r="O19" s="2"/>
      <c r="P19" s="14">
        <f t="shared" si="1"/>
        <v>134760000</v>
      </c>
      <c r="Q19" s="15"/>
      <c r="R19" s="16"/>
      <c r="S19" s="16"/>
      <c r="T19" s="16"/>
      <c r="U19" s="15"/>
      <c r="V19" s="15"/>
      <c r="W19" s="15"/>
      <c r="X19" s="17">
        <f t="shared" si="2"/>
        <v>134760000</v>
      </c>
      <c r="Y19" s="17"/>
      <c r="Z19" s="18">
        <f t="shared" si="4"/>
        <v>134760000</v>
      </c>
      <c r="AA19" s="17"/>
      <c r="AB19" s="17">
        <f t="shared" si="5"/>
        <v>-134760000</v>
      </c>
      <c r="AI19" s="136">
        <f>+L19</f>
        <v>1500</v>
      </c>
      <c r="AJ19" s="9">
        <v>1813909973.95</v>
      </c>
      <c r="AL19" s="193"/>
      <c r="AM19" s="135"/>
      <c r="AN19" s="45"/>
      <c r="AO19" s="45"/>
      <c r="AP19" s="146"/>
      <c r="AQ19" s="146"/>
      <c r="AT19" s="146"/>
      <c r="AU19" s="146"/>
    </row>
    <row r="20" spans="1:47">
      <c r="A20" s="12" t="s">
        <v>138</v>
      </c>
      <c r="B20" s="12" t="s">
        <v>139</v>
      </c>
      <c r="C20" s="2">
        <v>1297180822.6199999</v>
      </c>
      <c r="E20" s="12" t="s">
        <v>4322</v>
      </c>
      <c r="F20" s="12" t="s">
        <v>4323</v>
      </c>
      <c r="I20" s="70">
        <v>4257.6000000000004</v>
      </c>
      <c r="J20" s="2"/>
      <c r="K20" s="2"/>
      <c r="L20" s="76">
        <f t="shared" si="3"/>
        <v>4257.6000000000004</v>
      </c>
      <c r="M20" s="2">
        <f t="shared" si="0"/>
        <v>0</v>
      </c>
      <c r="N20" s="2">
        <v>413918889</v>
      </c>
      <c r="O20" s="2"/>
      <c r="P20" s="14">
        <f t="shared" si="1"/>
        <v>413918889</v>
      </c>
      <c r="Q20" s="15"/>
      <c r="R20" s="16"/>
      <c r="S20" s="8"/>
      <c r="T20" s="16"/>
      <c r="U20" s="7"/>
      <c r="V20" s="15"/>
      <c r="W20" s="15"/>
      <c r="X20" s="17">
        <f t="shared" si="2"/>
        <v>413918889</v>
      </c>
      <c r="Y20" s="17"/>
      <c r="Z20" s="18">
        <f t="shared" si="4"/>
        <v>413918889</v>
      </c>
      <c r="AA20" s="17"/>
      <c r="AB20" s="17">
        <f t="shared" si="5"/>
        <v>-413918889</v>
      </c>
      <c r="AI20" s="136">
        <f>+L20</f>
        <v>4257.6000000000004</v>
      </c>
      <c r="AJ20" s="9">
        <v>6722883392.4799995</v>
      </c>
      <c r="AL20" s="193"/>
      <c r="AM20" s="135"/>
      <c r="AN20" s="45"/>
      <c r="AO20" s="45"/>
      <c r="AP20" s="146"/>
      <c r="AQ20" s="146"/>
      <c r="AT20" s="146"/>
      <c r="AU20" s="146"/>
    </row>
    <row r="21" spans="1:47">
      <c r="A21" s="12" t="s">
        <v>140</v>
      </c>
      <c r="B21" s="12" t="s">
        <v>141</v>
      </c>
      <c r="C21" s="40" t="s">
        <v>111</v>
      </c>
      <c r="E21" s="12" t="s">
        <v>518</v>
      </c>
      <c r="F21" s="12" t="s">
        <v>519</v>
      </c>
      <c r="I21" s="70">
        <v>50</v>
      </c>
      <c r="J21" s="2"/>
      <c r="K21" s="2"/>
      <c r="L21" s="76">
        <f t="shared" si="3"/>
        <v>50</v>
      </c>
      <c r="M21" s="2">
        <f t="shared" si="0"/>
        <v>0</v>
      </c>
      <c r="N21" s="2">
        <v>17000371.600000001</v>
      </c>
      <c r="O21" s="2"/>
      <c r="P21" s="14">
        <f t="shared" si="1"/>
        <v>17000371.600000001</v>
      </c>
      <c r="Q21" s="15"/>
      <c r="R21" s="16"/>
      <c r="S21" s="16"/>
      <c r="T21" s="16"/>
      <c r="U21" s="15"/>
      <c r="V21" s="15"/>
      <c r="W21" s="15"/>
      <c r="X21" s="17">
        <f t="shared" si="2"/>
        <v>17000371.600000001</v>
      </c>
      <c r="Y21" s="17"/>
      <c r="Z21" s="18">
        <f t="shared" si="4"/>
        <v>17000371.600000001</v>
      </c>
      <c r="AA21" s="17"/>
      <c r="AB21" s="17">
        <f t="shared" si="5"/>
        <v>-17000371.600000001</v>
      </c>
      <c r="AJ21" s="9">
        <v>105398269.59999999</v>
      </c>
      <c r="AL21" s="193"/>
      <c r="AM21" s="135"/>
      <c r="AN21" s="45"/>
      <c r="AO21" s="45"/>
      <c r="AP21" s="146"/>
      <c r="AQ21" s="146"/>
      <c r="AT21" s="146"/>
      <c r="AU21" s="146"/>
    </row>
    <row r="22" spans="1:47">
      <c r="A22" s="12" t="s">
        <v>142</v>
      </c>
      <c r="B22" s="12" t="s">
        <v>143</v>
      </c>
      <c r="C22" s="2">
        <v>597705009.90999997</v>
      </c>
      <c r="E22" s="12" t="s">
        <v>520</v>
      </c>
      <c r="F22" s="12" t="s">
        <v>521</v>
      </c>
      <c r="I22" s="70">
        <v>31973.500190000057</v>
      </c>
      <c r="J22" s="2"/>
      <c r="K22" s="2"/>
      <c r="L22" s="76">
        <f t="shared" si="3"/>
        <v>31973.500190000057</v>
      </c>
      <c r="M22" s="2">
        <f t="shared" si="0"/>
        <v>0</v>
      </c>
      <c r="N22" s="2">
        <v>305599954.14999998</v>
      </c>
      <c r="O22" s="2"/>
      <c r="P22" s="14">
        <f t="shared" si="1"/>
        <v>305599954.14999998</v>
      </c>
      <c r="Q22" s="15"/>
      <c r="R22" s="16"/>
      <c r="S22" s="16"/>
      <c r="T22" s="16"/>
      <c r="U22" s="15"/>
      <c r="V22" s="15"/>
      <c r="W22" s="15"/>
      <c r="X22" s="17">
        <f t="shared" si="2"/>
        <v>305599954.14999998</v>
      </c>
      <c r="Y22" s="17"/>
      <c r="Z22" s="18">
        <f t="shared" si="4"/>
        <v>305599954.14999998</v>
      </c>
      <c r="AA22" s="17"/>
      <c r="AB22" s="17">
        <f t="shared" si="5"/>
        <v>-305599954.14999998</v>
      </c>
      <c r="AI22" s="136">
        <f>+L22</f>
        <v>31973.500190000057</v>
      </c>
      <c r="AJ22" s="9">
        <v>3268948173.5100002</v>
      </c>
      <c r="AL22" s="193"/>
      <c r="AM22" s="135"/>
      <c r="AN22" s="45"/>
      <c r="AO22" s="45"/>
      <c r="AP22" s="146"/>
      <c r="AQ22" s="146"/>
      <c r="AT22" s="146"/>
      <c r="AU22" s="146"/>
    </row>
    <row r="23" spans="1:47">
      <c r="A23" s="12" t="s">
        <v>144</v>
      </c>
      <c r="B23" s="12" t="s">
        <v>145</v>
      </c>
      <c r="C23" s="2">
        <v>294112856.17000002</v>
      </c>
      <c r="E23" s="12" t="s">
        <v>522</v>
      </c>
      <c r="F23" s="12" t="s">
        <v>523</v>
      </c>
      <c r="I23" s="70">
        <v>13582.2</v>
      </c>
      <c r="J23" s="2"/>
      <c r="K23" s="2"/>
      <c r="L23" s="76">
        <f t="shared" si="3"/>
        <v>13582.2</v>
      </c>
      <c r="M23" s="2">
        <f t="shared" si="0"/>
        <v>0</v>
      </c>
      <c r="N23" s="2">
        <v>134342945.77000001</v>
      </c>
      <c r="O23" s="2"/>
      <c r="P23" s="14">
        <f t="shared" si="1"/>
        <v>134342945.77000001</v>
      </c>
      <c r="Q23" s="15"/>
      <c r="R23" s="16"/>
      <c r="S23" s="16"/>
      <c r="T23" s="16"/>
      <c r="U23" s="15"/>
      <c r="V23" s="15"/>
      <c r="W23" s="15"/>
      <c r="X23" s="17">
        <f t="shared" si="2"/>
        <v>134342945.77000001</v>
      </c>
      <c r="Y23" s="17"/>
      <c r="Z23" s="18">
        <f t="shared" si="4"/>
        <v>134342945.77000001</v>
      </c>
      <c r="AA23" s="17"/>
      <c r="AB23" s="17">
        <f t="shared" si="5"/>
        <v>-134342945.77000001</v>
      </c>
      <c r="AI23" s="136">
        <f>+L23</f>
        <v>13582.2</v>
      </c>
      <c r="AJ23" s="9">
        <v>1640129071.3800001</v>
      </c>
      <c r="AL23" s="193"/>
      <c r="AM23" s="135"/>
      <c r="AN23" s="45"/>
      <c r="AO23" s="45"/>
      <c r="AP23" s="146"/>
      <c r="AQ23" s="146"/>
      <c r="AT23" s="146"/>
      <c r="AU23" s="146"/>
    </row>
    <row r="24" spans="1:47">
      <c r="A24" s="12" t="s">
        <v>146</v>
      </c>
      <c r="B24" s="12" t="s">
        <v>147</v>
      </c>
      <c r="C24" s="40" t="s">
        <v>111</v>
      </c>
      <c r="E24" s="12" t="s">
        <v>524</v>
      </c>
      <c r="F24" s="12" t="s">
        <v>4324</v>
      </c>
      <c r="I24" s="70">
        <v>1806.65</v>
      </c>
      <c r="J24" s="2"/>
      <c r="K24" s="2"/>
      <c r="L24" s="70">
        <f t="shared" si="3"/>
        <v>1806.65</v>
      </c>
      <c r="M24" s="40">
        <f t="shared" si="0"/>
        <v>0</v>
      </c>
      <c r="N24" s="40"/>
      <c r="O24" s="2"/>
      <c r="P24" s="14">
        <f t="shared" si="1"/>
        <v>0</v>
      </c>
      <c r="Q24" s="15"/>
      <c r="R24" s="16"/>
      <c r="S24" s="16"/>
      <c r="T24" s="16"/>
      <c r="U24" s="15"/>
      <c r="V24" s="15"/>
      <c r="W24" s="15"/>
      <c r="X24" s="17">
        <f t="shared" si="2"/>
        <v>0</v>
      </c>
      <c r="Y24" s="17"/>
      <c r="Z24" s="18">
        <f t="shared" si="4"/>
        <v>0</v>
      </c>
      <c r="AA24" s="17"/>
      <c r="AB24" s="17">
        <f t="shared" si="5"/>
        <v>0</v>
      </c>
      <c r="AM24" s="135"/>
      <c r="AN24" s="45"/>
      <c r="AO24" s="45"/>
      <c r="AP24" s="145"/>
      <c r="AQ24" s="146"/>
      <c r="AT24" s="146"/>
      <c r="AU24" s="146"/>
    </row>
    <row r="25" spans="1:47">
      <c r="A25" s="12" t="s">
        <v>148</v>
      </c>
      <c r="B25" s="12" t="s">
        <v>149</v>
      </c>
      <c r="C25" s="2">
        <v>12184651.5</v>
      </c>
      <c r="E25" s="12" t="s">
        <v>526</v>
      </c>
      <c r="F25" s="12" t="s">
        <v>527</v>
      </c>
      <c r="I25" s="70">
        <v>0</v>
      </c>
      <c r="J25" s="2"/>
      <c r="K25" s="2"/>
      <c r="L25" s="76">
        <f t="shared" si="3"/>
        <v>0</v>
      </c>
      <c r="M25" s="40">
        <f t="shared" si="0"/>
        <v>0</v>
      </c>
      <c r="N25" s="2">
        <v>27750000</v>
      </c>
      <c r="O25" s="2"/>
      <c r="P25" s="14">
        <f t="shared" si="1"/>
        <v>27750000</v>
      </c>
      <c r="Q25" s="15"/>
      <c r="R25" s="16"/>
      <c r="S25" s="16"/>
      <c r="T25" s="16"/>
      <c r="U25" s="15"/>
      <c r="V25" s="15"/>
      <c r="W25" s="15"/>
      <c r="X25" s="17">
        <f t="shared" si="2"/>
        <v>27750000</v>
      </c>
      <c r="Y25" s="17"/>
      <c r="Z25" s="18">
        <f t="shared" si="4"/>
        <v>27750000</v>
      </c>
      <c r="AA25" s="17"/>
      <c r="AB25" s="17">
        <f t="shared" si="5"/>
        <v>-27750000</v>
      </c>
      <c r="AI25" s="136">
        <f>+L25</f>
        <v>0</v>
      </c>
      <c r="AJ25" s="9">
        <v>146334000</v>
      </c>
      <c r="AL25" s="193"/>
      <c r="AM25" s="135"/>
      <c r="AN25" s="45"/>
      <c r="AO25" s="45"/>
      <c r="AP25" s="146"/>
      <c r="AQ25" s="146"/>
      <c r="AT25" s="146"/>
      <c r="AU25" s="146"/>
    </row>
    <row r="26" spans="1:47">
      <c r="A26" s="12" t="s">
        <v>150</v>
      </c>
      <c r="B26" s="12" t="s">
        <v>151</v>
      </c>
      <c r="C26" s="2">
        <v>9397911.0700000003</v>
      </c>
      <c r="E26" s="12" t="s">
        <v>528</v>
      </c>
      <c r="F26" s="12" t="s">
        <v>529</v>
      </c>
      <c r="I26" s="70">
        <v>42175.05</v>
      </c>
      <c r="J26" s="2"/>
      <c r="K26" s="2"/>
      <c r="L26" s="76">
        <f t="shared" si="3"/>
        <v>42175.05</v>
      </c>
      <c r="M26" s="2">
        <f t="shared" si="0"/>
        <v>0</v>
      </c>
      <c r="N26" s="2">
        <v>14961699</v>
      </c>
      <c r="O26" s="2"/>
      <c r="P26" s="14">
        <f t="shared" si="1"/>
        <v>14961699</v>
      </c>
      <c r="Q26" s="15"/>
      <c r="R26" s="16"/>
      <c r="S26" s="16"/>
      <c r="T26" s="16"/>
      <c r="U26" s="15"/>
      <c r="V26" s="15"/>
      <c r="W26" s="15"/>
      <c r="X26" s="17">
        <f t="shared" si="2"/>
        <v>14961699</v>
      </c>
      <c r="Y26" s="17"/>
      <c r="Z26" s="18">
        <f t="shared" si="4"/>
        <v>14961699</v>
      </c>
      <c r="AA26" s="17"/>
      <c r="AB26" s="17">
        <f t="shared" si="5"/>
        <v>-14961699</v>
      </c>
      <c r="AI26" s="136">
        <f>+L26</f>
        <v>42175.05</v>
      </c>
      <c r="AJ26" s="9">
        <v>145187048.88</v>
      </c>
      <c r="AL26" s="193"/>
      <c r="AM26" s="135"/>
      <c r="AN26" s="45"/>
      <c r="AO26" s="45"/>
      <c r="AP26" s="146"/>
      <c r="AQ26" s="146"/>
      <c r="AT26" s="146"/>
      <c r="AU26" s="146"/>
    </row>
    <row r="27" spans="1:47">
      <c r="A27" s="12" t="s">
        <v>152</v>
      </c>
      <c r="B27" s="12" t="s">
        <v>11</v>
      </c>
      <c r="C27" s="2">
        <v>784904854.33000004</v>
      </c>
      <c r="E27" s="12" t="s">
        <v>530</v>
      </c>
      <c r="F27" s="12" t="s">
        <v>531</v>
      </c>
      <c r="I27" s="70">
        <v>0.2</v>
      </c>
      <c r="J27" s="2"/>
      <c r="K27" s="2"/>
      <c r="L27" s="76">
        <f t="shared" si="3"/>
        <v>0.2</v>
      </c>
      <c r="M27" s="2">
        <f t="shared" si="0"/>
        <v>0</v>
      </c>
      <c r="N27" s="2">
        <v>245045959.31</v>
      </c>
      <c r="O27" s="2"/>
      <c r="P27" s="14">
        <f t="shared" si="1"/>
        <v>245045959.31</v>
      </c>
      <c r="Q27" s="15"/>
      <c r="R27" s="16"/>
      <c r="S27" s="16"/>
      <c r="T27" s="16"/>
      <c r="U27" s="15"/>
      <c r="V27" s="15"/>
      <c r="W27" s="15"/>
      <c r="X27" s="17">
        <f t="shared" si="2"/>
        <v>245045959.31</v>
      </c>
      <c r="Y27" s="17"/>
      <c r="Z27" s="18">
        <f t="shared" si="4"/>
        <v>245045959.31</v>
      </c>
      <c r="AA27" s="17"/>
      <c r="AB27" s="17">
        <f t="shared" si="5"/>
        <v>-245045959.31</v>
      </c>
      <c r="AI27" s="136">
        <f>+L27</f>
        <v>0.2</v>
      </c>
      <c r="AJ27" s="9">
        <v>2747112837.2600002</v>
      </c>
      <c r="AL27" s="193"/>
      <c r="AM27" s="135"/>
      <c r="AN27" s="45"/>
      <c r="AO27" s="45"/>
      <c r="AP27" s="146"/>
      <c r="AQ27" s="146"/>
      <c r="AT27" s="146"/>
      <c r="AU27" s="146"/>
    </row>
    <row r="28" spans="1:47">
      <c r="A28" s="12" t="s">
        <v>153</v>
      </c>
      <c r="B28" s="12" t="s">
        <v>154</v>
      </c>
      <c r="C28" s="2">
        <v>17586400</v>
      </c>
      <c r="E28" s="12" t="s">
        <v>532</v>
      </c>
      <c r="F28" s="12" t="s">
        <v>4325</v>
      </c>
      <c r="I28" s="70">
        <v>0</v>
      </c>
      <c r="J28" s="2"/>
      <c r="K28" s="2"/>
      <c r="L28" s="76">
        <f t="shared" si="3"/>
        <v>0</v>
      </c>
      <c r="M28" s="2">
        <f t="shared" si="0"/>
        <v>0</v>
      </c>
      <c r="N28" s="40"/>
      <c r="O28" s="2"/>
      <c r="P28" s="14">
        <f t="shared" si="1"/>
        <v>0</v>
      </c>
      <c r="Q28" s="15"/>
      <c r="R28" s="16"/>
      <c r="S28" s="16"/>
      <c r="T28" s="16"/>
      <c r="U28" s="15"/>
      <c r="V28" s="15"/>
      <c r="W28" s="15"/>
      <c r="X28" s="17">
        <f t="shared" si="2"/>
        <v>0</v>
      </c>
      <c r="Y28" s="17"/>
      <c r="Z28" s="18">
        <f t="shared" si="4"/>
        <v>0</v>
      </c>
      <c r="AA28" s="17"/>
      <c r="AB28" s="17">
        <f t="shared" si="5"/>
        <v>0</v>
      </c>
      <c r="AI28" s="136">
        <f>+L28</f>
        <v>0</v>
      </c>
      <c r="AJ28" s="9">
        <v>35625000</v>
      </c>
      <c r="AL28" s="193"/>
      <c r="AM28" s="135"/>
      <c r="AN28" s="45"/>
      <c r="AO28" s="45"/>
      <c r="AP28" s="145"/>
      <c r="AQ28" s="146"/>
      <c r="AT28" s="146"/>
      <c r="AU28" s="146"/>
    </row>
    <row r="29" spans="1:47">
      <c r="A29" s="12" t="s">
        <v>155</v>
      </c>
      <c r="B29" s="12" t="s">
        <v>156</v>
      </c>
      <c r="C29" s="40" t="s">
        <v>111</v>
      </c>
      <c r="E29" s="12" t="s">
        <v>4326</v>
      </c>
      <c r="F29" s="12" t="s">
        <v>4327</v>
      </c>
      <c r="I29" s="70">
        <v>13771.5</v>
      </c>
      <c r="J29" s="2"/>
      <c r="K29" s="2"/>
      <c r="L29" s="70">
        <f t="shared" si="3"/>
        <v>13771.5</v>
      </c>
      <c r="M29" s="40">
        <f t="shared" si="0"/>
        <v>0</v>
      </c>
      <c r="N29" s="40"/>
      <c r="O29" s="2"/>
      <c r="P29" s="14">
        <f t="shared" si="1"/>
        <v>0</v>
      </c>
      <c r="Q29" s="15"/>
      <c r="R29" s="16"/>
      <c r="S29" s="16"/>
      <c r="T29" s="16"/>
      <c r="U29" s="15"/>
      <c r="V29" s="15"/>
      <c r="W29" s="15"/>
      <c r="X29" s="17">
        <f t="shared" si="2"/>
        <v>0</v>
      </c>
      <c r="Y29" s="17"/>
      <c r="Z29" s="18">
        <f t="shared" si="4"/>
        <v>0</v>
      </c>
      <c r="AA29" s="17"/>
      <c r="AB29" s="17">
        <f t="shared" si="5"/>
        <v>0</v>
      </c>
      <c r="AM29" s="135"/>
      <c r="AN29" s="45"/>
      <c r="AO29" s="45"/>
      <c r="AP29" s="145"/>
      <c r="AQ29" s="146"/>
      <c r="AT29" s="146"/>
      <c r="AU29" s="146"/>
    </row>
    <row r="30" spans="1:47">
      <c r="A30" s="12" t="s">
        <v>157</v>
      </c>
      <c r="B30" s="12" t="s">
        <v>37</v>
      </c>
      <c r="C30" s="2">
        <v>108797600</v>
      </c>
      <c r="E30" s="12" t="s">
        <v>544</v>
      </c>
      <c r="F30" s="12" t="s">
        <v>545</v>
      </c>
      <c r="I30" s="70">
        <v>53323.548000000003</v>
      </c>
      <c r="J30" s="2">
        <v>5841.4979999999996</v>
      </c>
      <c r="K30" s="2">
        <v>3321.4939999999997</v>
      </c>
      <c r="L30" s="76">
        <f t="shared" si="3"/>
        <v>55843.552000000003</v>
      </c>
      <c r="M30" s="2">
        <f t="shared" si="0"/>
        <v>0</v>
      </c>
      <c r="N30" s="2">
        <v>87119000</v>
      </c>
      <c r="O30" s="2"/>
      <c r="P30" s="14">
        <f t="shared" si="1"/>
        <v>87119000</v>
      </c>
      <c r="Q30" s="15"/>
      <c r="R30" s="16"/>
      <c r="S30" s="16"/>
      <c r="T30" s="16"/>
      <c r="U30" s="15"/>
      <c r="V30" s="15"/>
      <c r="W30" s="15"/>
      <c r="X30" s="17">
        <f t="shared" si="2"/>
        <v>87119000</v>
      </c>
      <c r="Y30" s="17"/>
      <c r="Z30" s="18">
        <f t="shared" si="4"/>
        <v>87119000</v>
      </c>
      <c r="AA30" s="17"/>
      <c r="AB30" s="17">
        <f t="shared" si="5"/>
        <v>-87119000</v>
      </c>
      <c r="AI30" s="136">
        <f>+L30</f>
        <v>55843.552000000003</v>
      </c>
      <c r="AJ30" s="9">
        <v>595675648.88</v>
      </c>
      <c r="AL30" s="193"/>
      <c r="AM30" s="135"/>
      <c r="AN30" s="45"/>
      <c r="AO30" s="45"/>
      <c r="AP30" s="146"/>
      <c r="AQ30" s="146"/>
      <c r="AT30" s="146"/>
      <c r="AU30" s="146"/>
    </row>
    <row r="31" spans="1:47">
      <c r="A31" s="12" t="s">
        <v>158</v>
      </c>
      <c r="B31" s="12" t="s">
        <v>159</v>
      </c>
      <c r="C31" s="2">
        <v>24398286.68</v>
      </c>
      <c r="E31" s="12" t="s">
        <v>546</v>
      </c>
      <c r="F31" s="12" t="s">
        <v>547</v>
      </c>
      <c r="I31" s="70">
        <v>285174.85399999999</v>
      </c>
      <c r="J31" s="2">
        <v>13289</v>
      </c>
      <c r="K31" s="2">
        <v>19593.512569999999</v>
      </c>
      <c r="L31" s="76">
        <f t="shared" si="3"/>
        <v>278870.34142999997</v>
      </c>
      <c r="M31" s="2">
        <f t="shared" si="0"/>
        <v>0</v>
      </c>
      <c r="N31" s="2">
        <v>14507325.23</v>
      </c>
      <c r="O31" s="2"/>
      <c r="P31" s="14">
        <f t="shared" si="1"/>
        <v>14507325.23</v>
      </c>
      <c r="Q31" s="15"/>
      <c r="R31" s="16"/>
      <c r="S31" s="16"/>
      <c r="T31" s="16"/>
      <c r="U31" s="15"/>
      <c r="V31" s="15"/>
      <c r="W31" s="15"/>
      <c r="X31" s="17">
        <f t="shared" si="2"/>
        <v>14507325.23</v>
      </c>
      <c r="Y31" s="17"/>
      <c r="Z31" s="18">
        <f t="shared" si="4"/>
        <v>14507325.23</v>
      </c>
      <c r="AA31" s="17"/>
      <c r="AB31" s="17">
        <f t="shared" si="5"/>
        <v>-14507325.23</v>
      </c>
      <c r="AI31" s="136">
        <f>+L31+L48</f>
        <v>279117.34142999997</v>
      </c>
      <c r="AJ31" s="9">
        <v>180636366.56999999</v>
      </c>
      <c r="AL31" s="193"/>
      <c r="AM31" s="135"/>
      <c r="AN31" s="45"/>
      <c r="AO31" s="45"/>
      <c r="AP31" s="146"/>
      <c r="AQ31" s="146"/>
      <c r="AT31" s="146"/>
      <c r="AU31" s="146"/>
    </row>
    <row r="32" spans="1:47">
      <c r="A32" s="12" t="s">
        <v>160</v>
      </c>
      <c r="B32" s="12" t="s">
        <v>161</v>
      </c>
      <c r="C32" s="2">
        <v>41222900</v>
      </c>
      <c r="E32" s="12" t="s">
        <v>548</v>
      </c>
      <c r="F32" s="12" t="s">
        <v>549</v>
      </c>
      <c r="I32" s="70">
        <v>202576.66399999999</v>
      </c>
      <c r="J32" s="2">
        <v>9806.5</v>
      </c>
      <c r="K32" s="2">
        <v>18498.04</v>
      </c>
      <c r="L32" s="76">
        <f t="shared" si="3"/>
        <v>193885.12399999998</v>
      </c>
      <c r="M32" s="2">
        <f t="shared" si="0"/>
        <v>0</v>
      </c>
      <c r="N32" s="2">
        <v>41079000</v>
      </c>
      <c r="O32" s="2"/>
      <c r="P32" s="14">
        <f t="shared" si="1"/>
        <v>41079000</v>
      </c>
      <c r="Q32" s="15"/>
      <c r="R32" s="16"/>
      <c r="S32" s="16"/>
      <c r="T32" s="16"/>
      <c r="U32" s="15"/>
      <c r="V32" s="15"/>
      <c r="W32" s="15"/>
      <c r="X32" s="17">
        <f t="shared" si="2"/>
        <v>41079000</v>
      </c>
      <c r="Y32" s="17"/>
      <c r="Z32" s="18">
        <f t="shared" si="4"/>
        <v>41079000</v>
      </c>
      <c r="AA32" s="17"/>
      <c r="AB32" s="17">
        <f t="shared" si="5"/>
        <v>-41079000</v>
      </c>
      <c r="AI32" s="136">
        <f>+L32</f>
        <v>193885.12399999998</v>
      </c>
      <c r="AJ32" s="9">
        <v>482070940</v>
      </c>
      <c r="AL32" s="193"/>
      <c r="AM32" s="135"/>
      <c r="AN32" s="45"/>
      <c r="AO32" s="45"/>
      <c r="AP32" s="146"/>
      <c r="AQ32" s="146"/>
      <c r="AT32" s="146"/>
      <c r="AU32" s="146"/>
    </row>
    <row r="33" spans="1:55">
      <c r="A33" s="12" t="s">
        <v>162</v>
      </c>
      <c r="B33" s="12" t="s">
        <v>163</v>
      </c>
      <c r="C33" s="2">
        <v>37226615.280000001</v>
      </c>
      <c r="E33" s="12" t="s">
        <v>550</v>
      </c>
      <c r="F33" s="12" t="s">
        <v>551</v>
      </c>
      <c r="I33" s="70">
        <v>84663.455000000002</v>
      </c>
      <c r="J33" s="2">
        <v>8409.4</v>
      </c>
      <c r="K33" s="2">
        <v>14237.442999999999</v>
      </c>
      <c r="L33" s="76">
        <f t="shared" si="3"/>
        <v>78835.411999999997</v>
      </c>
      <c r="M33" s="2">
        <f t="shared" si="0"/>
        <v>0</v>
      </c>
      <c r="N33" s="2">
        <v>62061248.600000001</v>
      </c>
      <c r="O33" s="2"/>
      <c r="P33" s="14">
        <f t="shared" si="1"/>
        <v>62061248.600000001</v>
      </c>
      <c r="Q33" s="15"/>
      <c r="R33" s="16"/>
      <c r="S33" s="16"/>
      <c r="T33" s="16"/>
      <c r="U33" s="15"/>
      <c r="V33" s="15"/>
      <c r="W33" s="15"/>
      <c r="X33" s="17">
        <f t="shared" si="2"/>
        <v>62061248.600000001</v>
      </c>
      <c r="Y33" s="17"/>
      <c r="Z33" s="18">
        <f t="shared" si="4"/>
        <v>62061248.600000001</v>
      </c>
      <c r="AA33" s="17"/>
      <c r="AB33" s="17">
        <f t="shared" si="5"/>
        <v>-62061248.600000001</v>
      </c>
      <c r="AJ33" s="9">
        <v>433067012.62</v>
      </c>
      <c r="AL33" s="193"/>
      <c r="AM33" s="135"/>
      <c r="AN33" s="45"/>
      <c r="AO33" s="45"/>
      <c r="AP33" s="146"/>
      <c r="AQ33" s="146"/>
      <c r="AT33" s="146"/>
      <c r="AU33" s="146"/>
    </row>
    <row r="34" spans="1:55">
      <c r="A34" s="12" t="s">
        <v>164</v>
      </c>
      <c r="B34" s="12" t="s">
        <v>165</v>
      </c>
      <c r="C34" s="2">
        <v>240000</v>
      </c>
      <c r="E34" s="12" t="s">
        <v>554</v>
      </c>
      <c r="F34" s="12" t="s">
        <v>555</v>
      </c>
      <c r="I34" s="70">
        <v>406027.37099999998</v>
      </c>
      <c r="J34" s="2">
        <v>2500</v>
      </c>
      <c r="K34" s="2">
        <v>3945.9810000000002</v>
      </c>
      <c r="L34" s="76">
        <f t="shared" si="3"/>
        <v>404581.38999999996</v>
      </c>
      <c r="M34" s="2">
        <f t="shared" si="0"/>
        <v>0</v>
      </c>
      <c r="N34" s="2">
        <v>15000</v>
      </c>
      <c r="O34" s="2"/>
      <c r="P34" s="14">
        <f t="shared" si="1"/>
        <v>15000</v>
      </c>
      <c r="Q34" s="15"/>
      <c r="R34" s="16"/>
      <c r="S34" s="16"/>
      <c r="T34" s="16"/>
      <c r="U34" s="15"/>
      <c r="V34" s="15"/>
      <c r="W34" s="15"/>
      <c r="X34" s="17">
        <f t="shared" si="2"/>
        <v>15000</v>
      </c>
      <c r="Y34" s="17"/>
      <c r="Z34" s="18">
        <f t="shared" si="4"/>
        <v>15000</v>
      </c>
      <c r="AA34" s="17"/>
      <c r="AB34" s="17">
        <f t="shared" si="5"/>
        <v>-15000</v>
      </c>
      <c r="AI34" s="136">
        <f>+L34</f>
        <v>404581.38999999996</v>
      </c>
      <c r="AJ34" s="9">
        <v>1405000</v>
      </c>
      <c r="AL34" s="193"/>
      <c r="AM34" s="135"/>
      <c r="AN34" s="45"/>
      <c r="AO34" s="45"/>
      <c r="AP34" s="146"/>
      <c r="AQ34" s="146"/>
      <c r="AT34" s="146"/>
      <c r="AU34" s="146"/>
    </row>
    <row r="35" spans="1:55">
      <c r="A35" s="12" t="s">
        <v>166</v>
      </c>
      <c r="B35" s="12" t="s">
        <v>19</v>
      </c>
      <c r="C35" s="2">
        <v>159312448.99000001</v>
      </c>
      <c r="E35" s="12" t="s">
        <v>556</v>
      </c>
      <c r="F35" s="12" t="s">
        <v>557</v>
      </c>
      <c r="I35" s="70">
        <v>4018.9070000000002</v>
      </c>
      <c r="J35" s="2">
        <v>126266.5</v>
      </c>
      <c r="K35" s="2">
        <v>15435.156000000001</v>
      </c>
      <c r="L35" s="76">
        <f t="shared" si="3"/>
        <v>114850.251</v>
      </c>
      <c r="M35" s="2">
        <f t="shared" si="0"/>
        <v>0</v>
      </c>
      <c r="N35" s="2">
        <v>96432768.700000003</v>
      </c>
      <c r="O35" s="2"/>
      <c r="P35" s="14">
        <f t="shared" si="1"/>
        <v>96432768.700000003</v>
      </c>
      <c r="Q35" s="15"/>
      <c r="R35" s="16"/>
      <c r="S35" s="16"/>
      <c r="T35" s="16"/>
      <c r="U35" s="15"/>
      <c r="V35" s="15"/>
      <c r="W35" s="15"/>
      <c r="X35" s="17">
        <f t="shared" si="2"/>
        <v>96432768.700000003</v>
      </c>
      <c r="Y35" s="17"/>
      <c r="Z35" s="18">
        <f t="shared" si="4"/>
        <v>96432768.700000003</v>
      </c>
      <c r="AA35" s="17"/>
      <c r="AB35" s="17">
        <f t="shared" si="5"/>
        <v>-96432768.700000003</v>
      </c>
      <c r="AI35" s="136">
        <f>+L35</f>
        <v>114850.251</v>
      </c>
      <c r="AJ35" s="9">
        <v>857883020.84000003</v>
      </c>
      <c r="AL35" s="193"/>
      <c r="AM35" s="135"/>
      <c r="AN35" s="45"/>
      <c r="AO35" s="45"/>
      <c r="AP35" s="146"/>
      <c r="AQ35" s="146"/>
      <c r="AT35" s="146"/>
      <c r="AU35" s="146"/>
    </row>
    <row r="36" spans="1:55">
      <c r="A36" s="12" t="s">
        <v>167</v>
      </c>
      <c r="B36" s="12" t="s">
        <v>168</v>
      </c>
      <c r="C36" s="2">
        <v>4496248779.8400002</v>
      </c>
      <c r="E36" s="12" t="s">
        <v>558</v>
      </c>
      <c r="F36" s="12" t="s">
        <v>559</v>
      </c>
      <c r="I36" s="70">
        <v>130039.683</v>
      </c>
      <c r="J36" s="2">
        <v>18716.803</v>
      </c>
      <c r="K36" s="2">
        <v>2078</v>
      </c>
      <c r="L36" s="76">
        <f t="shared" si="3"/>
        <v>146678.486</v>
      </c>
      <c r="M36" s="67">
        <f t="shared" si="0"/>
        <v>-139554452.07299712</v>
      </c>
      <c r="N36" s="2">
        <v>1613760743.3800001</v>
      </c>
      <c r="O36" s="2"/>
      <c r="P36" s="14">
        <f t="shared" si="1"/>
        <v>1613760743.3800001</v>
      </c>
      <c r="Q36" s="42">
        <v>-139554452.07299712</v>
      </c>
      <c r="S36" s="16"/>
      <c r="T36" s="16"/>
      <c r="U36" s="15"/>
      <c r="V36" s="15"/>
      <c r="W36" s="15"/>
      <c r="X36" s="17">
        <f t="shared" si="2"/>
        <v>1474206291.307003</v>
      </c>
      <c r="Y36" s="17"/>
      <c r="Z36" s="18">
        <f t="shared" si="4"/>
        <v>1474206291.307003</v>
      </c>
      <c r="AA36" s="17"/>
      <c r="AB36" s="17">
        <f t="shared" si="5"/>
        <v>-1613760743.3800001</v>
      </c>
      <c r="AI36" s="136">
        <f>+L36+L33</f>
        <v>225513.89799999999</v>
      </c>
      <c r="AJ36" s="9">
        <v>22792930415.360001</v>
      </c>
      <c r="AL36" s="193"/>
      <c r="AM36" s="135"/>
      <c r="AN36" s="45"/>
      <c r="AO36" s="45"/>
      <c r="AP36" s="146"/>
      <c r="AQ36" s="146"/>
      <c r="AT36" s="146"/>
      <c r="AU36" s="146"/>
    </row>
    <row r="37" spans="1:55">
      <c r="A37" s="12" t="s">
        <v>169</v>
      </c>
      <c r="B37" s="12" t="s">
        <v>170</v>
      </c>
      <c r="C37" s="40" t="s">
        <v>111</v>
      </c>
      <c r="E37" s="12" t="s">
        <v>560</v>
      </c>
      <c r="F37" s="12" t="s">
        <v>561</v>
      </c>
      <c r="I37" s="70">
        <v>245995.86799999999</v>
      </c>
      <c r="J37" s="2">
        <v>12913</v>
      </c>
      <c r="K37" s="2">
        <v>142080.976</v>
      </c>
      <c r="L37" s="70">
        <f t="shared" si="3"/>
        <v>116827.89199999999</v>
      </c>
      <c r="M37" s="40">
        <f t="shared" si="0"/>
        <v>0</v>
      </c>
      <c r="N37" s="40"/>
      <c r="O37" s="2"/>
      <c r="P37" s="14">
        <f t="shared" si="1"/>
        <v>0</v>
      </c>
      <c r="Q37" s="15"/>
      <c r="R37" s="16"/>
      <c r="S37" s="16"/>
      <c r="T37" s="16"/>
      <c r="U37" s="15"/>
      <c r="V37" s="15"/>
      <c r="W37" s="15"/>
      <c r="X37" s="17">
        <f t="shared" si="2"/>
        <v>0</v>
      </c>
      <c r="Y37" s="17"/>
      <c r="Z37" s="18">
        <f t="shared" si="4"/>
        <v>0</v>
      </c>
      <c r="AA37" s="17"/>
      <c r="AB37" s="17">
        <f t="shared" si="5"/>
        <v>0</v>
      </c>
      <c r="AM37" s="135"/>
      <c r="AN37" s="45"/>
      <c r="AO37" s="45"/>
      <c r="AP37" s="145"/>
      <c r="AQ37" s="146"/>
      <c r="AT37" s="146"/>
      <c r="AU37" s="146"/>
    </row>
    <row r="38" spans="1:55">
      <c r="A38" s="12" t="s">
        <v>171</v>
      </c>
      <c r="B38" s="12" t="s">
        <v>172</v>
      </c>
      <c r="C38" s="2">
        <v>7000000</v>
      </c>
      <c r="E38" s="12" t="s">
        <v>562</v>
      </c>
      <c r="F38" s="12" t="s">
        <v>563</v>
      </c>
      <c r="I38" s="70">
        <v>217068.96400000001</v>
      </c>
      <c r="J38" s="2"/>
      <c r="K38" s="2">
        <v>38.835999999999999</v>
      </c>
      <c r="L38" s="76">
        <f t="shared" si="3"/>
        <v>217030.128</v>
      </c>
      <c r="M38" s="2">
        <f t="shared" si="0"/>
        <v>0</v>
      </c>
      <c r="N38" s="2">
        <v>7500000</v>
      </c>
      <c r="O38" s="2"/>
      <c r="P38" s="14">
        <f t="shared" si="1"/>
        <v>7500000</v>
      </c>
      <c r="Q38" s="15"/>
      <c r="R38" s="16"/>
      <c r="S38" s="16"/>
      <c r="T38" s="16"/>
      <c r="U38" s="15"/>
      <c r="V38" s="15"/>
      <c r="W38" s="15"/>
      <c r="X38" s="17">
        <f t="shared" si="2"/>
        <v>7500000</v>
      </c>
      <c r="Y38" s="17"/>
      <c r="Z38" s="18">
        <f t="shared" si="4"/>
        <v>7500000</v>
      </c>
      <c r="AA38" s="17"/>
      <c r="AB38" s="17">
        <f t="shared" si="5"/>
        <v>-7500000</v>
      </c>
      <c r="AI38" s="136">
        <f>+L38+L39</f>
        <v>325974.45137000002</v>
      </c>
      <c r="AJ38" s="9">
        <v>46178194.920000002</v>
      </c>
      <c r="AL38" s="193"/>
      <c r="AM38" s="135"/>
      <c r="AN38" s="45"/>
      <c r="AO38" s="45"/>
      <c r="AP38" s="146"/>
      <c r="AQ38" s="146"/>
      <c r="AT38" s="146"/>
      <c r="AU38" s="146"/>
    </row>
    <row r="39" spans="1:55">
      <c r="A39" s="12" t="s">
        <v>173</v>
      </c>
      <c r="B39" s="12" t="s">
        <v>174</v>
      </c>
      <c r="C39" s="2">
        <v>1830000</v>
      </c>
      <c r="E39" s="12" t="s">
        <v>564</v>
      </c>
      <c r="F39" s="12" t="s">
        <v>565</v>
      </c>
      <c r="I39" s="70">
        <v>154788.78400000001</v>
      </c>
      <c r="J39" s="2">
        <v>1394.5</v>
      </c>
      <c r="K39" s="2">
        <v>47238.960630000001</v>
      </c>
      <c r="L39" s="76">
        <f t="shared" si="3"/>
        <v>108944.32337000001</v>
      </c>
      <c r="M39" s="40">
        <f t="shared" si="0"/>
        <v>0</v>
      </c>
      <c r="N39" s="2">
        <v>1970000</v>
      </c>
      <c r="O39" s="2"/>
      <c r="P39" s="14">
        <f t="shared" si="1"/>
        <v>1970000</v>
      </c>
      <c r="Q39" s="15"/>
      <c r="R39" s="16"/>
      <c r="S39" s="16"/>
      <c r="T39" s="16"/>
      <c r="U39" s="15"/>
      <c r="V39" s="15"/>
      <c r="W39" s="15"/>
      <c r="X39" s="17">
        <f t="shared" si="2"/>
        <v>1970000</v>
      </c>
      <c r="Y39" s="17"/>
      <c r="Z39" s="18">
        <f t="shared" si="4"/>
        <v>1970000</v>
      </c>
      <c r="AA39" s="17"/>
      <c r="AB39" s="17">
        <f t="shared" si="5"/>
        <v>-1970000</v>
      </c>
      <c r="AJ39" s="9">
        <v>84846125</v>
      </c>
      <c r="AL39" s="193"/>
      <c r="AM39" s="135"/>
      <c r="AN39" s="45"/>
      <c r="AO39" s="45"/>
      <c r="AP39" s="146"/>
      <c r="AQ39" s="146"/>
      <c r="AT39" s="146"/>
      <c r="AU39" s="146"/>
    </row>
    <row r="40" spans="1:55">
      <c r="A40" s="12" t="s">
        <v>175</v>
      </c>
      <c r="B40" s="12" t="s">
        <v>176</v>
      </c>
      <c r="C40" s="2">
        <v>4170728367.5999999</v>
      </c>
      <c r="E40" s="12" t="s">
        <v>566</v>
      </c>
      <c r="F40" s="12" t="s">
        <v>567</v>
      </c>
      <c r="I40" s="70">
        <v>1224.6099999999999</v>
      </c>
      <c r="J40" s="2"/>
      <c r="K40" s="2"/>
      <c r="L40" s="76">
        <f t="shared" si="3"/>
        <v>1224.6099999999999</v>
      </c>
      <c r="M40" s="2">
        <f t="shared" ref="M40:M54" si="6">(G40-H40+SUM(Q40:W40))/+$Y$7</f>
        <v>0</v>
      </c>
      <c r="N40" s="2">
        <v>1202672509</v>
      </c>
      <c r="O40" s="2"/>
      <c r="P40" s="14">
        <f t="shared" si="1"/>
        <v>1202672509</v>
      </c>
      <c r="Q40" s="15"/>
      <c r="R40" s="16"/>
      <c r="S40" s="16"/>
      <c r="T40" s="16"/>
      <c r="U40" s="15"/>
      <c r="V40" s="15"/>
      <c r="W40" s="15"/>
      <c r="X40" s="17">
        <f t="shared" si="2"/>
        <v>1202672509</v>
      </c>
      <c r="Y40" s="17"/>
      <c r="Z40" s="18">
        <f>X40/$Y$5</f>
        <v>1202672509</v>
      </c>
      <c r="AA40" s="17"/>
      <c r="AB40" s="17">
        <f t="shared" si="5"/>
        <v>-1202672509</v>
      </c>
      <c r="AI40" s="136">
        <f>+L40</f>
        <v>1224.6099999999999</v>
      </c>
      <c r="AJ40" s="9">
        <v>15014836448.209999</v>
      </c>
      <c r="AL40" s="193"/>
      <c r="AM40" s="135"/>
      <c r="AN40" s="45"/>
      <c r="AO40" s="45"/>
      <c r="AP40" s="146"/>
      <c r="AQ40" s="146"/>
      <c r="AT40" s="146"/>
      <c r="AU40" s="146"/>
    </row>
    <row r="41" spans="1:55">
      <c r="A41" s="12" t="s">
        <v>177</v>
      </c>
      <c r="B41" s="12" t="s">
        <v>178</v>
      </c>
      <c r="C41" s="2">
        <v>228381255.28</v>
      </c>
      <c r="E41" s="12" t="s">
        <v>568</v>
      </c>
      <c r="F41" s="12" t="s">
        <v>569</v>
      </c>
      <c r="I41" s="70">
        <v>24898.39</v>
      </c>
      <c r="J41" s="2">
        <v>4700</v>
      </c>
      <c r="K41" s="2">
        <v>70.990099999999998</v>
      </c>
      <c r="L41" s="76">
        <f t="shared" si="3"/>
        <v>29527.3999</v>
      </c>
      <c r="M41" s="2">
        <f t="shared" si="6"/>
        <v>0</v>
      </c>
      <c r="N41" s="2">
        <v>32107346.609999999</v>
      </c>
      <c r="O41" s="2"/>
      <c r="P41" s="14">
        <f t="shared" si="1"/>
        <v>32107346.609999999</v>
      </c>
      <c r="Q41" s="15"/>
      <c r="R41" s="16"/>
      <c r="S41" s="16"/>
      <c r="T41" s="16"/>
      <c r="U41" s="15"/>
      <c r="V41" s="15"/>
      <c r="W41" s="15"/>
      <c r="X41" s="17">
        <f t="shared" si="2"/>
        <v>32107346.609999999</v>
      </c>
      <c r="Y41" s="17"/>
      <c r="Z41" s="18">
        <f t="shared" si="4"/>
        <v>32107346.609999999</v>
      </c>
      <c r="AA41" s="17"/>
      <c r="AB41" s="17">
        <f t="shared" si="5"/>
        <v>-32107346.609999999</v>
      </c>
      <c r="AI41" s="136">
        <f>+L41</f>
        <v>29527.3999</v>
      </c>
      <c r="AJ41" s="9">
        <v>700040076.21000004</v>
      </c>
      <c r="AL41" s="193"/>
      <c r="AM41" s="135"/>
      <c r="AN41" s="45"/>
      <c r="AO41" s="45"/>
      <c r="AP41" s="146"/>
      <c r="AQ41" s="146"/>
      <c r="AT41" s="146"/>
      <c r="AU41" s="146"/>
    </row>
    <row r="42" spans="1:55">
      <c r="A42" s="12" t="s">
        <v>179</v>
      </c>
      <c r="B42" s="12" t="s">
        <v>180</v>
      </c>
      <c r="C42" s="2">
        <v>196212832</v>
      </c>
      <c r="E42" s="12" t="s">
        <v>4328</v>
      </c>
      <c r="F42" s="12" t="s">
        <v>4329</v>
      </c>
      <c r="I42" s="70">
        <v>227802.63200000001</v>
      </c>
      <c r="J42" s="2">
        <v>5131.0020000000004</v>
      </c>
      <c r="K42" s="2">
        <v>120094.01637</v>
      </c>
      <c r="L42" s="76">
        <f t="shared" si="3"/>
        <v>112839.61763000002</v>
      </c>
      <c r="M42" s="2">
        <f t="shared" si="6"/>
        <v>0</v>
      </c>
      <c r="N42" s="2">
        <v>57784054</v>
      </c>
      <c r="O42" s="2"/>
      <c r="P42" s="14">
        <f t="shared" si="1"/>
        <v>57784054</v>
      </c>
      <c r="Q42" s="15"/>
      <c r="R42" s="16"/>
      <c r="S42" s="16"/>
      <c r="T42" s="16"/>
      <c r="U42" s="15"/>
      <c r="V42" s="15"/>
      <c r="W42" s="15"/>
      <c r="X42" s="17">
        <f t="shared" si="2"/>
        <v>57784054</v>
      </c>
      <c r="Y42" s="17"/>
      <c r="Z42" s="18">
        <f t="shared" si="4"/>
        <v>57784054</v>
      </c>
      <c r="AA42" s="17"/>
      <c r="AB42" s="17">
        <f t="shared" si="5"/>
        <v>-57784054</v>
      </c>
      <c r="AI42" s="136">
        <f>+L42</f>
        <v>112839.61763000002</v>
      </c>
      <c r="AJ42" s="9">
        <v>755475118.04999995</v>
      </c>
      <c r="AL42" s="193"/>
      <c r="AM42" s="135"/>
      <c r="AN42" s="45"/>
      <c r="AO42" s="45"/>
      <c r="AP42" s="146"/>
      <c r="AQ42" s="146"/>
      <c r="AT42" s="146"/>
      <c r="AU42" s="146"/>
    </row>
    <row r="43" spans="1:55">
      <c r="A43" s="12" t="s">
        <v>181</v>
      </c>
      <c r="B43" s="12" t="s">
        <v>182</v>
      </c>
      <c r="C43" s="40" t="s">
        <v>111</v>
      </c>
      <c r="E43" s="12" t="s">
        <v>574</v>
      </c>
      <c r="F43" s="12" t="s">
        <v>575</v>
      </c>
      <c r="I43" s="70">
        <v>146104.48800000001</v>
      </c>
      <c r="J43" s="2">
        <v>16766.828999999998</v>
      </c>
      <c r="K43" s="2">
        <v>2190.3539999999998</v>
      </c>
      <c r="L43" s="76">
        <f t="shared" si="3"/>
        <v>160680.96300000002</v>
      </c>
      <c r="M43" s="40">
        <f t="shared" si="6"/>
        <v>0</v>
      </c>
      <c r="N43" s="40"/>
      <c r="O43" s="2"/>
      <c r="P43" s="14">
        <f t="shared" si="1"/>
        <v>0</v>
      </c>
      <c r="Q43" s="15"/>
      <c r="R43" s="16"/>
      <c r="S43" s="16"/>
      <c r="T43" s="16"/>
      <c r="U43" s="15"/>
      <c r="V43" s="15"/>
      <c r="W43" s="15"/>
      <c r="X43" s="17">
        <f t="shared" si="2"/>
        <v>0</v>
      </c>
      <c r="Y43" s="17"/>
      <c r="Z43" s="18">
        <f t="shared" si="4"/>
        <v>0</v>
      </c>
      <c r="AA43" s="17"/>
      <c r="AB43" s="17">
        <f t="shared" si="5"/>
        <v>0</v>
      </c>
      <c r="AI43" s="136">
        <f>+L43+L51+L52+L53</f>
        <v>222113.15740000003</v>
      </c>
      <c r="AK43" s="9">
        <v>573000</v>
      </c>
      <c r="AL43" s="193"/>
      <c r="AM43" s="135"/>
      <c r="AN43" s="45"/>
      <c r="AO43" s="45"/>
      <c r="AP43" s="146"/>
      <c r="AQ43" s="146"/>
      <c r="AT43" s="146"/>
      <c r="AU43" s="146"/>
    </row>
    <row r="44" spans="1:55">
      <c r="A44" s="12" t="s">
        <v>183</v>
      </c>
      <c r="B44" s="12" t="s">
        <v>184</v>
      </c>
      <c r="C44" s="2">
        <v>43156650</v>
      </c>
      <c r="E44" s="12" t="s">
        <v>576</v>
      </c>
      <c r="F44" s="12" t="s">
        <v>577</v>
      </c>
      <c r="I44" s="70">
        <v>263370.755</v>
      </c>
      <c r="J44" s="2">
        <v>31293.5</v>
      </c>
      <c r="K44" s="2">
        <v>47761.158029999999</v>
      </c>
      <c r="L44" s="76">
        <f t="shared" si="3"/>
        <v>246903.09697000001</v>
      </c>
      <c r="M44" s="40">
        <f t="shared" si="6"/>
        <v>0</v>
      </c>
      <c r="N44" s="2">
        <v>40000000</v>
      </c>
      <c r="O44" s="2"/>
      <c r="P44" s="14">
        <f t="shared" si="1"/>
        <v>40000000</v>
      </c>
      <c r="Q44" s="15"/>
      <c r="R44" s="16"/>
      <c r="S44" s="16"/>
      <c r="T44" s="16"/>
      <c r="U44" s="15"/>
      <c r="V44" s="7"/>
      <c r="W44" s="7"/>
      <c r="X44" s="17">
        <f t="shared" si="2"/>
        <v>40000000</v>
      </c>
      <c r="Y44" s="17"/>
      <c r="Z44" s="18">
        <f t="shared" si="4"/>
        <v>40000000</v>
      </c>
      <c r="AA44" s="17"/>
      <c r="AB44" s="17">
        <f t="shared" si="5"/>
        <v>-40000000</v>
      </c>
      <c r="AI44" s="136">
        <f>+L44</f>
        <v>246903.09697000001</v>
      </c>
      <c r="AJ44" s="9">
        <v>40000000</v>
      </c>
      <c r="AL44" s="193"/>
      <c r="AM44" s="135"/>
      <c r="AN44" s="45"/>
      <c r="AO44" s="45"/>
      <c r="AP44" s="146"/>
      <c r="AQ44" s="146"/>
      <c r="AT44" s="146"/>
      <c r="AU44" s="146"/>
    </row>
    <row r="45" spans="1:55">
      <c r="A45" s="12" t="s">
        <v>185</v>
      </c>
      <c r="B45" s="12" t="s">
        <v>186</v>
      </c>
      <c r="C45" s="40" t="s">
        <v>111</v>
      </c>
      <c r="E45" s="12" t="s">
        <v>580</v>
      </c>
      <c r="F45" s="12" t="s">
        <v>581</v>
      </c>
      <c r="I45" s="70">
        <v>758444.01500000001</v>
      </c>
      <c r="J45" s="2">
        <v>1996.9</v>
      </c>
      <c r="K45" s="2"/>
      <c r="L45" s="76">
        <f t="shared" si="3"/>
        <v>760440.91500000004</v>
      </c>
      <c r="M45" s="40">
        <f t="shared" si="6"/>
        <v>0</v>
      </c>
      <c r="N45" s="40"/>
      <c r="O45" s="2"/>
      <c r="P45" s="14">
        <f t="shared" si="1"/>
        <v>0</v>
      </c>
      <c r="Q45" s="15"/>
      <c r="R45" s="16"/>
      <c r="S45" s="16"/>
      <c r="T45" s="16"/>
      <c r="U45" s="15"/>
      <c r="V45" s="15"/>
      <c r="W45" s="15"/>
      <c r="X45" s="17">
        <f t="shared" si="2"/>
        <v>0</v>
      </c>
      <c r="Y45" s="17"/>
      <c r="Z45" s="18">
        <f t="shared" si="4"/>
        <v>0</v>
      </c>
      <c r="AA45" s="17"/>
      <c r="AB45" s="17">
        <f t="shared" si="5"/>
        <v>0</v>
      </c>
      <c r="AI45" s="136"/>
      <c r="AK45" s="9">
        <v>111752433</v>
      </c>
      <c r="AM45" s="135"/>
      <c r="AN45" s="45"/>
      <c r="AO45" s="45"/>
      <c r="AP45" s="145"/>
      <c r="AQ45" s="146"/>
      <c r="AT45" s="146"/>
      <c r="AU45" s="146"/>
    </row>
    <row r="46" spans="1:55" ht="15.5">
      <c r="A46" s="12" t="s">
        <v>187</v>
      </c>
      <c r="B46" s="12" t="s">
        <v>188</v>
      </c>
      <c r="C46" s="2">
        <v>380463038.74000001</v>
      </c>
      <c r="E46" s="12" t="s">
        <v>582</v>
      </c>
      <c r="F46" s="12" t="s">
        <v>4330</v>
      </c>
      <c r="I46" s="70">
        <v>72161.59</v>
      </c>
      <c r="J46" s="2">
        <v>4192.6559999999999</v>
      </c>
      <c r="K46" s="2">
        <v>7702.0290000000005</v>
      </c>
      <c r="L46" s="76">
        <f t="shared" si="3"/>
        <v>68652.217000000004</v>
      </c>
      <c r="M46" s="2">
        <f t="shared" si="6"/>
        <v>0</v>
      </c>
      <c r="N46" s="40"/>
      <c r="O46" s="2">
        <v>45775386.520000003</v>
      </c>
      <c r="P46" s="14">
        <f t="shared" si="1"/>
        <v>-45775386.520000003</v>
      </c>
      <c r="Q46" s="15"/>
      <c r="R46" s="43"/>
      <c r="S46" s="16"/>
      <c r="T46" s="16"/>
      <c r="U46" s="15"/>
      <c r="V46" s="15"/>
      <c r="W46" s="15"/>
      <c r="X46" s="17">
        <f t="shared" si="2"/>
        <v>-45775386.520000003</v>
      </c>
      <c r="Y46" s="17"/>
      <c r="Z46" s="18">
        <f t="shared" si="4"/>
        <v>-45775386.520000003</v>
      </c>
      <c r="AA46" s="17"/>
      <c r="AB46" s="17">
        <f t="shared" si="5"/>
        <v>45775386.520000003</v>
      </c>
      <c r="AI46" s="136">
        <f>+L46</f>
        <v>68652.217000000004</v>
      </c>
      <c r="AJ46" s="9">
        <v>2167747904.48</v>
      </c>
      <c r="AM46" s="135"/>
      <c r="AN46" s="45"/>
      <c r="AO46" s="45"/>
      <c r="AP46" s="146"/>
      <c r="AQ46" s="146"/>
      <c r="AT46" s="146"/>
      <c r="AU46" s="146"/>
    </row>
    <row r="47" spans="1:55">
      <c r="A47" s="12" t="s">
        <v>189</v>
      </c>
      <c r="B47" s="12" t="s">
        <v>38</v>
      </c>
      <c r="C47" s="2">
        <v>877936500</v>
      </c>
      <c r="E47" s="12" t="s">
        <v>4331</v>
      </c>
      <c r="F47" s="12" t="s">
        <v>587</v>
      </c>
      <c r="I47" s="70">
        <v>4135794.0932799992</v>
      </c>
      <c r="J47" s="2">
        <v>84824.145000000004</v>
      </c>
      <c r="K47" s="2">
        <v>3913.21</v>
      </c>
      <c r="L47" s="76">
        <f t="shared" si="3"/>
        <v>4216705.0282799993</v>
      </c>
      <c r="M47" s="2">
        <f t="shared" si="6"/>
        <v>0</v>
      </c>
      <c r="N47" s="2">
        <v>229803409</v>
      </c>
      <c r="O47" s="2"/>
      <c r="P47" s="14">
        <f t="shared" si="1"/>
        <v>229803409</v>
      </c>
      <c r="Q47" s="15"/>
      <c r="R47" s="16"/>
      <c r="S47" s="16"/>
      <c r="T47" s="16"/>
      <c r="U47" s="15"/>
      <c r="V47" s="15"/>
      <c r="W47" s="15"/>
      <c r="X47" s="17">
        <f t="shared" si="2"/>
        <v>229803409</v>
      </c>
      <c r="Y47" s="17"/>
      <c r="Z47" s="18">
        <f t="shared" si="4"/>
        <v>229803409</v>
      </c>
      <c r="AA47" s="17"/>
      <c r="AB47" s="17">
        <f t="shared" si="5"/>
        <v>-229803409</v>
      </c>
      <c r="AI47" s="136">
        <f>+L47</f>
        <v>4216705.0282799993</v>
      </c>
      <c r="AJ47" s="9">
        <v>2913911777</v>
      </c>
      <c r="AL47" s="193"/>
      <c r="AM47" s="135"/>
      <c r="AN47" s="45"/>
      <c r="AO47" s="45"/>
      <c r="AP47" s="146"/>
      <c r="AQ47" s="146"/>
      <c r="AT47" s="146"/>
      <c r="AU47" s="146"/>
      <c r="BC47" t="s">
        <v>334</v>
      </c>
    </row>
    <row r="48" spans="1:55">
      <c r="A48" s="12" t="s">
        <v>190</v>
      </c>
      <c r="B48" s="12" t="s">
        <v>191</v>
      </c>
      <c r="C48" s="2">
        <v>297021642.88</v>
      </c>
      <c r="E48" s="12" t="s">
        <v>4332</v>
      </c>
      <c r="F48" s="12" t="s">
        <v>4333</v>
      </c>
      <c r="I48" s="70">
        <v>247</v>
      </c>
      <c r="J48" s="2"/>
      <c r="K48" s="2"/>
      <c r="L48" s="76">
        <f t="shared" si="3"/>
        <v>247</v>
      </c>
      <c r="M48" s="2">
        <f t="shared" si="6"/>
        <v>0</v>
      </c>
      <c r="N48" s="2">
        <v>121428374.64</v>
      </c>
      <c r="O48" s="2"/>
      <c r="P48" s="14">
        <f t="shared" si="1"/>
        <v>121428374.64</v>
      </c>
      <c r="Q48" s="15"/>
      <c r="R48" s="16"/>
      <c r="S48" s="16"/>
      <c r="T48" s="16"/>
      <c r="U48" s="15"/>
      <c r="V48" s="15"/>
      <c r="W48" s="15"/>
      <c r="X48" s="17">
        <f t="shared" si="2"/>
        <v>121428374.64</v>
      </c>
      <c r="Y48" s="17"/>
      <c r="Z48" s="18">
        <f t="shared" si="4"/>
        <v>121428374.64</v>
      </c>
      <c r="AA48" s="17"/>
      <c r="AB48" s="17">
        <f t="shared" si="5"/>
        <v>-121428374.64</v>
      </c>
      <c r="AJ48" s="9">
        <v>1777927595.6800001</v>
      </c>
      <c r="AL48" s="193"/>
      <c r="AM48" s="135"/>
      <c r="AN48" s="45"/>
      <c r="AO48" s="45"/>
      <c r="AP48" s="146"/>
      <c r="AQ48" s="146"/>
      <c r="AT48" s="146"/>
      <c r="AU48" s="146"/>
    </row>
    <row r="49" spans="1:47">
      <c r="A49" s="12" t="s">
        <v>192</v>
      </c>
      <c r="B49" s="12" t="s">
        <v>193</v>
      </c>
      <c r="C49" s="2">
        <v>31850000</v>
      </c>
      <c r="E49" s="12" t="s">
        <v>592</v>
      </c>
      <c r="F49" s="12" t="s">
        <v>593</v>
      </c>
      <c r="I49" s="70">
        <v>162756.26</v>
      </c>
      <c r="J49" s="2"/>
      <c r="K49" s="2"/>
      <c r="L49" s="76">
        <f t="shared" si="3"/>
        <v>162756.26</v>
      </c>
      <c r="M49" s="40">
        <f t="shared" si="6"/>
        <v>0</v>
      </c>
      <c r="N49" s="40"/>
      <c r="O49" s="2"/>
      <c r="P49" s="14">
        <f t="shared" si="1"/>
        <v>0</v>
      </c>
      <c r="Q49" s="15"/>
      <c r="R49" s="16"/>
      <c r="S49" s="16"/>
      <c r="T49" s="16"/>
      <c r="U49" s="15"/>
      <c r="V49" s="15"/>
      <c r="W49" s="15"/>
      <c r="X49" s="17">
        <f t="shared" si="2"/>
        <v>0</v>
      </c>
      <c r="Y49" s="17"/>
      <c r="Z49" s="18">
        <f t="shared" si="4"/>
        <v>0</v>
      </c>
      <c r="AA49" s="17"/>
      <c r="AB49" s="17">
        <f t="shared" si="5"/>
        <v>0</v>
      </c>
      <c r="AI49" s="136">
        <f>+L49</f>
        <v>162756.26</v>
      </c>
      <c r="AJ49" s="9">
        <v>320645000</v>
      </c>
      <c r="AL49" s="193"/>
      <c r="AM49" s="135"/>
      <c r="AN49" s="45"/>
      <c r="AO49" s="45"/>
      <c r="AP49" s="146"/>
      <c r="AQ49" s="146"/>
      <c r="AT49" s="146"/>
      <c r="AU49" s="146"/>
    </row>
    <row r="50" spans="1:47">
      <c r="A50" s="12" t="s">
        <v>194</v>
      </c>
      <c r="B50" s="12" t="s">
        <v>195</v>
      </c>
      <c r="C50" s="2">
        <v>128845125.95999999</v>
      </c>
      <c r="E50" s="12" t="s">
        <v>596</v>
      </c>
      <c r="F50" s="12" t="s">
        <v>597</v>
      </c>
      <c r="I50" s="70">
        <v>860857.79099999997</v>
      </c>
      <c r="J50" s="2">
        <v>124218.701</v>
      </c>
      <c r="K50" s="2"/>
      <c r="L50" s="76">
        <f t="shared" si="3"/>
        <v>985076.49199999997</v>
      </c>
      <c r="M50" s="2">
        <f t="shared" si="6"/>
        <v>0</v>
      </c>
      <c r="N50" s="2">
        <v>85234700</v>
      </c>
      <c r="O50" s="2"/>
      <c r="P50" s="14">
        <f t="shared" si="1"/>
        <v>85234700</v>
      </c>
      <c r="Q50" s="15"/>
      <c r="R50" s="16"/>
      <c r="S50" s="16"/>
      <c r="T50" s="16"/>
      <c r="U50" s="15"/>
      <c r="V50" s="15"/>
      <c r="W50" s="15"/>
      <c r="X50" s="17">
        <f t="shared" si="2"/>
        <v>85234700</v>
      </c>
      <c r="Y50" s="17"/>
      <c r="Z50" s="18">
        <f t="shared" si="4"/>
        <v>85234700</v>
      </c>
      <c r="AA50" s="17"/>
      <c r="AB50" s="17">
        <f t="shared" si="5"/>
        <v>-85234700</v>
      </c>
      <c r="AI50" s="136">
        <f>+L50+L21</f>
        <v>985126.49199999997</v>
      </c>
      <c r="AJ50" s="9">
        <v>730543977.96000004</v>
      </c>
      <c r="AL50" s="193"/>
      <c r="AM50" s="135"/>
      <c r="AN50" s="45"/>
      <c r="AO50" s="45"/>
      <c r="AP50" s="146"/>
      <c r="AQ50" s="146"/>
      <c r="AT50" s="146"/>
      <c r="AU50" s="146"/>
    </row>
    <row r="51" spans="1:47">
      <c r="A51" s="12" t="s">
        <v>196</v>
      </c>
      <c r="B51" s="12" t="s">
        <v>197</v>
      </c>
      <c r="C51" s="40" t="s">
        <v>111</v>
      </c>
      <c r="E51" s="12" t="s">
        <v>598</v>
      </c>
      <c r="F51" s="12" t="s">
        <v>599</v>
      </c>
      <c r="I51" s="70">
        <v>1688.759</v>
      </c>
      <c r="J51" s="2"/>
      <c r="K51" s="2"/>
      <c r="L51" s="76">
        <f t="shared" si="3"/>
        <v>1688.759</v>
      </c>
      <c r="M51" s="40">
        <f t="shared" si="6"/>
        <v>0</v>
      </c>
      <c r="N51" s="40"/>
      <c r="O51" s="2"/>
      <c r="P51" s="14">
        <f t="shared" si="1"/>
        <v>0</v>
      </c>
      <c r="Q51" s="15"/>
      <c r="R51" s="16"/>
      <c r="S51" s="16"/>
      <c r="T51" s="16"/>
      <c r="U51" s="15"/>
      <c r="V51" s="15"/>
      <c r="W51" s="15"/>
      <c r="X51" s="17">
        <f t="shared" si="2"/>
        <v>0</v>
      </c>
      <c r="Y51" s="17"/>
      <c r="Z51" s="18">
        <f t="shared" si="4"/>
        <v>0</v>
      </c>
      <c r="AA51" s="17"/>
      <c r="AB51" s="17">
        <f t="shared" si="5"/>
        <v>0</v>
      </c>
      <c r="AJ51" s="9">
        <v>40806528.479999997</v>
      </c>
      <c r="AL51" s="193"/>
      <c r="AM51" s="135"/>
      <c r="AN51" s="45"/>
      <c r="AO51" s="45"/>
      <c r="AP51" s="146"/>
      <c r="AQ51" s="146"/>
      <c r="AT51" s="146"/>
      <c r="AU51" s="146"/>
    </row>
    <row r="52" spans="1:47">
      <c r="A52" s="12" t="s">
        <v>198</v>
      </c>
      <c r="B52" s="12" t="s">
        <v>199</v>
      </c>
      <c r="C52" s="2">
        <v>86019619</v>
      </c>
      <c r="E52" s="12" t="s">
        <v>604</v>
      </c>
      <c r="F52" s="12" t="s">
        <v>605</v>
      </c>
      <c r="I52" s="70">
        <v>84754.89</v>
      </c>
      <c r="J52" s="2"/>
      <c r="K52" s="2">
        <v>25011.454600000001</v>
      </c>
      <c r="L52" s="76">
        <f t="shared" si="3"/>
        <v>59743.435400000002</v>
      </c>
      <c r="M52" s="2">
        <f t="shared" si="6"/>
        <v>0</v>
      </c>
      <c r="N52" s="2">
        <v>8540364.7100000009</v>
      </c>
      <c r="O52" s="2"/>
      <c r="P52" s="14">
        <f t="shared" si="1"/>
        <v>8540364.7100000009</v>
      </c>
      <c r="Q52" s="15"/>
      <c r="R52" s="16"/>
      <c r="S52" s="16"/>
      <c r="T52" s="16"/>
      <c r="U52" s="15"/>
      <c r="V52" s="15"/>
      <c r="W52" s="15"/>
      <c r="X52" s="17">
        <f t="shared" si="2"/>
        <v>8540364.7100000009</v>
      </c>
      <c r="Y52" s="17"/>
      <c r="Z52" s="18">
        <f t="shared" si="4"/>
        <v>8540364.7100000009</v>
      </c>
      <c r="AA52" s="17"/>
      <c r="AB52" s="17">
        <f t="shared" si="5"/>
        <v>-8540364.7100000009</v>
      </c>
      <c r="AJ52" s="9">
        <v>404766065.49000001</v>
      </c>
      <c r="AL52" s="193"/>
      <c r="AM52" s="135"/>
      <c r="AN52" s="45"/>
      <c r="AO52" s="45"/>
      <c r="AP52" s="146"/>
      <c r="AQ52" s="146"/>
      <c r="AT52" s="146"/>
      <c r="AU52" s="146"/>
    </row>
    <row r="53" spans="1:47">
      <c r="A53" s="12" t="s">
        <v>200</v>
      </c>
      <c r="B53" s="12" t="s">
        <v>201</v>
      </c>
      <c r="C53" s="40" t="s">
        <v>111</v>
      </c>
      <c r="E53" s="12" t="s">
        <v>606</v>
      </c>
      <c r="F53" s="12" t="s">
        <v>607</v>
      </c>
      <c r="I53" s="70">
        <v>0</v>
      </c>
      <c r="J53" s="2"/>
      <c r="K53" s="2"/>
      <c r="L53" s="76">
        <f t="shared" si="3"/>
        <v>0</v>
      </c>
      <c r="M53" s="40">
        <f t="shared" si="6"/>
        <v>0</v>
      </c>
      <c r="N53" s="2">
        <v>2320000</v>
      </c>
      <c r="O53" s="2"/>
      <c r="P53" s="14">
        <f t="shared" si="1"/>
        <v>2320000</v>
      </c>
      <c r="Q53" s="15"/>
      <c r="R53" s="16"/>
      <c r="S53" s="16"/>
      <c r="T53" s="16"/>
      <c r="U53" s="15"/>
      <c r="V53" s="15"/>
      <c r="W53" s="15"/>
      <c r="X53" s="17">
        <f t="shared" si="2"/>
        <v>2320000</v>
      </c>
      <c r="Y53" s="17"/>
      <c r="Z53" s="18">
        <f t="shared" si="4"/>
        <v>2320000</v>
      </c>
      <c r="AA53" s="17"/>
      <c r="AB53" s="17">
        <f t="shared" si="5"/>
        <v>-2320000</v>
      </c>
      <c r="AJ53" s="9">
        <v>23105814.059999999</v>
      </c>
      <c r="AL53" s="193"/>
      <c r="AM53" s="135"/>
      <c r="AN53" s="45"/>
      <c r="AO53" s="45"/>
      <c r="AP53" s="146"/>
      <c r="AQ53" s="146"/>
      <c r="AT53" s="146"/>
      <c r="AU53" s="146"/>
    </row>
    <row r="54" spans="1:47">
      <c r="A54" s="12" t="s">
        <v>202</v>
      </c>
      <c r="B54" s="12" t="s">
        <v>203</v>
      </c>
      <c r="C54" s="40" t="s">
        <v>111</v>
      </c>
      <c r="E54" s="12" t="s">
        <v>608</v>
      </c>
      <c r="F54" s="12" t="s">
        <v>4334</v>
      </c>
      <c r="I54" s="70">
        <v>18295.272000000001</v>
      </c>
      <c r="J54" s="2">
        <v>6095.3190000000004</v>
      </c>
      <c r="K54" s="2"/>
      <c r="L54" s="70">
        <f t="shared" si="3"/>
        <v>24390.591</v>
      </c>
      <c r="M54" s="40">
        <f t="shared" si="6"/>
        <v>0</v>
      </c>
      <c r="N54" s="40"/>
      <c r="O54" s="2"/>
      <c r="P54" s="14">
        <f t="shared" si="1"/>
        <v>0</v>
      </c>
      <c r="Q54" s="15"/>
      <c r="R54" s="16"/>
      <c r="S54" s="16"/>
      <c r="T54" s="16"/>
      <c r="U54" s="15"/>
      <c r="V54" s="15"/>
      <c r="W54" s="15"/>
      <c r="X54" s="17">
        <f t="shared" si="2"/>
        <v>0</v>
      </c>
      <c r="Y54" s="17"/>
      <c r="Z54" s="18">
        <f t="shared" si="4"/>
        <v>0</v>
      </c>
      <c r="AA54" s="17"/>
      <c r="AB54" s="17">
        <f t="shared" si="5"/>
        <v>0</v>
      </c>
      <c r="AM54" s="135"/>
      <c r="AN54" s="45"/>
      <c r="AO54" s="45"/>
      <c r="AP54" s="145"/>
      <c r="AQ54" s="146"/>
      <c r="AT54" s="146"/>
      <c r="AU54" s="146"/>
    </row>
    <row r="55" spans="1:47">
      <c r="A55" s="12" t="s">
        <v>204</v>
      </c>
      <c r="B55" s="12" t="s">
        <v>205</v>
      </c>
      <c r="C55" s="2">
        <v>490771883.57999998</v>
      </c>
      <c r="E55" s="12" t="s">
        <v>4335</v>
      </c>
      <c r="F55" s="12" t="s">
        <v>4336</v>
      </c>
      <c r="I55" s="70">
        <v>0</v>
      </c>
      <c r="J55" s="2"/>
      <c r="K55" s="2"/>
      <c r="L55" s="76">
        <f t="shared" si="3"/>
        <v>0</v>
      </c>
      <c r="M55" s="2">
        <f>(G55-H55+SUM(Q55:W55))/+$Y$7</f>
        <v>0</v>
      </c>
      <c r="N55" s="2">
        <v>46877800</v>
      </c>
      <c r="O55" s="2"/>
      <c r="P55" s="14">
        <f>N55-O55</f>
        <v>46877800</v>
      </c>
      <c r="Q55" s="15"/>
      <c r="R55" s="16"/>
      <c r="S55" s="16"/>
      <c r="T55" s="16"/>
      <c r="U55" s="15"/>
      <c r="V55" s="15"/>
      <c r="W55" s="15"/>
      <c r="X55" s="17">
        <f t="shared" ref="X55:X64" si="7">SUM(P55:W55)</f>
        <v>46877800</v>
      </c>
      <c r="Y55" s="17"/>
      <c r="Z55" s="18">
        <f t="shared" si="4"/>
        <v>46877800</v>
      </c>
      <c r="AA55" s="17"/>
      <c r="AB55" s="17">
        <f t="shared" si="5"/>
        <v>-46877800</v>
      </c>
      <c r="AJ55" s="9">
        <v>497374332</v>
      </c>
      <c r="AL55" s="193"/>
      <c r="AM55" s="135"/>
      <c r="AN55" s="45"/>
      <c r="AO55" s="45"/>
      <c r="AP55" s="146"/>
      <c r="AQ55" s="146"/>
      <c r="AT55" s="146"/>
      <c r="AU55" s="146"/>
    </row>
    <row r="56" spans="1:47" s="291" customFormat="1">
      <c r="A56" s="282" t="s">
        <v>206</v>
      </c>
      <c r="B56" s="282" t="s">
        <v>207</v>
      </c>
      <c r="C56" s="283">
        <v>38400103.159999996</v>
      </c>
      <c r="D56" s="283"/>
      <c r="E56" s="282" t="s">
        <v>614</v>
      </c>
      <c r="F56" s="282" t="s">
        <v>615</v>
      </c>
      <c r="G56" s="284"/>
      <c r="H56" s="136"/>
      <c r="I56" s="285">
        <v>820201.4</v>
      </c>
      <c r="J56" s="283"/>
      <c r="K56" s="283">
        <v>10229.957</v>
      </c>
      <c r="L56" s="286">
        <f t="shared" si="3"/>
        <v>809971.44299999997</v>
      </c>
      <c r="M56" s="287">
        <f>(G56-H56+SUM(Q56:W56))/+$Y$7</f>
        <v>0</v>
      </c>
      <c r="N56" s="283">
        <v>73417763</v>
      </c>
      <c r="O56" s="283"/>
      <c r="P56" s="288">
        <f>N56-O56</f>
        <v>73417763</v>
      </c>
      <c r="Q56" s="289"/>
      <c r="R56" s="289"/>
      <c r="S56" s="289"/>
      <c r="T56" s="289"/>
      <c r="U56" s="289"/>
      <c r="V56" s="289"/>
      <c r="W56" s="289"/>
      <c r="X56" s="289">
        <f t="shared" si="7"/>
        <v>73417763</v>
      </c>
      <c r="Y56" s="289"/>
      <c r="Z56" s="289">
        <f t="shared" si="4"/>
        <v>73417763</v>
      </c>
      <c r="AA56" s="289"/>
      <c r="AB56" s="289">
        <f t="shared" si="5"/>
        <v>-73417763</v>
      </c>
      <c r="AC56" s="136"/>
      <c r="AD56" s="136"/>
      <c r="AE56" s="136"/>
      <c r="AF56" s="136"/>
      <c r="AG56" s="136"/>
      <c r="AH56" s="136"/>
      <c r="AI56" s="136"/>
      <c r="AJ56" s="136">
        <v>227928424</v>
      </c>
      <c r="AK56" s="136"/>
      <c r="AL56" s="290"/>
      <c r="AM56" s="284"/>
      <c r="AN56" s="145"/>
      <c r="AO56" s="145"/>
      <c r="AP56" s="146"/>
      <c r="AQ56" s="146"/>
      <c r="AR56" s="143"/>
      <c r="AS56" s="143"/>
      <c r="AT56" s="146"/>
      <c r="AU56" s="146"/>
    </row>
    <row r="57" spans="1:47">
      <c r="A57" s="12"/>
      <c r="B57" s="12"/>
      <c r="C57" s="40"/>
      <c r="E57" s="12" t="s">
        <v>628</v>
      </c>
      <c r="F57" s="12" t="s">
        <v>629</v>
      </c>
      <c r="I57" s="70">
        <v>10845808.907</v>
      </c>
      <c r="J57" s="2">
        <v>52185.856</v>
      </c>
      <c r="K57" s="2">
        <v>67692</v>
      </c>
      <c r="L57" s="199">
        <f t="shared" si="3"/>
        <v>10830302.763</v>
      </c>
      <c r="M57" s="2"/>
      <c r="N57" s="2">
        <v>2619807415.5500002</v>
      </c>
      <c r="O57" s="2"/>
      <c r="P57" s="14">
        <f>N57-O57</f>
        <v>2619807415.5500002</v>
      </c>
      <c r="Q57" s="15"/>
      <c r="R57" s="16"/>
      <c r="S57" s="8"/>
      <c r="T57" s="16"/>
      <c r="U57" s="15"/>
      <c r="V57" s="15"/>
      <c r="W57" s="15"/>
      <c r="X57" s="17">
        <f t="shared" si="7"/>
        <v>2619807415.5500002</v>
      </c>
      <c r="Y57" s="17"/>
      <c r="Z57" s="18"/>
      <c r="AA57" s="17"/>
      <c r="AB57" s="17">
        <f t="shared" si="5"/>
        <v>0</v>
      </c>
      <c r="AJ57" s="9">
        <v>32861315271.68</v>
      </c>
      <c r="AM57" s="135"/>
      <c r="AN57" s="45"/>
      <c r="AO57" s="45"/>
      <c r="AP57" s="146"/>
      <c r="AQ57" s="146"/>
      <c r="AT57" s="146"/>
      <c r="AU57" s="146"/>
    </row>
    <row r="58" spans="1:47">
      <c r="A58" s="12"/>
      <c r="B58" s="12"/>
      <c r="C58" s="40"/>
      <c r="E58" s="12" t="s">
        <v>4337</v>
      </c>
      <c r="F58" s="12" t="s">
        <v>4338</v>
      </c>
      <c r="I58" s="70">
        <v>0</v>
      </c>
      <c r="J58" s="2"/>
      <c r="K58" s="2"/>
      <c r="L58" s="199">
        <f t="shared" si="3"/>
        <v>0</v>
      </c>
      <c r="M58" s="2"/>
      <c r="N58" s="2">
        <v>11924231769.389999</v>
      </c>
      <c r="O58" s="2">
        <v>11924231769.389999</v>
      </c>
      <c r="P58" s="14">
        <f>N58-O58</f>
        <v>0</v>
      </c>
      <c r="Q58" s="15"/>
      <c r="S58" s="16"/>
      <c r="T58" s="16"/>
      <c r="U58" s="15"/>
      <c r="V58" s="15"/>
      <c r="W58" s="15"/>
      <c r="X58" s="17">
        <f t="shared" si="7"/>
        <v>0</v>
      </c>
      <c r="Y58" s="17"/>
      <c r="Z58" s="18"/>
      <c r="AA58" s="17"/>
      <c r="AB58" s="17">
        <f t="shared" si="5"/>
        <v>0</v>
      </c>
      <c r="AJ58" s="9">
        <v>152739350981.26999</v>
      </c>
      <c r="AK58" s="9">
        <v>152739350981.26999</v>
      </c>
      <c r="AM58" s="135"/>
      <c r="AO58" s="45"/>
      <c r="AP58" s="146"/>
      <c r="AQ58" s="146"/>
      <c r="AT58" s="146"/>
      <c r="AU58" s="146"/>
    </row>
    <row r="59" spans="1:47" ht="15.5">
      <c r="A59" s="12"/>
      <c r="B59" s="12"/>
      <c r="C59" s="40"/>
      <c r="E59" s="12" t="s">
        <v>630</v>
      </c>
      <c r="F59" s="12" t="s">
        <v>631</v>
      </c>
      <c r="I59" s="70">
        <v>23175166.867349997</v>
      </c>
      <c r="J59" s="2">
        <v>49547.714</v>
      </c>
      <c r="K59" s="2">
        <v>44871</v>
      </c>
      <c r="L59" s="199">
        <f t="shared" si="3"/>
        <v>23179843.581349999</v>
      </c>
      <c r="M59" s="40"/>
      <c r="N59" s="40"/>
      <c r="O59" s="2">
        <v>2619807415.5500002</v>
      </c>
      <c r="P59" s="14">
        <f>N59-O59</f>
        <v>-2619807415.5500002</v>
      </c>
      <c r="Q59" s="44"/>
      <c r="R59" s="16"/>
      <c r="S59" s="16"/>
      <c r="T59" s="16"/>
      <c r="U59" s="15"/>
      <c r="V59" s="15"/>
      <c r="W59" s="15"/>
      <c r="X59" s="17">
        <f t="shared" si="7"/>
        <v>-2619807415.5500002</v>
      </c>
      <c r="Y59" s="17"/>
      <c r="Z59" s="18"/>
      <c r="AA59" s="17"/>
      <c r="AB59" s="17">
        <f t="shared" si="5"/>
        <v>0</v>
      </c>
      <c r="AI59" s="136">
        <f>+L59+L60+L61+L62</f>
        <v>23822885.891349997</v>
      </c>
      <c r="AK59" s="9">
        <v>32861315271.68</v>
      </c>
      <c r="AM59" s="135"/>
      <c r="AN59" s="45"/>
      <c r="AO59" s="45"/>
      <c r="AP59" s="145"/>
      <c r="AQ59" s="146"/>
      <c r="AT59" s="146"/>
      <c r="AU59" s="146"/>
    </row>
    <row r="60" spans="1:47">
      <c r="A60" s="12" t="s">
        <v>208</v>
      </c>
      <c r="B60" s="12" t="s">
        <v>209</v>
      </c>
      <c r="C60" s="40" t="s">
        <v>111</v>
      </c>
      <c r="D60" s="2">
        <v>28736000</v>
      </c>
      <c r="E60" s="12" t="s">
        <v>4339</v>
      </c>
      <c r="F60" s="12" t="s">
        <v>633</v>
      </c>
      <c r="I60" s="70">
        <v>643042.31000000006</v>
      </c>
      <c r="J60" s="2"/>
      <c r="K60" s="2"/>
      <c r="L60" s="199">
        <f t="shared" si="3"/>
        <v>643042.31000000006</v>
      </c>
      <c r="M60" s="68">
        <f>(G60-H60+SUM(Q60:W60))/+$Y$7</f>
        <v>-111838.915811089</v>
      </c>
      <c r="N60" s="40" t="s">
        <v>111</v>
      </c>
      <c r="O60" s="2"/>
      <c r="P60" s="14">
        <f t="shared" ref="P60:P102" si="8">G60-H60</f>
        <v>0</v>
      </c>
      <c r="Q60" s="15"/>
      <c r="R60" s="16"/>
      <c r="S60" s="16"/>
      <c r="T60" s="16"/>
      <c r="U60" s="15"/>
      <c r="V60" s="7"/>
      <c r="W60" s="7">
        <v>-111838.915811089</v>
      </c>
      <c r="X60" s="17">
        <f t="shared" si="7"/>
        <v>-111838.915811089</v>
      </c>
      <c r="Y60" s="17"/>
      <c r="Z60" s="18">
        <f t="shared" ref="Z60:Z99" si="9">X60/$Y$7</f>
        <v>-111838.915811089</v>
      </c>
      <c r="AA60" s="17"/>
      <c r="AB60" s="17">
        <f>M60-Z60</f>
        <v>0</v>
      </c>
      <c r="AD60" s="12" t="s">
        <v>208</v>
      </c>
      <c r="AE60" s="12" t="s">
        <v>209</v>
      </c>
      <c r="AF60" s="45" t="s">
        <v>111</v>
      </c>
      <c r="AG60" s="46"/>
      <c r="AK60" s="9">
        <v>501000000</v>
      </c>
      <c r="AM60" s="135"/>
      <c r="AN60" s="45"/>
      <c r="AO60" s="45"/>
      <c r="AP60" s="145"/>
      <c r="AQ60" s="146"/>
      <c r="AT60" s="146"/>
      <c r="AU60" s="146"/>
    </row>
    <row r="61" spans="1:47">
      <c r="A61" s="12" t="s">
        <v>210</v>
      </c>
      <c r="B61" s="12" t="s">
        <v>211</v>
      </c>
      <c r="C61" s="40" t="s">
        <v>111</v>
      </c>
      <c r="D61" s="2">
        <v>18894456505.110001</v>
      </c>
      <c r="E61" s="12" t="s">
        <v>634</v>
      </c>
      <c r="F61" s="12" t="s">
        <v>635</v>
      </c>
      <c r="I61" s="70">
        <v>0</v>
      </c>
      <c r="J61" s="2"/>
      <c r="K61" s="2"/>
      <c r="L61" s="199">
        <f t="shared" si="3"/>
        <v>0</v>
      </c>
      <c r="M61" s="40">
        <f>(G61-H61+SUM(Q61:W61))/+$Y$7</f>
        <v>0</v>
      </c>
      <c r="N61" s="40" t="s">
        <v>111</v>
      </c>
      <c r="O61" s="2"/>
      <c r="P61" s="14">
        <f t="shared" si="8"/>
        <v>0</v>
      </c>
      <c r="Q61" s="15"/>
      <c r="R61" s="16"/>
      <c r="S61" s="16"/>
      <c r="T61" s="16"/>
      <c r="U61" s="15"/>
      <c r="V61" s="15"/>
      <c r="W61" s="15"/>
      <c r="X61" s="17">
        <f t="shared" si="7"/>
        <v>0</v>
      </c>
      <c r="Y61" s="17"/>
      <c r="Z61" s="18">
        <f t="shared" si="9"/>
        <v>0</v>
      </c>
      <c r="AA61" s="17"/>
      <c r="AB61" s="17">
        <f t="shared" ref="AB61:AB110" si="10">M61-Z61</f>
        <v>0</v>
      </c>
      <c r="AD61" s="12" t="s">
        <v>210</v>
      </c>
      <c r="AE61" s="12" t="s">
        <v>211</v>
      </c>
      <c r="AF61" s="45" t="s">
        <v>111</v>
      </c>
      <c r="AG61" s="46"/>
      <c r="AK61" s="9">
        <v>100146665141.84</v>
      </c>
      <c r="AM61" s="135"/>
      <c r="AN61" s="45"/>
      <c r="AO61" s="45"/>
      <c r="AP61" s="145"/>
      <c r="AQ61" s="146"/>
      <c r="AT61" s="146"/>
      <c r="AU61" s="146"/>
    </row>
    <row r="62" spans="1:47">
      <c r="A62" s="12" t="s">
        <v>212</v>
      </c>
      <c r="B62" s="12" t="s">
        <v>213</v>
      </c>
      <c r="C62" s="40" t="s">
        <v>111</v>
      </c>
      <c r="E62" s="12" t="s">
        <v>636</v>
      </c>
      <c r="F62" s="12" t="s">
        <v>637</v>
      </c>
      <c r="I62" s="70">
        <v>0</v>
      </c>
      <c r="J62" s="2"/>
      <c r="K62" s="2"/>
      <c r="L62" s="199">
        <f t="shared" si="3"/>
        <v>0</v>
      </c>
      <c r="M62" s="68">
        <f>(G62-H62+SUM(Q62:W62))/+$Y$7</f>
        <v>111838.915811089</v>
      </c>
      <c r="N62" s="40" t="s">
        <v>111</v>
      </c>
      <c r="O62" s="2"/>
      <c r="P62" s="14">
        <f t="shared" si="8"/>
        <v>0</v>
      </c>
      <c r="Q62" s="15"/>
      <c r="R62" s="16"/>
      <c r="S62" s="16"/>
      <c r="T62" s="16"/>
      <c r="U62" s="15"/>
      <c r="V62" s="15"/>
      <c r="W62" s="15">
        <v>111838.915811089</v>
      </c>
      <c r="X62" s="17">
        <f t="shared" si="7"/>
        <v>111838.915811089</v>
      </c>
      <c r="Y62" s="17"/>
      <c r="Z62" s="18">
        <f t="shared" si="9"/>
        <v>111838.915811089</v>
      </c>
      <c r="AA62" s="17"/>
      <c r="AB62" s="17">
        <f t="shared" si="10"/>
        <v>0</v>
      </c>
      <c r="AD62" s="12" t="s">
        <v>212</v>
      </c>
      <c r="AE62" s="12" t="s">
        <v>213</v>
      </c>
      <c r="AF62" s="45" t="s">
        <v>111</v>
      </c>
      <c r="AG62" s="46"/>
      <c r="AM62" s="135"/>
      <c r="AN62" s="45"/>
      <c r="AO62" s="45"/>
      <c r="AP62" s="145"/>
      <c r="AQ62" s="146"/>
      <c r="AT62" s="146"/>
      <c r="AU62" s="146"/>
    </row>
    <row r="63" spans="1:47">
      <c r="A63" s="12" t="s">
        <v>214</v>
      </c>
      <c r="B63" s="12" t="s">
        <v>215</v>
      </c>
      <c r="C63" s="40" t="s">
        <v>111</v>
      </c>
      <c r="D63" s="2">
        <v>927995642.36000001</v>
      </c>
      <c r="E63" s="12" t="s">
        <v>638</v>
      </c>
      <c r="F63" s="12" t="s">
        <v>639</v>
      </c>
      <c r="I63" s="70">
        <v>11871005.026000001</v>
      </c>
      <c r="J63" s="2">
        <v>939.06600000000003</v>
      </c>
      <c r="K63" s="2"/>
      <c r="L63" s="199">
        <f t="shared" si="3"/>
        <v>11871944.092</v>
      </c>
      <c r="M63" s="40">
        <f t="shared" ref="M63:M110" si="11">(G63-H63+SUM(Q63:W63))/+$Y$7</f>
        <v>0</v>
      </c>
      <c r="N63" s="2">
        <v>110106152.41</v>
      </c>
      <c r="O63" s="2"/>
      <c r="P63" s="14">
        <f t="shared" si="8"/>
        <v>0</v>
      </c>
      <c r="Q63" s="15"/>
      <c r="R63" s="16"/>
      <c r="S63" s="16"/>
      <c r="T63" s="16"/>
      <c r="U63" s="15"/>
      <c r="V63" s="15"/>
      <c r="W63" s="15"/>
      <c r="X63" s="17">
        <f t="shared" si="7"/>
        <v>0</v>
      </c>
      <c r="Y63" s="17"/>
      <c r="Z63" s="18">
        <f t="shared" si="9"/>
        <v>0</v>
      </c>
      <c r="AA63" s="17"/>
      <c r="AB63" s="17">
        <f t="shared" si="10"/>
        <v>0</v>
      </c>
      <c r="AD63" s="12" t="s">
        <v>214</v>
      </c>
      <c r="AE63" s="12" t="s">
        <v>215</v>
      </c>
      <c r="AF63" s="46">
        <v>100403857.43000001</v>
      </c>
      <c r="AG63" s="46"/>
      <c r="AI63" s="136">
        <f>+L63</f>
        <v>11871944.092</v>
      </c>
      <c r="AK63" s="9">
        <v>2445789841.0999999</v>
      </c>
      <c r="AM63" s="135"/>
      <c r="AN63" s="45"/>
      <c r="AO63" s="45"/>
      <c r="AP63" s="145"/>
      <c r="AQ63" s="146"/>
      <c r="AT63" s="146"/>
      <c r="AU63" s="146"/>
    </row>
    <row r="64" spans="1:47">
      <c r="A64" s="12" t="s">
        <v>218</v>
      </c>
      <c r="B64" s="12" t="s">
        <v>219</v>
      </c>
      <c r="C64" s="2">
        <v>863288998.49000001</v>
      </c>
      <c r="E64" s="12" t="s">
        <v>642</v>
      </c>
      <c r="F64" s="12" t="s">
        <v>643</v>
      </c>
      <c r="I64" s="70">
        <v>-13.391999999999999</v>
      </c>
      <c r="J64" s="2"/>
      <c r="K64" s="2"/>
      <c r="L64" s="199">
        <f t="shared" si="3"/>
        <v>-13.391999999999999</v>
      </c>
      <c r="M64" s="40">
        <f t="shared" si="11"/>
        <v>0</v>
      </c>
      <c r="N64" s="2">
        <v>750000000</v>
      </c>
      <c r="O64" s="2"/>
      <c r="P64" s="14">
        <f t="shared" si="8"/>
        <v>0</v>
      </c>
      <c r="Q64" s="15"/>
      <c r="R64" s="16"/>
      <c r="S64" s="16"/>
      <c r="T64" s="16"/>
      <c r="U64" s="15"/>
      <c r="V64" s="15"/>
      <c r="W64" s="15"/>
      <c r="X64" s="17">
        <f t="shared" si="7"/>
        <v>0</v>
      </c>
      <c r="Y64" s="17"/>
      <c r="Z64" s="18">
        <f>X64/$Y$7</f>
        <v>0</v>
      </c>
      <c r="AA64" s="17"/>
      <c r="AB64" s="17">
        <f>M64-Z64</f>
        <v>0</v>
      </c>
      <c r="AD64" s="12" t="s">
        <v>216</v>
      </c>
      <c r="AE64" s="12" t="s">
        <v>217</v>
      </c>
      <c r="AF64" s="45" t="s">
        <v>111</v>
      </c>
      <c r="AG64" s="46"/>
      <c r="AK64" s="9">
        <v>6000000000</v>
      </c>
      <c r="AM64" s="135"/>
      <c r="AN64" s="45"/>
      <c r="AO64" s="45"/>
      <c r="AP64" s="145"/>
      <c r="AQ64" s="146"/>
      <c r="AT64" s="146"/>
      <c r="AU64" s="146"/>
    </row>
    <row r="65" spans="1:47">
      <c r="A65" s="12" t="s">
        <v>222</v>
      </c>
      <c r="B65" s="12" t="s">
        <v>223</v>
      </c>
      <c r="C65" s="2">
        <v>874526331.86000001</v>
      </c>
      <c r="E65" s="296" t="s">
        <v>647</v>
      </c>
      <c r="F65" s="296" t="s">
        <v>648</v>
      </c>
      <c r="G65" s="297"/>
      <c r="H65" s="298"/>
      <c r="I65" s="299">
        <v>-252005.05</v>
      </c>
      <c r="J65" s="300"/>
      <c r="K65" s="300">
        <f>68990</f>
        <v>68990</v>
      </c>
      <c r="L65" s="301">
        <f t="shared" si="3"/>
        <v>-320995.05</v>
      </c>
      <c r="M65" s="300">
        <f t="shared" si="11"/>
        <v>0</v>
      </c>
      <c r="N65" s="302" t="s">
        <v>111</v>
      </c>
      <c r="O65" s="300">
        <v>113898524.68000001</v>
      </c>
      <c r="P65" s="303">
        <f t="shared" si="8"/>
        <v>0</v>
      </c>
      <c r="Q65" s="304"/>
      <c r="R65" s="304"/>
      <c r="S65" s="304"/>
      <c r="T65" s="304"/>
      <c r="U65" s="304"/>
      <c r="V65" s="304"/>
      <c r="W65" s="304"/>
      <c r="X65" s="304">
        <f t="shared" ref="X65:X81" si="12">SUM(P65:W65)</f>
        <v>0</v>
      </c>
      <c r="Y65" s="304"/>
      <c r="Z65" s="304">
        <f t="shared" si="9"/>
        <v>0</v>
      </c>
      <c r="AA65" s="304"/>
      <c r="AB65" s="304">
        <f t="shared" si="10"/>
        <v>0</v>
      </c>
      <c r="AC65" s="298"/>
      <c r="AD65" s="296" t="s">
        <v>220</v>
      </c>
      <c r="AE65" s="296" t="s">
        <v>221</v>
      </c>
      <c r="AF65" s="305">
        <v>143658379</v>
      </c>
      <c r="AG65" s="305"/>
      <c r="AH65" s="298"/>
      <c r="AI65" s="298"/>
      <c r="AJ65" s="9">
        <v>3421974405.21</v>
      </c>
      <c r="AM65" s="135"/>
      <c r="AN65" s="45"/>
      <c r="AO65" s="45"/>
      <c r="AP65" s="146"/>
      <c r="AQ65" s="146"/>
      <c r="AT65" s="146"/>
      <c r="AU65" s="146"/>
    </row>
    <row r="66" spans="1:47">
      <c r="A66" s="12" t="s">
        <v>224</v>
      </c>
      <c r="B66" s="12" t="s">
        <v>225</v>
      </c>
      <c r="C66" s="2">
        <v>500000</v>
      </c>
      <c r="E66" s="12" t="s">
        <v>649</v>
      </c>
      <c r="F66" s="12" t="s">
        <v>650</v>
      </c>
      <c r="I66" s="70">
        <v>-54952.046999999999</v>
      </c>
      <c r="J66" s="2"/>
      <c r="K66" s="2"/>
      <c r="L66" s="199">
        <f t="shared" si="3"/>
        <v>-54952.046999999999</v>
      </c>
      <c r="M66" s="2">
        <f t="shared" si="11"/>
        <v>0</v>
      </c>
      <c r="N66" s="2">
        <v>53138026.299999997</v>
      </c>
      <c r="O66" s="2"/>
      <c r="P66" s="14">
        <f t="shared" si="8"/>
        <v>0</v>
      </c>
      <c r="Q66" s="15"/>
      <c r="R66" s="16"/>
      <c r="S66" s="16"/>
      <c r="T66" s="16"/>
      <c r="U66" s="15"/>
      <c r="V66" s="15"/>
      <c r="W66" s="15"/>
      <c r="X66" s="17">
        <f t="shared" si="12"/>
        <v>0</v>
      </c>
      <c r="Y66" s="17"/>
      <c r="Z66" s="18">
        <f t="shared" si="9"/>
        <v>0</v>
      </c>
      <c r="AA66" s="17"/>
      <c r="AB66" s="17">
        <f t="shared" si="10"/>
        <v>0</v>
      </c>
      <c r="AD66" s="12" t="s">
        <v>222</v>
      </c>
      <c r="AE66" s="12" t="s">
        <v>223</v>
      </c>
      <c r="AF66" s="46">
        <v>25687209.719999999</v>
      </c>
      <c r="AG66" s="46"/>
      <c r="AJ66" s="9">
        <v>1647230400.8699999</v>
      </c>
      <c r="AM66" s="135"/>
      <c r="AN66" s="45"/>
      <c r="AO66" s="45"/>
      <c r="AP66" s="146"/>
      <c r="AQ66" s="146"/>
      <c r="AT66" s="146"/>
      <c r="AU66" s="146"/>
    </row>
    <row r="67" spans="1:47">
      <c r="A67" s="12" t="s">
        <v>226</v>
      </c>
      <c r="B67" s="12" t="s">
        <v>227</v>
      </c>
      <c r="C67" s="2">
        <v>328825870.88</v>
      </c>
      <c r="E67" s="12" t="s">
        <v>651</v>
      </c>
      <c r="F67" s="12" t="s">
        <v>652</v>
      </c>
      <c r="I67" s="70">
        <v>-299560.44400000002</v>
      </c>
      <c r="J67" s="2"/>
      <c r="K67" s="2"/>
      <c r="L67" s="199">
        <f t="shared" si="3"/>
        <v>-299560.44400000002</v>
      </c>
      <c r="M67" s="2">
        <f t="shared" si="11"/>
        <v>0</v>
      </c>
      <c r="N67" s="40" t="s">
        <v>111</v>
      </c>
      <c r="O67" s="2"/>
      <c r="P67" s="14">
        <f t="shared" si="8"/>
        <v>0</v>
      </c>
      <c r="Q67" s="15"/>
      <c r="R67" s="16"/>
      <c r="S67" s="16"/>
      <c r="T67" s="16"/>
      <c r="U67" s="15"/>
      <c r="V67" s="15"/>
      <c r="W67" s="15"/>
      <c r="X67" s="17">
        <f t="shared" si="12"/>
        <v>0</v>
      </c>
      <c r="Y67" s="17"/>
      <c r="Z67" s="18">
        <f t="shared" si="9"/>
        <v>0</v>
      </c>
      <c r="AA67" s="17"/>
      <c r="AB67" s="17">
        <f t="shared" si="10"/>
        <v>0</v>
      </c>
      <c r="AD67" s="12" t="s">
        <v>224</v>
      </c>
      <c r="AE67" s="12" t="s">
        <v>225</v>
      </c>
      <c r="AF67" s="45" t="s">
        <v>111</v>
      </c>
      <c r="AG67" s="46"/>
      <c r="AJ67" s="9">
        <v>0.28000000000000003</v>
      </c>
      <c r="AM67" s="135"/>
      <c r="AN67" s="45"/>
      <c r="AO67" s="45"/>
      <c r="AP67" s="146"/>
      <c r="AQ67" s="146"/>
      <c r="AT67" s="146"/>
      <c r="AU67" s="146"/>
    </row>
    <row r="68" spans="1:47">
      <c r="A68" s="12" t="s">
        <v>230</v>
      </c>
      <c r="B68" s="12" t="s">
        <v>231</v>
      </c>
      <c r="C68" s="40" t="s">
        <v>111</v>
      </c>
      <c r="D68" s="2">
        <v>9059474682.3700008</v>
      </c>
      <c r="E68" s="12" t="s">
        <v>657</v>
      </c>
      <c r="F68" s="12" t="s">
        <v>656</v>
      </c>
      <c r="I68" s="70">
        <v>66383.441999999995</v>
      </c>
      <c r="J68" s="2"/>
      <c r="K68" s="2"/>
      <c r="L68" s="200">
        <f t="shared" si="3"/>
        <v>66383.441999999995</v>
      </c>
      <c r="M68" s="40" t="e">
        <f t="shared" si="11"/>
        <v>#REF!</v>
      </c>
      <c r="N68" s="40" t="s">
        <v>111</v>
      </c>
      <c r="O68" s="2"/>
      <c r="P68" s="14">
        <f t="shared" si="8"/>
        <v>0</v>
      </c>
      <c r="R68" s="16"/>
      <c r="S68" s="16" t="e">
        <f>-#REF!</f>
        <v>#REF!</v>
      </c>
      <c r="T68" s="16"/>
      <c r="U68" s="7"/>
      <c r="V68" s="9"/>
      <c r="X68" s="17" t="e">
        <f t="shared" si="12"/>
        <v>#REF!</v>
      </c>
      <c r="Y68" s="17"/>
      <c r="Z68" s="18" t="e">
        <f t="shared" si="9"/>
        <v>#REF!</v>
      </c>
      <c r="AA68" s="17"/>
      <c r="AB68" s="17" t="e">
        <f t="shared" si="10"/>
        <v>#REF!</v>
      </c>
      <c r="AD68" s="12" t="s">
        <v>228</v>
      </c>
      <c r="AE68" s="12" t="s">
        <v>229</v>
      </c>
      <c r="AF68" s="45" t="s">
        <v>111</v>
      </c>
      <c r="AG68" s="46"/>
      <c r="AM68" s="135"/>
      <c r="AN68" s="45"/>
      <c r="AO68" s="45"/>
      <c r="AP68" s="145"/>
      <c r="AQ68" s="146"/>
      <c r="AT68" s="146"/>
      <c r="AU68" s="146"/>
    </row>
    <row r="69" spans="1:47">
      <c r="A69" s="12" t="s">
        <v>232</v>
      </c>
      <c r="B69" s="12" t="s">
        <v>233</v>
      </c>
      <c r="C69" s="40" t="s">
        <v>111</v>
      </c>
      <c r="D69" s="2">
        <v>97923510.609999999</v>
      </c>
      <c r="E69" s="12" t="s">
        <v>658</v>
      </c>
      <c r="F69" s="12" t="s">
        <v>659</v>
      </c>
      <c r="I69" s="70">
        <v>-359.42099999999999</v>
      </c>
      <c r="J69" s="2"/>
      <c r="K69" s="2"/>
      <c r="L69" s="200">
        <f t="shared" si="3"/>
        <v>-359.42099999999999</v>
      </c>
      <c r="M69" s="68">
        <f t="shared" si="11"/>
        <v>10274000000</v>
      </c>
      <c r="N69" s="2">
        <v>3850042493</v>
      </c>
      <c r="O69" s="2"/>
      <c r="P69" s="14">
        <f t="shared" si="8"/>
        <v>0</v>
      </c>
      <c r="R69" s="16"/>
      <c r="S69" s="16">
        <f>-S40</f>
        <v>0</v>
      </c>
      <c r="T69" s="8">
        <f>-T40</f>
        <v>0</v>
      </c>
      <c r="U69" s="15">
        <f>2200000*4670</f>
        <v>10274000000</v>
      </c>
      <c r="V69" s="15"/>
      <c r="W69" s="15"/>
      <c r="X69" s="17">
        <f t="shared" si="12"/>
        <v>10274000000</v>
      </c>
      <c r="Y69" s="17"/>
      <c r="Z69" s="18">
        <f t="shared" si="9"/>
        <v>10274000000</v>
      </c>
      <c r="AA69" s="17"/>
      <c r="AB69" s="17">
        <f t="shared" si="10"/>
        <v>0</v>
      </c>
      <c r="AD69" s="12" t="s">
        <v>230</v>
      </c>
      <c r="AE69" s="12" t="s">
        <v>231</v>
      </c>
      <c r="AF69" s="46">
        <v>7375142308</v>
      </c>
      <c r="AG69" s="46"/>
      <c r="AI69" s="136">
        <f>+L69+L70</f>
        <v>-29612.272999999997</v>
      </c>
      <c r="AK69" s="9">
        <v>11695651889.540001</v>
      </c>
      <c r="AM69" s="135"/>
      <c r="AN69" s="45"/>
      <c r="AO69" s="45"/>
      <c r="AP69" s="145"/>
      <c r="AQ69" s="146"/>
      <c r="AT69" s="146"/>
      <c r="AU69" s="146"/>
    </row>
    <row r="70" spans="1:47">
      <c r="A70" s="12" t="s">
        <v>234</v>
      </c>
      <c r="B70" s="12" t="s">
        <v>235</v>
      </c>
      <c r="C70" s="40" t="s">
        <v>111</v>
      </c>
      <c r="E70" s="12" t="s">
        <v>660</v>
      </c>
      <c r="F70" s="12" t="s">
        <v>661</v>
      </c>
      <c r="I70" s="70">
        <v>-29252.851999999999</v>
      </c>
      <c r="J70" s="2"/>
      <c r="K70" s="2"/>
      <c r="L70" s="202">
        <f t="shared" si="3"/>
        <v>-29252.851999999999</v>
      </c>
      <c r="M70" s="40">
        <f t="shared" si="11"/>
        <v>0</v>
      </c>
      <c r="N70" s="40" t="s">
        <v>111</v>
      </c>
      <c r="O70" s="2">
        <v>10886544</v>
      </c>
      <c r="P70" s="14">
        <f t="shared" si="8"/>
        <v>0</v>
      </c>
      <c r="Q70" s="15"/>
      <c r="R70" s="8"/>
      <c r="S70" s="16"/>
      <c r="T70" s="16"/>
      <c r="U70" s="15"/>
      <c r="V70" s="15"/>
      <c r="W70" s="15"/>
      <c r="X70" s="17">
        <f t="shared" si="12"/>
        <v>0</v>
      </c>
      <c r="Y70" s="17"/>
      <c r="Z70" s="18">
        <f t="shared" si="9"/>
        <v>0</v>
      </c>
      <c r="AA70" s="17"/>
      <c r="AB70" s="17">
        <f t="shared" si="10"/>
        <v>0</v>
      </c>
      <c r="AD70" s="12" t="s">
        <v>232</v>
      </c>
      <c r="AE70" s="12" t="s">
        <v>233</v>
      </c>
      <c r="AF70" s="46">
        <v>207143697</v>
      </c>
      <c r="AG70" s="46"/>
      <c r="AK70" s="9">
        <v>181842729.69</v>
      </c>
      <c r="AM70" s="135"/>
      <c r="AN70" s="45"/>
      <c r="AO70" s="45"/>
      <c r="AP70" s="145"/>
      <c r="AQ70" s="146"/>
      <c r="AT70" s="146"/>
      <c r="AU70" s="146"/>
    </row>
    <row r="71" spans="1:47">
      <c r="A71" s="12" t="s">
        <v>236</v>
      </c>
      <c r="B71" s="12" t="s">
        <v>237</v>
      </c>
      <c r="C71" s="40" t="s">
        <v>111</v>
      </c>
      <c r="E71" s="12" t="s">
        <v>662</v>
      </c>
      <c r="F71" s="12" t="s">
        <v>663</v>
      </c>
      <c r="I71" s="70">
        <v>687316.28</v>
      </c>
      <c r="J71" s="2"/>
      <c r="K71" s="2"/>
      <c r="L71" s="202">
        <f t="shared" si="3"/>
        <v>687316.28</v>
      </c>
      <c r="M71" s="40">
        <f t="shared" si="11"/>
        <v>0</v>
      </c>
      <c r="N71" s="40" t="s">
        <v>111</v>
      </c>
      <c r="O71" s="2"/>
      <c r="P71" s="14">
        <f t="shared" si="8"/>
        <v>0</v>
      </c>
      <c r="Q71" s="15"/>
      <c r="R71" s="16"/>
      <c r="S71" s="16"/>
      <c r="T71" s="16"/>
      <c r="U71" s="15"/>
      <c r="V71" s="15"/>
      <c r="W71" s="15"/>
      <c r="X71" s="17">
        <f t="shared" si="12"/>
        <v>0</v>
      </c>
      <c r="Y71" s="17"/>
      <c r="Z71" s="18">
        <f t="shared" si="9"/>
        <v>0</v>
      </c>
      <c r="AA71" s="17"/>
      <c r="AB71" s="17">
        <f t="shared" si="10"/>
        <v>0</v>
      </c>
      <c r="AD71" s="12" t="s">
        <v>234</v>
      </c>
      <c r="AE71" s="12" t="s">
        <v>235</v>
      </c>
      <c r="AF71" s="45" t="s">
        <v>111</v>
      </c>
      <c r="AG71" s="46"/>
      <c r="AM71" s="135"/>
      <c r="AN71" s="45"/>
      <c r="AO71" s="45"/>
      <c r="AP71" s="145"/>
      <c r="AQ71" s="146"/>
      <c r="AT71" s="146"/>
      <c r="AU71" s="146"/>
    </row>
    <row r="72" spans="1:47">
      <c r="A72" s="12" t="s">
        <v>238</v>
      </c>
      <c r="B72" s="12" t="s">
        <v>239</v>
      </c>
      <c r="C72" s="40" t="s">
        <v>111</v>
      </c>
      <c r="E72" s="12" t="s">
        <v>664</v>
      </c>
      <c r="F72" s="12" t="s">
        <v>665</v>
      </c>
      <c r="I72" s="70">
        <v>15652.191999999999</v>
      </c>
      <c r="J72" s="2"/>
      <c r="K72" s="2"/>
      <c r="L72" s="200">
        <f t="shared" si="3"/>
        <v>15652.191999999999</v>
      </c>
      <c r="M72" s="40">
        <f t="shared" si="11"/>
        <v>0</v>
      </c>
      <c r="N72" s="40" t="s">
        <v>111</v>
      </c>
      <c r="O72" s="2"/>
      <c r="P72" s="14">
        <f t="shared" si="8"/>
        <v>0</v>
      </c>
      <c r="Q72" s="15"/>
      <c r="R72" s="16"/>
      <c r="S72" s="16"/>
      <c r="T72" s="16"/>
      <c r="U72" s="15"/>
      <c r="V72" s="15"/>
      <c r="W72" s="15"/>
      <c r="X72" s="17">
        <f t="shared" si="12"/>
        <v>0</v>
      </c>
      <c r="Y72" s="17"/>
      <c r="Z72" s="18">
        <f t="shared" si="9"/>
        <v>0</v>
      </c>
      <c r="AA72" s="17"/>
      <c r="AB72" s="17">
        <f t="shared" si="10"/>
        <v>0</v>
      </c>
      <c r="AD72" s="12" t="s">
        <v>236</v>
      </c>
      <c r="AE72" s="12" t="s">
        <v>237</v>
      </c>
      <c r="AF72" s="45" t="s">
        <v>111</v>
      </c>
      <c r="AG72" s="46"/>
      <c r="AM72" s="135"/>
      <c r="AN72" s="45"/>
      <c r="AO72" s="45"/>
      <c r="AP72" s="145"/>
      <c r="AQ72" s="146"/>
      <c r="AT72" s="146"/>
      <c r="AU72" s="146"/>
    </row>
    <row r="73" spans="1:47">
      <c r="A73" s="12" t="s">
        <v>242</v>
      </c>
      <c r="B73" s="12" t="s">
        <v>243</v>
      </c>
      <c r="C73" s="40" t="s">
        <v>111</v>
      </c>
      <c r="E73" s="12" t="s">
        <v>4340</v>
      </c>
      <c r="F73" s="12" t="s">
        <v>4341</v>
      </c>
      <c r="I73" s="70">
        <v>0</v>
      </c>
      <c r="J73" s="2"/>
      <c r="K73" s="2"/>
      <c r="L73" s="76">
        <f t="shared" si="3"/>
        <v>0</v>
      </c>
      <c r="M73" s="40">
        <f t="shared" si="11"/>
        <v>0</v>
      </c>
      <c r="N73" s="40" t="s">
        <v>111</v>
      </c>
      <c r="O73" s="2"/>
      <c r="P73" s="14">
        <f t="shared" si="8"/>
        <v>0</v>
      </c>
      <c r="Q73" s="15"/>
      <c r="R73" s="16"/>
      <c r="S73" s="16"/>
      <c r="T73" s="16"/>
      <c r="U73" s="15"/>
      <c r="V73" s="15"/>
      <c r="W73" s="15"/>
      <c r="X73" s="17">
        <f t="shared" si="12"/>
        <v>0</v>
      </c>
      <c r="Y73" s="17"/>
      <c r="Z73" s="18">
        <f t="shared" si="9"/>
        <v>0</v>
      </c>
      <c r="AA73" s="17"/>
      <c r="AB73" s="17">
        <f t="shared" si="10"/>
        <v>0</v>
      </c>
      <c r="AC73" s="8"/>
      <c r="AD73" s="12" t="s">
        <v>240</v>
      </c>
      <c r="AE73" s="12" t="s">
        <v>241</v>
      </c>
      <c r="AF73" s="45" t="s">
        <v>111</v>
      </c>
      <c r="AG73" s="46"/>
      <c r="AH73" s="8"/>
      <c r="AJ73" s="8"/>
      <c r="AK73" s="8"/>
      <c r="AM73" s="135"/>
      <c r="AN73" s="45"/>
      <c r="AO73" s="45"/>
      <c r="AP73" s="145"/>
      <c r="AQ73" s="146"/>
      <c r="AT73" s="146"/>
      <c r="AU73" s="146"/>
    </row>
    <row r="74" spans="1:47">
      <c r="A74" s="12" t="s">
        <v>244</v>
      </c>
      <c r="B74" s="12" t="s">
        <v>245</v>
      </c>
      <c r="C74" s="40" t="s">
        <v>111</v>
      </c>
      <c r="E74" s="12" t="s">
        <v>668</v>
      </c>
      <c r="F74" s="12" t="s">
        <v>669</v>
      </c>
      <c r="I74" s="70">
        <v>1023.744</v>
      </c>
      <c r="J74" s="2"/>
      <c r="K74" s="2"/>
      <c r="L74" s="199">
        <f t="shared" si="3"/>
        <v>1023.744</v>
      </c>
      <c r="M74" s="40">
        <f t="shared" si="11"/>
        <v>0</v>
      </c>
      <c r="N74" s="40" t="s">
        <v>111</v>
      </c>
      <c r="O74" s="2"/>
      <c r="P74" s="14">
        <f t="shared" si="8"/>
        <v>0</v>
      </c>
      <c r="Q74" s="15"/>
      <c r="R74" s="16"/>
      <c r="S74" s="16"/>
      <c r="T74" s="16"/>
      <c r="U74" s="15"/>
      <c r="V74" s="15"/>
      <c r="W74" s="15"/>
      <c r="X74" s="17">
        <f t="shared" si="12"/>
        <v>0</v>
      </c>
      <c r="Y74" s="17"/>
      <c r="Z74" s="18">
        <f t="shared" si="9"/>
        <v>0</v>
      </c>
      <c r="AA74" s="17"/>
      <c r="AB74" s="17">
        <f t="shared" si="10"/>
        <v>0</v>
      </c>
      <c r="AD74" s="12" t="s">
        <v>242</v>
      </c>
      <c r="AE74" s="12" t="s">
        <v>243</v>
      </c>
      <c r="AF74" s="45" t="s">
        <v>111</v>
      </c>
      <c r="AG74" s="46"/>
      <c r="AM74" s="135"/>
      <c r="AN74" s="45"/>
      <c r="AO74" s="45"/>
      <c r="AP74" s="145"/>
      <c r="AQ74" s="146"/>
      <c r="AT74" s="146"/>
      <c r="AU74" s="146"/>
    </row>
    <row r="75" spans="1:47">
      <c r="A75" s="12" t="s">
        <v>246</v>
      </c>
      <c r="B75" s="12" t="s">
        <v>247</v>
      </c>
      <c r="C75" s="40" t="s">
        <v>111</v>
      </c>
      <c r="E75" s="12" t="s">
        <v>670</v>
      </c>
      <c r="F75" s="12" t="s">
        <v>671</v>
      </c>
      <c r="I75" s="70">
        <v>69363.75</v>
      </c>
      <c r="J75" s="2"/>
      <c r="K75" s="2"/>
      <c r="L75" s="200">
        <f t="shared" ref="L75:L124" si="13">I75+J75-K75</f>
        <v>69363.75</v>
      </c>
      <c r="M75" s="40">
        <f t="shared" si="11"/>
        <v>0</v>
      </c>
      <c r="N75" s="40" t="s">
        <v>111</v>
      </c>
      <c r="O75" s="2"/>
      <c r="P75" s="14">
        <f t="shared" si="8"/>
        <v>0</v>
      </c>
      <c r="Q75" s="15"/>
      <c r="R75" s="16"/>
      <c r="S75" s="16"/>
      <c r="T75" s="16"/>
      <c r="U75" s="15"/>
      <c r="V75" s="15"/>
      <c r="W75" s="15"/>
      <c r="X75" s="17">
        <f t="shared" si="12"/>
        <v>0</v>
      </c>
      <c r="Y75" s="17"/>
      <c r="Z75" s="18">
        <f t="shared" si="9"/>
        <v>0</v>
      </c>
      <c r="AA75" s="17"/>
      <c r="AB75" s="17">
        <f t="shared" si="10"/>
        <v>0</v>
      </c>
      <c r="AD75" s="12" t="s">
        <v>244</v>
      </c>
      <c r="AE75" s="12" t="s">
        <v>245</v>
      </c>
      <c r="AF75" s="45" t="s">
        <v>111</v>
      </c>
      <c r="AG75" s="46"/>
      <c r="AM75" s="135"/>
      <c r="AN75" s="45"/>
      <c r="AO75" s="45"/>
      <c r="AP75" s="145"/>
      <c r="AQ75" s="146"/>
      <c r="AT75" s="146"/>
      <c r="AU75" s="146"/>
    </row>
    <row r="76" spans="1:47">
      <c r="A76" s="12" t="s">
        <v>248</v>
      </c>
      <c r="B76" s="12" t="s">
        <v>249</v>
      </c>
      <c r="C76" s="40" t="s">
        <v>111</v>
      </c>
      <c r="E76" s="12" t="s">
        <v>672</v>
      </c>
      <c r="F76" s="12" t="s">
        <v>673</v>
      </c>
      <c r="I76" s="70">
        <v>0</v>
      </c>
      <c r="J76" s="2"/>
      <c r="K76" s="2"/>
      <c r="L76" s="76">
        <f t="shared" si="13"/>
        <v>0</v>
      </c>
      <c r="M76" s="40">
        <f t="shared" si="11"/>
        <v>0</v>
      </c>
      <c r="N76" s="40" t="s">
        <v>111</v>
      </c>
      <c r="O76" s="2"/>
      <c r="P76" s="14">
        <f t="shared" si="8"/>
        <v>0</v>
      </c>
      <c r="Q76" s="15"/>
      <c r="R76" s="16"/>
      <c r="S76" s="16"/>
      <c r="T76" s="16"/>
      <c r="U76" s="15"/>
      <c r="V76" s="15"/>
      <c r="W76" s="15"/>
      <c r="X76" s="17">
        <f t="shared" si="12"/>
        <v>0</v>
      </c>
      <c r="Y76" s="17"/>
      <c r="Z76" s="18">
        <f t="shared" si="9"/>
        <v>0</v>
      </c>
      <c r="AA76" s="17"/>
      <c r="AB76" s="17">
        <f t="shared" si="10"/>
        <v>0</v>
      </c>
      <c r="AD76" s="12" t="s">
        <v>246</v>
      </c>
      <c r="AE76" s="12" t="s">
        <v>247</v>
      </c>
      <c r="AF76" s="45" t="s">
        <v>111</v>
      </c>
      <c r="AG76" s="46"/>
      <c r="AM76" s="135"/>
      <c r="AN76" s="45"/>
      <c r="AO76" s="45"/>
      <c r="AP76" s="145"/>
      <c r="AQ76" s="146"/>
      <c r="AT76" s="146"/>
      <c r="AU76" s="146"/>
    </row>
    <row r="77" spans="1:47">
      <c r="A77" s="12" t="s">
        <v>252</v>
      </c>
      <c r="B77" s="12" t="s">
        <v>253</v>
      </c>
      <c r="C77" s="2">
        <v>64889038578.230003</v>
      </c>
      <c r="E77" s="12" t="s">
        <v>4342</v>
      </c>
      <c r="F77" s="12" t="s">
        <v>4343</v>
      </c>
      <c r="I77" s="70">
        <v>0</v>
      </c>
      <c r="J77" s="2"/>
      <c r="K77" s="2"/>
      <c r="L77" s="76">
        <f t="shared" si="13"/>
        <v>0</v>
      </c>
      <c r="M77" s="2">
        <f t="shared" si="11"/>
        <v>0</v>
      </c>
      <c r="N77" s="40" t="s">
        <v>111</v>
      </c>
      <c r="O77" s="2">
        <v>2989500</v>
      </c>
      <c r="P77" s="14">
        <f t="shared" si="8"/>
        <v>0</v>
      </c>
      <c r="Q77" s="15"/>
      <c r="R77" s="16"/>
      <c r="S77" s="16"/>
      <c r="T77" s="16"/>
      <c r="U77" s="15"/>
      <c r="V77" s="15"/>
      <c r="W77" s="15"/>
      <c r="X77" s="17">
        <f t="shared" si="12"/>
        <v>0</v>
      </c>
      <c r="Y77" s="47"/>
      <c r="Z77" s="47">
        <f t="shared" si="9"/>
        <v>0</v>
      </c>
      <c r="AA77" s="47"/>
      <c r="AB77" s="17">
        <f t="shared" si="10"/>
        <v>0</v>
      </c>
      <c r="AD77" s="12" t="s">
        <v>250</v>
      </c>
      <c r="AE77" s="12" t="s">
        <v>251</v>
      </c>
      <c r="AF77" s="45" t="s">
        <v>111</v>
      </c>
      <c r="AG77" s="46"/>
      <c r="AK77" s="9">
        <v>0.03</v>
      </c>
      <c r="AM77" s="135"/>
      <c r="AN77" s="45"/>
      <c r="AO77" s="45"/>
      <c r="AP77" s="145"/>
      <c r="AQ77" s="146"/>
      <c r="AT77" s="146"/>
      <c r="AU77" s="146"/>
    </row>
    <row r="78" spans="1:47">
      <c r="A78" s="12" t="s">
        <v>254</v>
      </c>
      <c r="B78" s="12" t="s">
        <v>255</v>
      </c>
      <c r="C78" s="40" t="s">
        <v>111</v>
      </c>
      <c r="D78" s="2">
        <v>3521380669.0999999</v>
      </c>
      <c r="E78" s="12" t="s">
        <v>676</v>
      </c>
      <c r="F78" s="12" t="s">
        <v>677</v>
      </c>
      <c r="I78" s="70">
        <v>5962.1329999999998</v>
      </c>
      <c r="J78" s="2"/>
      <c r="K78" s="2">
        <f>(Journals!E42/1000)</f>
        <v>0</v>
      </c>
      <c r="L78" s="200">
        <f t="shared" si="13"/>
        <v>5962.1329999999998</v>
      </c>
      <c r="M78" s="2">
        <f t="shared" si="11"/>
        <v>0</v>
      </c>
      <c r="N78" s="40" t="s">
        <v>111</v>
      </c>
      <c r="O78" s="2">
        <v>7163689095.2799997</v>
      </c>
      <c r="P78" s="14">
        <f t="shared" si="8"/>
        <v>0</v>
      </c>
      <c r="Q78" s="15"/>
      <c r="R78" s="16"/>
      <c r="S78" s="8"/>
      <c r="T78" s="16"/>
      <c r="U78" s="7"/>
      <c r="V78" s="15"/>
      <c r="W78" s="15"/>
      <c r="X78" s="17">
        <f t="shared" si="12"/>
        <v>0</v>
      </c>
      <c r="Y78" s="47"/>
      <c r="Z78" s="47">
        <f t="shared" si="9"/>
        <v>0</v>
      </c>
      <c r="AA78" s="47"/>
      <c r="AB78" s="17">
        <f t="shared" si="10"/>
        <v>0</v>
      </c>
      <c r="AD78" s="12" t="s">
        <v>252</v>
      </c>
      <c r="AE78" s="12" t="s">
        <v>253</v>
      </c>
      <c r="AF78" s="46">
        <v>1549418199.8</v>
      </c>
      <c r="AG78" s="46"/>
      <c r="AJ78" s="9">
        <v>221702519642.16</v>
      </c>
      <c r="AM78" s="135"/>
      <c r="AN78" s="45"/>
      <c r="AO78" s="45"/>
      <c r="AP78" s="146"/>
      <c r="AQ78" s="146"/>
      <c r="AT78" s="146"/>
      <c r="AU78" s="146"/>
    </row>
    <row r="79" spans="1:47">
      <c r="A79" s="12"/>
      <c r="B79" s="12"/>
      <c r="E79" s="12" t="s">
        <v>682</v>
      </c>
      <c r="F79" s="12" t="s">
        <v>683</v>
      </c>
      <c r="I79" s="70">
        <v>905672.65595000004</v>
      </c>
      <c r="J79" s="2">
        <v>3499.9960000000001</v>
      </c>
      <c r="K79" s="2">
        <v>410432.56599999999</v>
      </c>
      <c r="L79" s="199">
        <f t="shared" si="13"/>
        <v>498740.0859500001</v>
      </c>
      <c r="M79" s="2">
        <f t="shared" si="11"/>
        <v>0</v>
      </c>
      <c r="N79" s="40" t="s">
        <v>111</v>
      </c>
      <c r="O79" s="2">
        <v>2195387.33</v>
      </c>
      <c r="P79" s="14"/>
      <c r="Q79" s="15"/>
      <c r="R79" s="16"/>
      <c r="S79" s="16"/>
      <c r="T79" s="16"/>
      <c r="U79" s="15"/>
      <c r="V79" s="15"/>
      <c r="W79" s="15"/>
      <c r="X79" s="17"/>
      <c r="Y79" s="47"/>
      <c r="Z79" s="47"/>
      <c r="AA79" s="47"/>
      <c r="AB79" s="17"/>
      <c r="AC79" s="8"/>
      <c r="AD79" s="12" t="s">
        <v>335</v>
      </c>
      <c r="AE79" s="12" t="s">
        <v>336</v>
      </c>
      <c r="AF79" s="46">
        <v>10028000</v>
      </c>
      <c r="AG79" s="46"/>
      <c r="AH79" s="8"/>
      <c r="AJ79" s="8">
        <v>5549355.3899999997</v>
      </c>
      <c r="AK79" s="8"/>
      <c r="AM79" s="135"/>
      <c r="AN79" s="45"/>
      <c r="AO79" s="45"/>
      <c r="AP79" s="146"/>
      <c r="AQ79" s="146"/>
      <c r="AT79" s="146"/>
      <c r="AU79" s="146"/>
    </row>
    <row r="80" spans="1:47">
      <c r="A80" s="12"/>
      <c r="B80" s="12"/>
      <c r="E80" s="12" t="s">
        <v>684</v>
      </c>
      <c r="F80" s="12" t="s">
        <v>685</v>
      </c>
      <c r="I80" s="70">
        <v>17894.8</v>
      </c>
      <c r="J80" s="2"/>
      <c r="K80" s="2"/>
      <c r="L80" s="199">
        <f t="shared" si="13"/>
        <v>17894.8</v>
      </c>
      <c r="M80" s="2">
        <f t="shared" si="11"/>
        <v>0</v>
      </c>
      <c r="N80" s="40"/>
      <c r="O80" s="2"/>
      <c r="P80" s="14"/>
      <c r="Q80" s="15"/>
      <c r="R80" s="16"/>
      <c r="S80" s="16"/>
      <c r="T80" s="16"/>
      <c r="U80" s="15"/>
      <c r="V80" s="15"/>
      <c r="W80" s="15"/>
      <c r="X80" s="17"/>
      <c r="Y80" s="47"/>
      <c r="Z80" s="47"/>
      <c r="AA80" s="47"/>
      <c r="AB80" s="17"/>
      <c r="AC80" s="8"/>
      <c r="AD80" s="12"/>
      <c r="AE80" s="12"/>
      <c r="AF80" s="46"/>
      <c r="AG80" s="46"/>
      <c r="AH80" s="8"/>
      <c r="AJ80" s="8"/>
      <c r="AK80" s="8"/>
      <c r="AM80" s="135"/>
      <c r="AN80" s="45"/>
      <c r="AO80" s="45"/>
      <c r="AP80" s="146"/>
      <c r="AQ80" s="146"/>
      <c r="AT80" s="146"/>
      <c r="AU80" s="146"/>
    </row>
    <row r="81" spans="1:47">
      <c r="A81" s="12" t="s">
        <v>260</v>
      </c>
      <c r="B81" s="12" t="s">
        <v>261</v>
      </c>
      <c r="C81" s="40" t="s">
        <v>111</v>
      </c>
      <c r="E81" s="12" t="s">
        <v>4344</v>
      </c>
      <c r="F81" s="12" t="s">
        <v>4345</v>
      </c>
      <c r="I81" s="70">
        <v>-7462.9</v>
      </c>
      <c r="J81" s="2"/>
      <c r="K81" s="50">
        <f>Journals!E33/1000</f>
        <v>0</v>
      </c>
      <c r="L81" s="199">
        <f t="shared" si="13"/>
        <v>-7462.9</v>
      </c>
      <c r="M81" s="2">
        <f t="shared" si="11"/>
        <v>0</v>
      </c>
      <c r="N81" s="2">
        <v>2048753766.3800001</v>
      </c>
      <c r="O81" s="2"/>
      <c r="P81" s="14">
        <f t="shared" si="8"/>
        <v>0</v>
      </c>
      <c r="Q81" s="15"/>
      <c r="R81" s="16"/>
      <c r="S81" s="16"/>
      <c r="T81" s="16"/>
      <c r="U81" s="15"/>
      <c r="V81" s="15"/>
      <c r="W81" s="15"/>
      <c r="X81" s="17">
        <f t="shared" si="12"/>
        <v>0</v>
      </c>
      <c r="Y81" s="47"/>
      <c r="Z81" s="47">
        <f t="shared" si="9"/>
        <v>0</v>
      </c>
      <c r="AA81" s="47"/>
      <c r="AB81" s="17">
        <f t="shared" si="10"/>
        <v>0</v>
      </c>
      <c r="AC81" s="8"/>
      <c r="AD81" s="12" t="s">
        <v>256</v>
      </c>
      <c r="AE81" s="12" t="s">
        <v>257</v>
      </c>
      <c r="AF81" s="46">
        <v>28178990.859999999</v>
      </c>
      <c r="AG81" s="46"/>
      <c r="AH81" s="8"/>
      <c r="AJ81" s="8">
        <v>3005099586.3899999</v>
      </c>
      <c r="AK81" s="8"/>
      <c r="AM81" s="135"/>
      <c r="AN81" s="45"/>
      <c r="AO81" s="45"/>
      <c r="AP81" s="146"/>
      <c r="AQ81" s="146"/>
      <c r="AT81" s="146"/>
      <c r="AU81" s="146"/>
    </row>
    <row r="82" spans="1:47">
      <c r="A82" s="12"/>
      <c r="B82" s="12"/>
      <c r="C82" s="40"/>
      <c r="E82" s="12" t="s">
        <v>4346</v>
      </c>
      <c r="F82" s="12" t="s">
        <v>4347</v>
      </c>
      <c r="I82" s="70">
        <v>1350</v>
      </c>
      <c r="J82" s="2"/>
      <c r="K82" s="2"/>
      <c r="L82" s="199">
        <f t="shared" si="13"/>
        <v>1350</v>
      </c>
      <c r="M82" s="67"/>
      <c r="N82" s="40" t="s">
        <v>111</v>
      </c>
      <c r="O82" s="2">
        <v>31500000</v>
      </c>
      <c r="P82" s="14"/>
      <c r="Q82" s="15"/>
      <c r="R82" s="16"/>
      <c r="S82" s="16"/>
      <c r="T82" s="16"/>
      <c r="U82" s="15"/>
      <c r="V82" s="15"/>
      <c r="W82" s="15"/>
      <c r="X82" s="17"/>
      <c r="Y82" s="47"/>
      <c r="Z82" s="47"/>
      <c r="AA82" s="47"/>
      <c r="AB82" s="17"/>
      <c r="AC82" s="8"/>
      <c r="AD82" s="12" t="s">
        <v>258</v>
      </c>
      <c r="AE82" s="12" t="s">
        <v>259</v>
      </c>
      <c r="AF82" s="45" t="s">
        <v>111</v>
      </c>
      <c r="AG82" s="46">
        <v>36365000</v>
      </c>
      <c r="AH82" s="8"/>
      <c r="AJ82" s="8">
        <v>238121220</v>
      </c>
      <c r="AK82" s="8"/>
      <c r="AM82" s="135"/>
      <c r="AN82" s="45"/>
      <c r="AO82" s="45"/>
      <c r="AP82" s="146"/>
      <c r="AQ82" s="146"/>
      <c r="AT82" s="146"/>
      <c r="AU82" s="146"/>
    </row>
    <row r="83" spans="1:47">
      <c r="A83" s="12"/>
      <c r="B83" s="12"/>
      <c r="C83" s="40"/>
      <c r="E83" s="12" t="s">
        <v>4348</v>
      </c>
      <c r="F83" s="12" t="s">
        <v>4349</v>
      </c>
      <c r="I83" s="70">
        <v>-2889.6</v>
      </c>
      <c r="J83" s="2"/>
      <c r="K83" s="2"/>
      <c r="L83" s="199">
        <f t="shared" si="13"/>
        <v>-2889.6</v>
      </c>
      <c r="M83" s="67"/>
      <c r="N83" s="40"/>
      <c r="O83" s="2"/>
      <c r="P83" s="14"/>
      <c r="Q83" s="15"/>
      <c r="R83" s="16"/>
      <c r="S83" s="16"/>
      <c r="T83" s="16"/>
      <c r="U83" s="15"/>
      <c r="V83" s="15"/>
      <c r="W83" s="15"/>
      <c r="X83" s="17"/>
      <c r="Y83" s="47"/>
      <c r="Z83" s="47"/>
      <c r="AA83" s="47"/>
      <c r="AB83" s="17"/>
      <c r="AC83" s="8"/>
      <c r="AD83" s="12"/>
      <c r="AE83" s="12"/>
      <c r="AF83" s="45"/>
      <c r="AG83" s="46"/>
      <c r="AH83" s="8"/>
      <c r="AJ83" s="8"/>
      <c r="AK83" s="8"/>
      <c r="AM83" s="135"/>
      <c r="AN83" s="45"/>
      <c r="AO83" s="45"/>
      <c r="AP83" s="145"/>
      <c r="AQ83" s="146"/>
      <c r="AT83" s="146"/>
      <c r="AU83" s="146"/>
    </row>
    <row r="84" spans="1:47">
      <c r="A84" s="12"/>
      <c r="B84" s="12"/>
      <c r="C84" s="40"/>
      <c r="E84" s="12" t="s">
        <v>4350</v>
      </c>
      <c r="F84" s="12" t="s">
        <v>4351</v>
      </c>
      <c r="I84" s="70">
        <v>0</v>
      </c>
      <c r="J84" s="2"/>
      <c r="K84" s="2"/>
      <c r="L84" s="199">
        <f t="shared" si="13"/>
        <v>0</v>
      </c>
      <c r="M84" s="67"/>
      <c r="N84" s="40" t="s">
        <v>111</v>
      </c>
      <c r="O84" s="2">
        <v>681055200</v>
      </c>
      <c r="P84" s="14"/>
      <c r="Q84" s="15"/>
      <c r="R84" s="16"/>
      <c r="S84" s="16"/>
      <c r="T84" s="16"/>
      <c r="U84" s="15"/>
      <c r="V84" s="15"/>
      <c r="W84" s="15"/>
      <c r="X84" s="17"/>
      <c r="Y84" s="47"/>
      <c r="Z84" s="47"/>
      <c r="AA84" s="47"/>
      <c r="AB84" s="17"/>
      <c r="AC84" s="8"/>
      <c r="AD84" s="12" t="s">
        <v>338</v>
      </c>
      <c r="AE84" s="12" t="s">
        <v>337</v>
      </c>
      <c r="AF84" s="46">
        <v>2397796315</v>
      </c>
      <c r="AG84" s="46"/>
      <c r="AH84" s="8"/>
      <c r="AI84" s="136">
        <f>+L84+L87+L88+L89+L90+L91+L92+L93+L94+L95+L96+L97+L98+L99+L100+L101</f>
        <v>-77234.72100000002</v>
      </c>
      <c r="AJ84" s="8">
        <v>2422582685</v>
      </c>
      <c r="AK84" s="8"/>
      <c r="AM84" s="135"/>
      <c r="AN84" s="45"/>
      <c r="AO84" s="45"/>
      <c r="AP84" s="146"/>
      <c r="AQ84" s="146"/>
      <c r="AT84" s="146"/>
      <c r="AU84" s="146"/>
    </row>
    <row r="85" spans="1:47">
      <c r="A85" s="12" t="s">
        <v>262</v>
      </c>
      <c r="B85" s="12" t="s">
        <v>263</v>
      </c>
      <c r="C85" s="2">
        <v>82763927.760000005</v>
      </c>
      <c r="E85" s="12" t="s">
        <v>4352</v>
      </c>
      <c r="F85" s="12" t="s">
        <v>4353</v>
      </c>
      <c r="I85" s="70">
        <v>9058</v>
      </c>
      <c r="J85" s="2"/>
      <c r="K85" s="2"/>
      <c r="L85" s="199">
        <f t="shared" si="13"/>
        <v>9058</v>
      </c>
      <c r="M85" s="2">
        <f t="shared" si="11"/>
        <v>0</v>
      </c>
      <c r="N85" s="40" t="s">
        <v>111</v>
      </c>
      <c r="O85" s="2">
        <v>19995653.760000002</v>
      </c>
      <c r="P85" s="14">
        <f t="shared" si="8"/>
        <v>0</v>
      </c>
      <c r="Q85" s="15"/>
      <c r="R85" s="16"/>
      <c r="S85" s="16"/>
      <c r="T85" s="16"/>
      <c r="U85" s="15"/>
      <c r="V85" s="15"/>
      <c r="W85" s="15"/>
      <c r="X85" s="17">
        <f t="shared" ref="X85:X99" si="14">SUM(P85:W85)</f>
        <v>0</v>
      </c>
      <c r="Y85" s="17"/>
      <c r="Z85" s="18">
        <f t="shared" si="9"/>
        <v>0</v>
      </c>
      <c r="AA85" s="17"/>
      <c r="AB85" s="17">
        <f t="shared" si="10"/>
        <v>0</v>
      </c>
      <c r="AD85" s="12" t="s">
        <v>260</v>
      </c>
      <c r="AE85" s="12" t="s">
        <v>261</v>
      </c>
      <c r="AF85" s="46">
        <v>26000000</v>
      </c>
      <c r="AG85" s="46"/>
      <c r="AJ85" s="9">
        <v>33206371</v>
      </c>
      <c r="AM85" s="135"/>
      <c r="AN85" s="45"/>
      <c r="AO85" s="45"/>
      <c r="AP85" s="146"/>
      <c r="AQ85" s="146"/>
      <c r="AT85" s="146"/>
      <c r="AU85" s="146"/>
    </row>
    <row r="86" spans="1:47">
      <c r="A86" s="12" t="s">
        <v>264</v>
      </c>
      <c r="B86" s="12" t="s">
        <v>265</v>
      </c>
      <c r="C86" s="40" t="s">
        <v>111</v>
      </c>
      <c r="E86" s="12" t="s">
        <v>686</v>
      </c>
      <c r="F86" s="12" t="s">
        <v>687</v>
      </c>
      <c r="I86" s="70">
        <v>399154.27305000019</v>
      </c>
      <c r="J86" s="2"/>
      <c r="K86" s="2"/>
      <c r="L86" s="199">
        <f t="shared" si="13"/>
        <v>399154.27305000019</v>
      </c>
      <c r="M86" s="40">
        <f t="shared" si="11"/>
        <v>0</v>
      </c>
      <c r="N86" s="40" t="s">
        <v>111</v>
      </c>
      <c r="O86" s="2">
        <v>574414928.53999996</v>
      </c>
      <c r="P86" s="14">
        <f t="shared" si="8"/>
        <v>0</v>
      </c>
      <c r="Q86" s="15"/>
      <c r="R86" s="16"/>
      <c r="S86" s="16"/>
      <c r="T86" s="16"/>
      <c r="U86" s="15"/>
      <c r="V86" s="15"/>
      <c r="W86" s="15"/>
      <c r="X86" s="17">
        <f t="shared" si="14"/>
        <v>0</v>
      </c>
      <c r="Y86" s="17"/>
      <c r="Z86" s="18">
        <f t="shared" si="9"/>
        <v>0</v>
      </c>
      <c r="AA86" s="17"/>
      <c r="AB86" s="17">
        <f t="shared" si="10"/>
        <v>0</v>
      </c>
      <c r="AD86" s="12" t="s">
        <v>262</v>
      </c>
      <c r="AE86" s="12" t="s">
        <v>263</v>
      </c>
      <c r="AF86" s="46">
        <v>10754685366.280001</v>
      </c>
      <c r="AG86" s="46"/>
      <c r="AI86" s="136">
        <f>+L86</f>
        <v>399154.27305000019</v>
      </c>
      <c r="AJ86" s="9">
        <v>887653350.38999999</v>
      </c>
      <c r="AM86" s="135"/>
      <c r="AN86" s="45"/>
      <c r="AO86" s="45"/>
      <c r="AP86" s="145"/>
      <c r="AQ86" s="146"/>
      <c r="AT86" s="146"/>
      <c r="AU86" s="146"/>
    </row>
    <row r="87" spans="1:47">
      <c r="A87" s="12" t="s">
        <v>266</v>
      </c>
      <c r="B87" s="12" t="s">
        <v>267</v>
      </c>
      <c r="C87" s="40" t="s">
        <v>111</v>
      </c>
      <c r="D87" s="2">
        <v>3847434265.8000002</v>
      </c>
      <c r="E87" s="12" t="s">
        <v>4354</v>
      </c>
      <c r="F87" s="12" t="s">
        <v>4355</v>
      </c>
      <c r="I87" s="70">
        <v>-3840.5</v>
      </c>
      <c r="J87" s="2"/>
      <c r="K87" s="2"/>
      <c r="L87" s="199">
        <f t="shared" si="13"/>
        <v>-3840.5</v>
      </c>
      <c r="M87" s="40">
        <f t="shared" si="11"/>
        <v>0</v>
      </c>
      <c r="N87" s="40" t="s">
        <v>111</v>
      </c>
      <c r="O87" s="2"/>
      <c r="P87" s="14">
        <f t="shared" si="8"/>
        <v>0</v>
      </c>
      <c r="Q87" s="15"/>
      <c r="R87" s="16"/>
      <c r="S87" s="16"/>
      <c r="T87" s="16"/>
      <c r="U87" s="15"/>
      <c r="V87" s="15"/>
      <c r="W87" s="15"/>
      <c r="X87" s="17">
        <f t="shared" si="14"/>
        <v>0</v>
      </c>
      <c r="Y87" s="17"/>
      <c r="Z87" s="47">
        <f t="shared" si="9"/>
        <v>0</v>
      </c>
      <c r="AA87" s="17"/>
      <c r="AB87" s="17">
        <f t="shared" si="10"/>
        <v>0</v>
      </c>
      <c r="AD87" s="12" t="s">
        <v>264</v>
      </c>
      <c r="AE87" s="12" t="s">
        <v>265</v>
      </c>
      <c r="AF87" s="45" t="s">
        <v>111</v>
      </c>
      <c r="AG87" s="46"/>
      <c r="AM87" s="135"/>
      <c r="AN87" s="45"/>
      <c r="AO87" s="45"/>
      <c r="AP87" s="145"/>
      <c r="AQ87" s="146"/>
      <c r="AT87" s="146"/>
      <c r="AU87" s="146"/>
    </row>
    <row r="88" spans="1:47">
      <c r="A88" s="12" t="s">
        <v>268</v>
      </c>
      <c r="B88" s="12" t="s">
        <v>269</v>
      </c>
      <c r="C88" s="2">
        <v>15375732.1</v>
      </c>
      <c r="E88" s="12" t="s">
        <v>4356</v>
      </c>
      <c r="F88" s="12" t="s">
        <v>4357</v>
      </c>
      <c r="I88" s="70">
        <v>0</v>
      </c>
      <c r="J88" s="2"/>
      <c r="K88" s="2"/>
      <c r="L88" s="199">
        <f t="shared" si="13"/>
        <v>0</v>
      </c>
      <c r="M88" s="40">
        <f t="shared" si="11"/>
        <v>0</v>
      </c>
      <c r="N88" s="2">
        <v>362441776.06999999</v>
      </c>
      <c r="O88" s="2"/>
      <c r="P88" s="14">
        <f t="shared" si="8"/>
        <v>0</v>
      </c>
      <c r="Q88" s="15"/>
      <c r="R88" s="16"/>
      <c r="S88" s="16"/>
      <c r="T88" s="16"/>
      <c r="U88" s="15"/>
      <c r="V88" s="15"/>
      <c r="W88" s="15"/>
      <c r="X88" s="17">
        <f t="shared" si="14"/>
        <v>0</v>
      </c>
      <c r="Y88" s="17"/>
      <c r="Z88" s="47">
        <f t="shared" si="9"/>
        <v>0</v>
      </c>
      <c r="AA88" s="17"/>
      <c r="AB88" s="17">
        <f t="shared" si="10"/>
        <v>0</v>
      </c>
      <c r="AD88" s="12" t="s">
        <v>266</v>
      </c>
      <c r="AE88" s="12" t="s">
        <v>267</v>
      </c>
      <c r="AF88" s="45" t="s">
        <v>111</v>
      </c>
      <c r="AG88" s="46">
        <v>1152723112.6300001</v>
      </c>
      <c r="AK88" s="9">
        <v>14605788923.5</v>
      </c>
      <c r="AM88" s="135"/>
      <c r="AN88" s="45"/>
      <c r="AO88" s="45"/>
      <c r="AP88" s="146"/>
      <c r="AQ88" s="146"/>
      <c r="AT88" s="146"/>
      <c r="AU88" s="146"/>
    </row>
    <row r="89" spans="1:47">
      <c r="A89" s="12" t="s">
        <v>270</v>
      </c>
      <c r="B89" s="12" t="s">
        <v>271</v>
      </c>
      <c r="C89" s="2">
        <v>1331195592.5999999</v>
      </c>
      <c r="E89" s="12" t="s">
        <v>4358</v>
      </c>
      <c r="F89" s="12" t="s">
        <v>4359</v>
      </c>
      <c r="I89" s="70">
        <v>-378173.3</v>
      </c>
      <c r="J89" s="2"/>
      <c r="K89" s="2"/>
      <c r="L89" s="199">
        <f t="shared" si="13"/>
        <v>-378173.3</v>
      </c>
      <c r="M89" s="2">
        <f t="shared" si="11"/>
        <v>0</v>
      </c>
      <c r="N89" s="40" t="s">
        <v>111</v>
      </c>
      <c r="O89" s="2">
        <v>63519241</v>
      </c>
      <c r="P89" s="14">
        <f t="shared" si="8"/>
        <v>0</v>
      </c>
      <c r="Q89" s="15"/>
      <c r="R89" s="16"/>
      <c r="S89" s="16"/>
      <c r="T89" s="16"/>
      <c r="U89" s="15"/>
      <c r="V89" s="15"/>
      <c r="W89" s="15"/>
      <c r="X89" s="17">
        <f t="shared" si="14"/>
        <v>0</v>
      </c>
      <c r="Y89" s="17"/>
      <c r="Z89" s="47">
        <f t="shared" si="9"/>
        <v>0</v>
      </c>
      <c r="AA89" s="17"/>
      <c r="AB89" s="17">
        <f t="shared" si="10"/>
        <v>0</v>
      </c>
      <c r="AD89" s="12" t="s">
        <v>268</v>
      </c>
      <c r="AE89" s="12" t="s">
        <v>269</v>
      </c>
      <c r="AF89" s="45" t="s">
        <v>111</v>
      </c>
      <c r="AG89" s="46">
        <v>2223226518.6999998</v>
      </c>
      <c r="AK89" s="9">
        <v>35471452</v>
      </c>
      <c r="AM89" s="135"/>
      <c r="AN89" s="45"/>
      <c r="AO89" s="45"/>
      <c r="AP89" s="146"/>
      <c r="AQ89" s="146"/>
      <c r="AT89" s="146"/>
      <c r="AU89" s="146"/>
    </row>
    <row r="90" spans="1:47">
      <c r="A90" s="12" t="s">
        <v>272</v>
      </c>
      <c r="B90" s="12" t="s">
        <v>273</v>
      </c>
      <c r="C90" s="2">
        <v>5956509.9000000004</v>
      </c>
      <c r="E90" s="12" t="s">
        <v>690</v>
      </c>
      <c r="F90" s="12" t="s">
        <v>691</v>
      </c>
      <c r="I90" s="70">
        <v>56052.557000000001</v>
      </c>
      <c r="J90" s="2"/>
      <c r="K90" s="2"/>
      <c r="L90" s="199">
        <f t="shared" si="13"/>
        <v>56052.557000000001</v>
      </c>
      <c r="M90" s="40">
        <f t="shared" si="11"/>
        <v>0</v>
      </c>
      <c r="N90" s="40" t="s">
        <v>111</v>
      </c>
      <c r="O90" s="2"/>
      <c r="P90" s="14">
        <f t="shared" si="8"/>
        <v>0</v>
      </c>
      <c r="Q90" s="15"/>
      <c r="R90" s="16"/>
      <c r="S90" s="16"/>
      <c r="T90" s="16"/>
      <c r="U90" s="15"/>
      <c r="V90" s="15"/>
      <c r="W90" s="15"/>
      <c r="X90" s="17">
        <f t="shared" si="14"/>
        <v>0</v>
      </c>
      <c r="Y90" s="17"/>
      <c r="Z90" s="47">
        <f t="shared" si="9"/>
        <v>0</v>
      </c>
      <c r="AA90" s="17"/>
      <c r="AB90" s="17">
        <f t="shared" si="10"/>
        <v>0</v>
      </c>
      <c r="AD90" s="12" t="s">
        <v>270</v>
      </c>
      <c r="AE90" s="12" t="s">
        <v>271</v>
      </c>
      <c r="AF90" s="45" t="s">
        <v>111</v>
      </c>
      <c r="AG90" s="46"/>
      <c r="AM90" s="135"/>
      <c r="AN90" s="45"/>
      <c r="AO90" s="45"/>
      <c r="AP90" s="145"/>
      <c r="AQ90" s="146"/>
      <c r="AT90" s="146"/>
      <c r="AU90" s="146"/>
    </row>
    <row r="91" spans="1:47">
      <c r="A91" s="12" t="s">
        <v>276</v>
      </c>
      <c r="B91" s="12" t="s">
        <v>277</v>
      </c>
      <c r="C91" s="40" t="s">
        <v>111</v>
      </c>
      <c r="D91" s="2">
        <v>16000228413.459999</v>
      </c>
      <c r="E91" s="12" t="s">
        <v>4360</v>
      </c>
      <c r="F91" s="12" t="s">
        <v>4361</v>
      </c>
      <c r="I91" s="70">
        <v>0</v>
      </c>
      <c r="J91" s="2"/>
      <c r="K91" s="2"/>
      <c r="L91" s="76">
        <f t="shared" si="13"/>
        <v>0</v>
      </c>
      <c r="M91" s="2">
        <f t="shared" si="11"/>
        <v>0</v>
      </c>
      <c r="N91" s="40" t="s">
        <v>111</v>
      </c>
      <c r="O91" s="2"/>
      <c r="P91" s="14">
        <f t="shared" si="8"/>
        <v>0</v>
      </c>
      <c r="Q91" s="15"/>
      <c r="R91" s="16"/>
      <c r="S91" s="16"/>
      <c r="T91" s="16"/>
      <c r="U91" s="15">
        <f>-U36</f>
        <v>0</v>
      </c>
      <c r="V91" s="15"/>
      <c r="W91" s="15"/>
      <c r="X91" s="17">
        <f t="shared" si="14"/>
        <v>0</v>
      </c>
      <c r="Y91" s="17"/>
      <c r="Z91" s="47">
        <f t="shared" si="9"/>
        <v>0</v>
      </c>
      <c r="AA91" s="17"/>
      <c r="AB91" s="17">
        <f t="shared" si="10"/>
        <v>0</v>
      </c>
      <c r="AD91" s="12" t="s">
        <v>274</v>
      </c>
      <c r="AE91" s="12" t="s">
        <v>275</v>
      </c>
      <c r="AF91" s="45" t="s">
        <v>111</v>
      </c>
      <c r="AG91" s="46"/>
      <c r="AJ91" s="9">
        <v>0.76</v>
      </c>
      <c r="AM91" s="135"/>
      <c r="AN91" s="45"/>
      <c r="AO91" s="45"/>
      <c r="AP91" s="146"/>
      <c r="AQ91" s="146"/>
      <c r="AT91" s="146"/>
      <c r="AU91" s="146"/>
    </row>
    <row r="92" spans="1:47">
      <c r="A92" s="12" t="s">
        <v>280</v>
      </c>
      <c r="B92" s="12" t="s">
        <v>217</v>
      </c>
      <c r="C92" s="40" t="s">
        <v>111</v>
      </c>
      <c r="E92" s="12" t="s">
        <v>702</v>
      </c>
      <c r="F92" s="12" t="s">
        <v>703</v>
      </c>
      <c r="I92" s="70">
        <v>2480.8069999999998</v>
      </c>
      <c r="J92" s="2"/>
      <c r="K92" s="2"/>
      <c r="L92" s="200">
        <f t="shared" si="13"/>
        <v>2480.8069999999998</v>
      </c>
      <c r="M92" s="40">
        <f t="shared" si="11"/>
        <v>0</v>
      </c>
      <c r="N92" s="40" t="s">
        <v>111</v>
      </c>
      <c r="O92" s="2"/>
      <c r="P92" s="14">
        <f t="shared" si="8"/>
        <v>0</v>
      </c>
      <c r="Q92" s="15"/>
      <c r="R92" s="16"/>
      <c r="S92" s="16"/>
      <c r="T92" s="16"/>
      <c r="U92" s="15"/>
      <c r="V92" s="15"/>
      <c r="W92" s="15"/>
      <c r="X92" s="17">
        <f t="shared" si="14"/>
        <v>0</v>
      </c>
      <c r="Y92" s="17"/>
      <c r="Z92" s="47">
        <f t="shared" si="9"/>
        <v>0</v>
      </c>
      <c r="AA92" s="17"/>
      <c r="AB92" s="17">
        <f t="shared" si="10"/>
        <v>0</v>
      </c>
      <c r="AD92" s="12" t="s">
        <v>278</v>
      </c>
      <c r="AE92" s="12" t="s">
        <v>279</v>
      </c>
      <c r="AF92" s="45" t="s">
        <v>111</v>
      </c>
      <c r="AG92" s="46"/>
      <c r="AJ92" s="9">
        <v>214.9</v>
      </c>
      <c r="AM92" s="135"/>
      <c r="AN92" s="45"/>
      <c r="AO92" s="45"/>
      <c r="AP92" s="145"/>
      <c r="AQ92" s="146"/>
      <c r="AT92" s="146"/>
      <c r="AU92" s="146"/>
    </row>
    <row r="93" spans="1:47">
      <c r="A93" s="12" t="s">
        <v>281</v>
      </c>
      <c r="B93" s="12" t="s">
        <v>282</v>
      </c>
      <c r="C93" s="2">
        <v>52294271.049999997</v>
      </c>
      <c r="E93" s="12" t="s">
        <v>704</v>
      </c>
      <c r="F93" s="12" t="s">
        <v>705</v>
      </c>
      <c r="I93" s="70">
        <v>-11.647</v>
      </c>
      <c r="J93" s="2"/>
      <c r="K93" s="2"/>
      <c r="L93" s="200">
        <f t="shared" si="13"/>
        <v>-11.647</v>
      </c>
      <c r="M93" s="40">
        <f t="shared" si="11"/>
        <v>0</v>
      </c>
      <c r="N93" s="40" t="s">
        <v>111</v>
      </c>
      <c r="O93" s="2"/>
      <c r="P93" s="14">
        <f t="shared" si="8"/>
        <v>0</v>
      </c>
      <c r="Q93" s="15"/>
      <c r="R93" s="48"/>
      <c r="S93" s="16"/>
      <c r="T93" s="16"/>
      <c r="U93" s="15"/>
      <c r="V93" s="15"/>
      <c r="W93" s="15"/>
      <c r="X93" s="17">
        <f t="shared" si="14"/>
        <v>0</v>
      </c>
      <c r="Y93" s="17"/>
      <c r="Z93" s="47">
        <f t="shared" si="9"/>
        <v>0</v>
      </c>
      <c r="AA93" s="17"/>
      <c r="AB93" s="17">
        <f t="shared" si="10"/>
        <v>0</v>
      </c>
      <c r="AD93" s="12" t="s">
        <v>280</v>
      </c>
      <c r="AE93" s="12" t="s">
        <v>217</v>
      </c>
      <c r="AF93" s="45" t="s">
        <v>111</v>
      </c>
      <c r="AG93" s="46"/>
      <c r="AM93" s="135"/>
      <c r="AN93" s="45"/>
      <c r="AO93" s="45"/>
      <c r="AP93" s="145"/>
      <c r="AQ93" s="146"/>
      <c r="AT93" s="146"/>
      <c r="AU93" s="146"/>
    </row>
    <row r="94" spans="1:47">
      <c r="A94" s="12" t="s">
        <v>283</v>
      </c>
      <c r="B94" s="12" t="s">
        <v>284</v>
      </c>
      <c r="C94" s="40">
        <v>1500000000</v>
      </c>
      <c r="E94" s="12" t="s">
        <v>706</v>
      </c>
      <c r="F94" s="12" t="s">
        <v>707</v>
      </c>
      <c r="I94" s="70">
        <v>-12658.75</v>
      </c>
      <c r="J94" s="2"/>
      <c r="K94" s="2"/>
      <c r="L94" s="200">
        <f t="shared" si="13"/>
        <v>-12658.75</v>
      </c>
      <c r="M94" s="2">
        <f t="shared" si="11"/>
        <v>0</v>
      </c>
      <c r="N94" s="40" t="s">
        <v>111</v>
      </c>
      <c r="O94" s="2">
        <v>336084913.83999997</v>
      </c>
      <c r="P94" s="14">
        <f t="shared" si="8"/>
        <v>0</v>
      </c>
      <c r="Q94" s="49"/>
      <c r="R94" s="48"/>
      <c r="S94" s="48"/>
      <c r="T94" s="8"/>
      <c r="U94" s="7"/>
      <c r="V94" s="7"/>
      <c r="W94" s="7"/>
      <c r="X94" s="17">
        <f t="shared" si="14"/>
        <v>0</v>
      </c>
      <c r="Y94" s="50"/>
      <c r="Z94" s="51">
        <f t="shared" si="9"/>
        <v>0</v>
      </c>
      <c r="AA94" s="50"/>
      <c r="AB94" s="17">
        <f t="shared" si="10"/>
        <v>0</v>
      </c>
      <c r="AC94" s="50"/>
      <c r="AD94" s="12" t="s">
        <v>281</v>
      </c>
      <c r="AE94" s="12" t="s">
        <v>282</v>
      </c>
      <c r="AF94" s="45" t="s">
        <v>111</v>
      </c>
      <c r="AG94" s="46">
        <v>538742042.98000002</v>
      </c>
      <c r="AH94" s="50"/>
      <c r="AI94" s="51"/>
      <c r="AJ94" s="50">
        <v>779882313.63</v>
      </c>
      <c r="AK94" s="50"/>
      <c r="AL94" s="51"/>
      <c r="AM94" s="135"/>
      <c r="AN94" s="45"/>
      <c r="AO94" s="45"/>
      <c r="AP94" s="146"/>
      <c r="AQ94" s="146"/>
      <c r="AT94" s="146"/>
      <c r="AU94" s="146"/>
    </row>
    <row r="95" spans="1:47">
      <c r="A95" s="12" t="s">
        <v>285</v>
      </c>
      <c r="B95" s="12" t="s">
        <v>286</v>
      </c>
      <c r="C95" s="40" t="s">
        <v>111</v>
      </c>
      <c r="D95" s="2">
        <v>245016387.34999999</v>
      </c>
      <c r="E95" s="12" t="s">
        <v>708</v>
      </c>
      <c r="F95" s="12" t="s">
        <v>709</v>
      </c>
      <c r="I95" s="70">
        <v>104658.74800000001</v>
      </c>
      <c r="J95" s="2"/>
      <c r="K95" s="2"/>
      <c r="L95" s="200">
        <f t="shared" si="13"/>
        <v>104658.74800000001</v>
      </c>
      <c r="M95" s="40">
        <f t="shared" si="11"/>
        <v>0</v>
      </c>
      <c r="N95" s="40" t="s">
        <v>111</v>
      </c>
      <c r="O95" s="2"/>
      <c r="P95" s="14">
        <f t="shared" si="8"/>
        <v>0</v>
      </c>
      <c r="Q95" s="49"/>
      <c r="R95" s="48"/>
      <c r="S95" s="48"/>
      <c r="T95" s="8"/>
      <c r="U95" s="7"/>
      <c r="V95" s="7"/>
      <c r="W95" s="7"/>
      <c r="X95" s="17">
        <f t="shared" si="14"/>
        <v>0</v>
      </c>
      <c r="Y95" s="50"/>
      <c r="Z95" s="51">
        <f t="shared" si="9"/>
        <v>0</v>
      </c>
      <c r="AA95" s="50"/>
      <c r="AB95" s="17">
        <f t="shared" si="10"/>
        <v>0</v>
      </c>
      <c r="AC95" s="50"/>
      <c r="AD95" s="12" t="s">
        <v>283</v>
      </c>
      <c r="AE95" s="12" t="s">
        <v>284</v>
      </c>
      <c r="AF95" s="45" t="s">
        <v>111</v>
      </c>
      <c r="AG95" s="46"/>
      <c r="AH95" s="50"/>
      <c r="AI95" s="51"/>
      <c r="AJ95" s="50">
        <v>2040000000</v>
      </c>
      <c r="AK95" s="50"/>
      <c r="AL95" s="51"/>
      <c r="AM95" s="135"/>
      <c r="AN95" s="45"/>
      <c r="AO95" s="45"/>
      <c r="AP95" s="146"/>
      <c r="AQ95" s="146"/>
      <c r="AT95" s="146"/>
      <c r="AU95" s="146"/>
    </row>
    <row r="96" spans="1:47">
      <c r="A96" s="12" t="s">
        <v>339</v>
      </c>
      <c r="B96" s="12" t="s">
        <v>340</v>
      </c>
      <c r="C96" s="12" t="s">
        <v>341</v>
      </c>
      <c r="D96" s="12" t="s">
        <v>342</v>
      </c>
      <c r="E96" s="12" t="s">
        <v>710</v>
      </c>
      <c r="F96" s="12" t="s">
        <v>711</v>
      </c>
      <c r="I96" s="70">
        <v>-518.51</v>
      </c>
      <c r="J96" s="2">
        <v>155028.51800000001</v>
      </c>
      <c r="K96" s="2"/>
      <c r="L96" s="200">
        <f t="shared" si="13"/>
        <v>154510.008</v>
      </c>
      <c r="M96" s="40">
        <f t="shared" si="11"/>
        <v>0</v>
      </c>
      <c r="N96" s="40" t="s">
        <v>111</v>
      </c>
      <c r="O96" s="2"/>
      <c r="P96" s="14">
        <f t="shared" si="8"/>
        <v>0</v>
      </c>
      <c r="Q96" s="49"/>
      <c r="R96" s="48"/>
      <c r="S96" s="48"/>
      <c r="T96" s="8"/>
      <c r="U96" s="7"/>
      <c r="V96" s="7"/>
      <c r="W96" s="7"/>
      <c r="X96" s="17">
        <f t="shared" si="14"/>
        <v>0</v>
      </c>
      <c r="Y96" s="50"/>
      <c r="Z96" s="51">
        <f t="shared" si="9"/>
        <v>0</v>
      </c>
      <c r="AA96" s="50"/>
      <c r="AB96" s="17">
        <f t="shared" si="10"/>
        <v>0</v>
      </c>
      <c r="AC96" s="50"/>
      <c r="AD96" s="12" t="s">
        <v>285</v>
      </c>
      <c r="AE96" s="12" t="s">
        <v>286</v>
      </c>
      <c r="AF96" s="45" t="s">
        <v>111</v>
      </c>
      <c r="AG96" s="46"/>
      <c r="AH96" s="50"/>
      <c r="AI96" s="51"/>
      <c r="AJ96" s="50"/>
      <c r="AK96" s="50"/>
      <c r="AL96" s="51"/>
      <c r="AM96" s="135"/>
      <c r="AN96" s="45"/>
      <c r="AO96" s="45"/>
      <c r="AP96" s="145"/>
      <c r="AQ96" s="146"/>
      <c r="AT96" s="146"/>
      <c r="AU96" s="146"/>
    </row>
    <row r="97" spans="1:47">
      <c r="A97" s="12" t="s">
        <v>288</v>
      </c>
      <c r="B97" s="12"/>
      <c r="C97" s="12"/>
      <c r="D97" s="12"/>
      <c r="E97" s="12" t="s">
        <v>712</v>
      </c>
      <c r="F97" s="12" t="s">
        <v>713</v>
      </c>
      <c r="I97" s="70">
        <v>-191.32400000000001</v>
      </c>
      <c r="J97" s="2"/>
      <c r="K97" s="2"/>
      <c r="L97" s="200">
        <f t="shared" si="13"/>
        <v>-191.32400000000001</v>
      </c>
      <c r="M97" s="2">
        <f t="shared" si="11"/>
        <v>0</v>
      </c>
      <c r="N97" s="40" t="s">
        <v>111</v>
      </c>
      <c r="O97" s="2"/>
      <c r="P97" s="14">
        <f t="shared" si="8"/>
        <v>0</v>
      </c>
      <c r="Q97" s="49"/>
      <c r="R97" s="16"/>
      <c r="S97" s="48"/>
      <c r="T97" s="8"/>
      <c r="U97" s="7"/>
      <c r="V97" s="7"/>
      <c r="W97" s="7"/>
      <c r="X97" s="17">
        <f t="shared" si="14"/>
        <v>0</v>
      </c>
      <c r="Y97" s="50"/>
      <c r="Z97" s="51">
        <f t="shared" si="9"/>
        <v>0</v>
      </c>
      <c r="AA97" s="50"/>
      <c r="AB97" s="17">
        <f t="shared" si="10"/>
        <v>0</v>
      </c>
      <c r="AC97" s="50"/>
      <c r="AD97" s="12" t="s">
        <v>287</v>
      </c>
      <c r="AE97" s="12" t="s">
        <v>343</v>
      </c>
      <c r="AF97" s="45" t="s">
        <v>111</v>
      </c>
      <c r="AG97" s="46"/>
      <c r="AH97" s="50"/>
      <c r="AI97" s="51"/>
      <c r="AJ97" s="50">
        <v>3000000000</v>
      </c>
      <c r="AK97" s="50"/>
      <c r="AL97" s="51"/>
      <c r="AM97" s="135"/>
      <c r="AN97" s="45"/>
      <c r="AO97" s="45"/>
      <c r="AP97" s="146"/>
      <c r="AQ97" s="146"/>
      <c r="AT97" s="146"/>
      <c r="AU97" s="146"/>
    </row>
    <row r="98" spans="1:47">
      <c r="E98" s="12" t="s">
        <v>714</v>
      </c>
      <c r="F98" s="12" t="s">
        <v>715</v>
      </c>
      <c r="I98" s="70">
        <v>-2</v>
      </c>
      <c r="J98" s="2"/>
      <c r="K98" s="2"/>
      <c r="L98" s="200">
        <f t="shared" si="13"/>
        <v>-2</v>
      </c>
      <c r="M98" s="2">
        <f t="shared" si="11"/>
        <v>0</v>
      </c>
      <c r="N98" s="40" t="s">
        <v>111</v>
      </c>
      <c r="O98" s="2">
        <v>198634706.16999999</v>
      </c>
      <c r="P98" s="14">
        <f t="shared" si="8"/>
        <v>0</v>
      </c>
      <c r="Q98" s="15"/>
      <c r="R98" s="16"/>
      <c r="S98" s="16"/>
      <c r="T98" s="16"/>
      <c r="U98" s="15"/>
      <c r="V98" s="15"/>
      <c r="W98" s="15"/>
      <c r="X98" s="17">
        <f t="shared" si="14"/>
        <v>0</v>
      </c>
      <c r="Y98" s="17"/>
      <c r="Z98" s="51">
        <f t="shared" si="9"/>
        <v>0</v>
      </c>
      <c r="AA98" s="17"/>
      <c r="AB98" s="17">
        <f t="shared" si="10"/>
        <v>0</v>
      </c>
      <c r="AD98" s="12" t="s">
        <v>288</v>
      </c>
      <c r="AE98" s="12" t="s">
        <v>289</v>
      </c>
      <c r="AF98" s="45" t="s">
        <v>111</v>
      </c>
      <c r="AG98" s="46">
        <v>459814080</v>
      </c>
      <c r="AJ98" s="9">
        <v>201227772.78</v>
      </c>
      <c r="AM98" s="135"/>
      <c r="AN98" s="45"/>
      <c r="AO98" s="45"/>
      <c r="AP98" s="146"/>
      <c r="AQ98" s="146"/>
      <c r="AT98" s="146"/>
      <c r="AU98" s="146"/>
    </row>
    <row r="99" spans="1:47">
      <c r="A99" s="12" t="s">
        <v>293</v>
      </c>
      <c r="B99" s="12" t="s">
        <v>294</v>
      </c>
      <c r="C99" s="40" t="s">
        <v>111</v>
      </c>
      <c r="E99" s="12" t="s">
        <v>716</v>
      </c>
      <c r="F99" s="12" t="s">
        <v>717</v>
      </c>
      <c r="I99" s="70">
        <v>-59.32</v>
      </c>
      <c r="J99" s="2"/>
      <c r="K99" s="2"/>
      <c r="L99" s="200">
        <f t="shared" si="13"/>
        <v>-59.32</v>
      </c>
      <c r="M99" s="40">
        <f t="shared" si="11"/>
        <v>0</v>
      </c>
      <c r="N99" s="2">
        <v>1666666666.6700001</v>
      </c>
      <c r="O99" s="2"/>
      <c r="P99" s="14">
        <f t="shared" si="8"/>
        <v>0</v>
      </c>
      <c r="Q99" s="15"/>
      <c r="R99" s="16"/>
      <c r="S99" s="16"/>
      <c r="T99" s="16"/>
      <c r="U99" s="15"/>
      <c r="V99" s="15"/>
      <c r="W99" s="15"/>
      <c r="X99" s="17">
        <f t="shared" si="14"/>
        <v>0</v>
      </c>
      <c r="Y99" s="17"/>
      <c r="Z99" s="51">
        <f t="shared" si="9"/>
        <v>0</v>
      </c>
      <c r="AA99" s="17"/>
      <c r="AB99" s="17">
        <f t="shared" si="10"/>
        <v>0</v>
      </c>
      <c r="AD99" s="12" t="s">
        <v>290</v>
      </c>
      <c r="AE99" s="12" t="s">
        <v>344</v>
      </c>
      <c r="AF99" s="46">
        <v>833333333.34000003</v>
      </c>
      <c r="AG99" s="46"/>
      <c r="AK99" s="9">
        <v>2500000001.5500002</v>
      </c>
      <c r="AM99" s="135"/>
      <c r="AN99" s="45"/>
      <c r="AO99" s="45"/>
      <c r="AP99" s="145"/>
      <c r="AQ99" s="146"/>
      <c r="AT99" s="146"/>
      <c r="AU99" s="146"/>
    </row>
    <row r="100" spans="1:47">
      <c r="A100" s="12"/>
      <c r="B100" s="12"/>
      <c r="C100" s="40"/>
      <c r="E100" s="12" t="s">
        <v>718</v>
      </c>
      <c r="F100" s="12" t="s">
        <v>719</v>
      </c>
      <c r="I100" s="70">
        <v>0</v>
      </c>
      <c r="J100" s="2"/>
      <c r="K100" s="2"/>
      <c r="L100" s="76">
        <f t="shared" si="13"/>
        <v>0</v>
      </c>
      <c r="M100" s="2">
        <f t="shared" si="11"/>
        <v>0</v>
      </c>
      <c r="N100" s="40" t="s">
        <v>111</v>
      </c>
      <c r="O100" s="2">
        <v>56757800</v>
      </c>
      <c r="P100" s="14"/>
      <c r="Q100" s="15"/>
      <c r="R100" s="16"/>
      <c r="S100" s="16"/>
      <c r="T100" s="16"/>
      <c r="U100" s="15"/>
      <c r="V100" s="15"/>
      <c r="W100" s="15"/>
      <c r="X100" s="17"/>
      <c r="Y100" s="17"/>
      <c r="Z100" s="51"/>
      <c r="AA100" s="17"/>
      <c r="AB100" s="17"/>
      <c r="AD100" s="12" t="s">
        <v>291</v>
      </c>
      <c r="AE100" s="12" t="s">
        <v>292</v>
      </c>
      <c r="AF100" s="45" t="s">
        <v>111</v>
      </c>
      <c r="AG100" s="46"/>
      <c r="AJ100" s="9">
        <v>4819253200</v>
      </c>
      <c r="AM100" s="135"/>
      <c r="AN100" s="45"/>
      <c r="AO100" s="45"/>
      <c r="AP100" s="146"/>
      <c r="AQ100" s="146"/>
      <c r="AT100" s="146"/>
      <c r="AU100" s="146"/>
    </row>
    <row r="101" spans="1:47">
      <c r="A101" s="12"/>
      <c r="B101" s="12"/>
      <c r="C101" s="40"/>
      <c r="E101" s="12" t="s">
        <v>4362</v>
      </c>
      <c r="F101" s="12" t="s">
        <v>4363</v>
      </c>
      <c r="I101" s="70">
        <v>0</v>
      </c>
      <c r="J101" s="2"/>
      <c r="K101" s="2"/>
      <c r="L101" s="76">
        <f t="shared" si="13"/>
        <v>0</v>
      </c>
      <c r="M101" s="2">
        <f t="shared" si="11"/>
        <v>0</v>
      </c>
      <c r="N101" s="2"/>
      <c r="O101" s="2"/>
      <c r="P101" s="14"/>
      <c r="Q101" s="15"/>
      <c r="R101" s="16"/>
      <c r="S101" s="16"/>
      <c r="T101" s="16"/>
      <c r="U101" s="15"/>
      <c r="V101" s="15"/>
      <c r="W101" s="15"/>
      <c r="X101" s="17"/>
      <c r="Y101" s="17"/>
      <c r="Z101" s="51"/>
      <c r="AA101" s="17"/>
      <c r="AB101" s="17"/>
      <c r="AD101" s="12"/>
      <c r="AE101" s="12"/>
      <c r="AF101" s="45"/>
      <c r="AG101" s="46"/>
      <c r="AM101" s="135"/>
      <c r="AN101" s="45"/>
      <c r="AO101" s="45"/>
      <c r="AP101" s="146"/>
      <c r="AQ101" s="146"/>
      <c r="AT101" s="146"/>
      <c r="AU101" s="146"/>
    </row>
    <row r="102" spans="1:47">
      <c r="A102" s="12" t="s">
        <v>295</v>
      </c>
      <c r="B102" s="12" t="s">
        <v>296</v>
      </c>
      <c r="C102" s="40" t="e">
        <f>#REF!-C104</f>
        <v>#REF!</v>
      </c>
      <c r="D102" s="2">
        <v>555616906.09000003</v>
      </c>
      <c r="E102" s="12" t="s">
        <v>722</v>
      </c>
      <c r="F102" s="12" t="s">
        <v>723</v>
      </c>
      <c r="I102" s="70">
        <v>458632.83</v>
      </c>
      <c r="J102" s="2"/>
      <c r="K102" s="2">
        <v>70830.2</v>
      </c>
      <c r="L102" s="200">
        <f t="shared" si="13"/>
        <v>387802.63</v>
      </c>
      <c r="M102" s="2">
        <f t="shared" si="11"/>
        <v>0</v>
      </c>
      <c r="N102" s="2">
        <v>24140321.93</v>
      </c>
      <c r="O102" s="2"/>
      <c r="P102" s="14">
        <f t="shared" si="8"/>
        <v>0</v>
      </c>
      <c r="Q102" s="15"/>
      <c r="S102" s="16"/>
      <c r="T102" s="16"/>
      <c r="U102" s="15"/>
      <c r="V102" s="7"/>
      <c r="W102" s="7"/>
      <c r="X102" s="17">
        <f>SUM(P102:W102)</f>
        <v>0</v>
      </c>
      <c r="Y102" s="17"/>
      <c r="Z102" s="51">
        <f>X102/$Y$7</f>
        <v>0</v>
      </c>
      <c r="AA102" s="17"/>
      <c r="AB102" s="17">
        <f t="shared" si="10"/>
        <v>0</v>
      </c>
      <c r="AD102" s="12" t="s">
        <v>293</v>
      </c>
      <c r="AE102" s="12" t="s">
        <v>294</v>
      </c>
      <c r="AF102" s="46">
        <v>67669434.959999993</v>
      </c>
      <c r="AG102" s="46"/>
      <c r="AI102" s="136">
        <f>+L102+L103+L104+L105+L106+L107+L109+L393+L394</f>
        <v>604093.91</v>
      </c>
      <c r="AK102" s="9">
        <v>295604705.86000001</v>
      </c>
      <c r="AM102" s="135"/>
      <c r="AN102" s="45"/>
      <c r="AO102" s="45"/>
      <c r="AP102" s="145"/>
      <c r="AQ102" s="146"/>
      <c r="AT102" s="146"/>
      <c r="AU102" s="146"/>
    </row>
    <row r="103" spans="1:47">
      <c r="A103" s="12"/>
      <c r="B103" s="12"/>
      <c r="C103" s="40"/>
      <c r="E103" s="12" t="s">
        <v>724</v>
      </c>
      <c r="F103" s="12" t="s">
        <v>725</v>
      </c>
      <c r="I103" s="70">
        <v>293472.86900000001</v>
      </c>
      <c r="J103" s="2"/>
      <c r="K103" s="2">
        <v>139783.25899999999</v>
      </c>
      <c r="L103" s="200">
        <f t="shared" si="13"/>
        <v>153689.61000000002</v>
      </c>
      <c r="M103" s="2">
        <f t="shared" si="11"/>
        <v>0</v>
      </c>
      <c r="N103" s="2"/>
      <c r="O103" s="2"/>
      <c r="P103" s="14"/>
      <c r="Q103" s="15"/>
      <c r="S103" s="16"/>
      <c r="T103" s="16"/>
      <c r="U103" s="15"/>
      <c r="V103" s="7"/>
      <c r="W103" s="7"/>
      <c r="X103" s="17"/>
      <c r="Y103" s="17"/>
      <c r="Z103" s="51"/>
      <c r="AA103" s="17"/>
      <c r="AB103" s="17"/>
      <c r="AD103" s="12"/>
      <c r="AE103" s="12"/>
      <c r="AF103" s="46"/>
      <c r="AG103" s="46"/>
      <c r="AM103" s="135"/>
      <c r="AN103" s="45"/>
      <c r="AO103" s="45"/>
      <c r="AP103" s="145"/>
      <c r="AQ103" s="146"/>
      <c r="AT103" s="146"/>
      <c r="AU103" s="146"/>
    </row>
    <row r="104" spans="1:47">
      <c r="A104" s="12" t="s">
        <v>297</v>
      </c>
      <c r="B104" s="12" t="s">
        <v>298</v>
      </c>
      <c r="C104" s="40" t="s">
        <v>111</v>
      </c>
      <c r="D104" s="2">
        <v>163027794.56999999</v>
      </c>
      <c r="E104" s="12" t="s">
        <v>4364</v>
      </c>
      <c r="F104" s="12" t="s">
        <v>4365</v>
      </c>
      <c r="I104" s="70">
        <v>0</v>
      </c>
      <c r="J104" s="2"/>
      <c r="K104" s="2"/>
      <c r="L104" s="76">
        <f t="shared" si="13"/>
        <v>0</v>
      </c>
      <c r="M104" s="2">
        <f t="shared" si="11"/>
        <v>0</v>
      </c>
      <c r="N104" s="2">
        <v>1934959920.6099999</v>
      </c>
      <c r="O104" s="2"/>
      <c r="P104" s="14"/>
      <c r="Q104" s="15"/>
      <c r="R104" s="16"/>
      <c r="S104" s="16"/>
      <c r="T104" s="16"/>
      <c r="U104" s="15"/>
      <c r="V104" s="7"/>
      <c r="W104" s="7"/>
      <c r="X104" s="17">
        <f>SUM(P104:W104)</f>
        <v>0</v>
      </c>
      <c r="Y104" s="17"/>
      <c r="Z104" s="51">
        <f>X104/$Y$7</f>
        <v>0</v>
      </c>
      <c r="AA104" s="17"/>
      <c r="AB104" s="17">
        <f t="shared" si="10"/>
        <v>0</v>
      </c>
      <c r="AD104" s="12" t="s">
        <v>295</v>
      </c>
      <c r="AE104" s="12" t="s">
        <v>296</v>
      </c>
      <c r="AF104" s="46">
        <v>2217522567.5</v>
      </c>
      <c r="AG104" s="46"/>
      <c r="AK104" s="9">
        <v>5778146699.5299997</v>
      </c>
      <c r="AM104" s="135"/>
      <c r="AN104" s="45"/>
      <c r="AO104" s="45"/>
      <c r="AP104" s="145"/>
      <c r="AQ104" s="146"/>
      <c r="AT104" s="146"/>
      <c r="AU104" s="146"/>
    </row>
    <row r="105" spans="1:47">
      <c r="A105" s="12" t="s">
        <v>301</v>
      </c>
      <c r="B105" s="12" t="s">
        <v>302</v>
      </c>
      <c r="C105" s="40" t="s">
        <v>111</v>
      </c>
      <c r="E105" s="12" t="s">
        <v>4366</v>
      </c>
      <c r="F105" s="12" t="s">
        <v>4367</v>
      </c>
      <c r="I105" s="70">
        <v>0</v>
      </c>
      <c r="J105" s="2"/>
      <c r="K105" s="2"/>
      <c r="L105" s="76">
        <f t="shared" si="13"/>
        <v>0</v>
      </c>
      <c r="M105" s="2">
        <f t="shared" si="11"/>
        <v>0</v>
      </c>
      <c r="N105" s="40" t="s">
        <v>111</v>
      </c>
      <c r="O105" s="2">
        <v>5867140.4000000004</v>
      </c>
      <c r="P105" s="14">
        <f>G105-H105</f>
        <v>0</v>
      </c>
      <c r="Q105" s="15"/>
      <c r="R105" s="16"/>
      <c r="S105" s="16"/>
      <c r="T105" s="16"/>
      <c r="U105" s="15"/>
      <c r="V105" s="7"/>
      <c r="W105" s="7"/>
      <c r="X105" s="17">
        <f>SUM(P105:W105)</f>
        <v>0</v>
      </c>
      <c r="Y105" s="47"/>
      <c r="Z105" s="51">
        <f>X105/$Y$7</f>
        <v>0</v>
      </c>
      <c r="AA105" s="47"/>
      <c r="AB105" s="17">
        <f t="shared" si="10"/>
        <v>0</v>
      </c>
      <c r="AC105" s="47"/>
      <c r="AD105" s="12" t="s">
        <v>299</v>
      </c>
      <c r="AE105" s="12" t="s">
        <v>300</v>
      </c>
      <c r="AF105" s="46">
        <v>35568823</v>
      </c>
      <c r="AG105" s="46"/>
      <c r="AH105" s="52"/>
      <c r="AJ105" s="52"/>
      <c r="AK105" s="52">
        <v>124037803.48</v>
      </c>
      <c r="AM105" s="135"/>
      <c r="AN105" s="45"/>
      <c r="AO105" s="45"/>
      <c r="AP105" s="145"/>
      <c r="AQ105" s="146"/>
      <c r="AT105" s="146"/>
      <c r="AU105" s="146"/>
    </row>
    <row r="106" spans="1:47" ht="15.5">
      <c r="A106" s="12" t="s">
        <v>303</v>
      </c>
      <c r="B106" s="12" t="s">
        <v>304</v>
      </c>
      <c r="C106" s="53" t="s">
        <v>111</v>
      </c>
      <c r="D106" s="54">
        <v>656368451.71000004</v>
      </c>
      <c r="E106" s="12" t="s">
        <v>4368</v>
      </c>
      <c r="F106" s="12" t="s">
        <v>4369</v>
      </c>
      <c r="I106" s="70">
        <v>60</v>
      </c>
      <c r="J106" s="2"/>
      <c r="K106" s="2"/>
      <c r="L106" s="200">
        <f t="shared" si="13"/>
        <v>60</v>
      </c>
      <c r="M106" s="2" t="e">
        <f t="shared" si="11"/>
        <v>#REF!</v>
      </c>
      <c r="N106" s="40" t="s">
        <v>111</v>
      </c>
      <c r="O106" s="2">
        <v>102423565.12</v>
      </c>
      <c r="P106" s="14">
        <f>G106-H106</f>
        <v>0</v>
      </c>
      <c r="Q106" s="15"/>
      <c r="R106" s="16" t="e">
        <f>-#REF!</f>
        <v>#REF!</v>
      </c>
      <c r="S106" s="16"/>
      <c r="T106" s="16"/>
      <c r="U106" s="15"/>
      <c r="V106" s="55"/>
      <c r="W106" s="7"/>
      <c r="X106" s="17" t="e">
        <f>SUM(P106:W106)</f>
        <v>#REF!</v>
      </c>
      <c r="Y106" s="47"/>
      <c r="Z106" s="51" t="e">
        <f>X106/$Y$7</f>
        <v>#REF!</v>
      </c>
      <c r="AA106" s="47"/>
      <c r="AB106" s="17" t="e">
        <f t="shared" si="10"/>
        <v>#REF!</v>
      </c>
      <c r="AC106" s="47"/>
      <c r="AD106" s="12" t="s">
        <v>301</v>
      </c>
      <c r="AE106" s="12" t="s">
        <v>302</v>
      </c>
      <c r="AF106" s="46">
        <v>220560184</v>
      </c>
      <c r="AG106" s="46"/>
      <c r="AH106" s="52"/>
      <c r="AJ106" s="52"/>
      <c r="AK106" s="52">
        <v>1839164221.24</v>
      </c>
      <c r="AM106" s="135"/>
      <c r="AN106" s="45"/>
      <c r="AO106" s="45"/>
      <c r="AP106" s="145"/>
      <c r="AQ106" s="146"/>
      <c r="AT106" s="146"/>
      <c r="AU106" s="146"/>
    </row>
    <row r="107" spans="1:47" ht="15.5">
      <c r="A107" s="12"/>
      <c r="B107" s="12"/>
      <c r="C107" s="53"/>
      <c r="D107" s="54"/>
      <c r="E107" s="12" t="s">
        <v>728</v>
      </c>
      <c r="F107" s="12" t="s">
        <v>729</v>
      </c>
      <c r="I107" s="70">
        <v>25000</v>
      </c>
      <c r="J107" s="2"/>
      <c r="K107" s="2"/>
      <c r="L107" s="200">
        <f t="shared" si="13"/>
        <v>25000</v>
      </c>
      <c r="M107" s="2"/>
      <c r="N107" s="40"/>
      <c r="O107" s="2"/>
      <c r="P107" s="14"/>
      <c r="Q107" s="15"/>
      <c r="R107" s="16"/>
      <c r="S107" s="16"/>
      <c r="T107" s="16"/>
      <c r="U107" s="15"/>
      <c r="V107" s="55"/>
      <c r="W107" s="7"/>
      <c r="X107" s="17"/>
      <c r="Y107" s="47"/>
      <c r="Z107" s="51"/>
      <c r="AA107" s="47"/>
      <c r="AB107" s="17"/>
      <c r="AC107" s="47"/>
      <c r="AD107" s="12"/>
      <c r="AE107" s="12"/>
      <c r="AF107" s="46"/>
      <c r="AG107" s="46"/>
      <c r="AH107" s="52"/>
      <c r="AJ107" s="52"/>
      <c r="AK107" s="52"/>
      <c r="AM107" s="135"/>
      <c r="AN107" s="45"/>
      <c r="AO107" s="45"/>
      <c r="AP107" s="145"/>
      <c r="AQ107" s="146"/>
      <c r="AT107" s="146"/>
      <c r="AU107" s="146"/>
    </row>
    <row r="108" spans="1:47">
      <c r="A108" s="12" t="s">
        <v>307</v>
      </c>
      <c r="B108" s="12" t="s">
        <v>308</v>
      </c>
      <c r="C108" s="53" t="s">
        <v>111</v>
      </c>
      <c r="D108" s="54">
        <v>28560356.59</v>
      </c>
      <c r="E108" s="12" t="s">
        <v>4370</v>
      </c>
      <c r="F108" s="12" t="s">
        <v>4371</v>
      </c>
      <c r="I108" s="70">
        <v>19242.996999999999</v>
      </c>
      <c r="J108" s="2"/>
      <c r="K108" s="2">
        <f>(Journals!E39/1000)</f>
        <v>0</v>
      </c>
      <c r="L108" s="76">
        <f t="shared" si="13"/>
        <v>19242.996999999999</v>
      </c>
      <c r="M108" s="2" t="e">
        <f t="shared" si="11"/>
        <v>#REF!</v>
      </c>
      <c r="N108" s="2">
        <v>172186963</v>
      </c>
      <c r="O108" s="2"/>
      <c r="P108" s="14">
        <f>G108-H108</f>
        <v>0</v>
      </c>
      <c r="Q108" s="15"/>
      <c r="R108" s="16"/>
      <c r="S108" s="16"/>
      <c r="T108" s="16" t="e">
        <f>-#REF!</f>
        <v>#REF!</v>
      </c>
      <c r="U108" s="15"/>
      <c r="V108" s="7"/>
      <c r="W108" s="7"/>
      <c r="X108" s="17" t="e">
        <f>SUM(P108:W108)</f>
        <v>#REF!</v>
      </c>
      <c r="Y108" s="47"/>
      <c r="Z108" s="51" t="e">
        <f>X108/$Y$7</f>
        <v>#REF!</v>
      </c>
      <c r="AA108" s="47"/>
      <c r="AB108" s="17"/>
      <c r="AC108" s="52"/>
      <c r="AD108" s="12" t="s">
        <v>305</v>
      </c>
      <c r="AE108" s="12" t="s">
        <v>306</v>
      </c>
      <c r="AF108" s="45" t="s">
        <v>111</v>
      </c>
      <c r="AG108" s="46"/>
      <c r="AH108" s="52"/>
      <c r="AI108" s="136">
        <f>+L108</f>
        <v>19242.996999999999</v>
      </c>
      <c r="AJ108" s="52"/>
      <c r="AK108" s="52">
        <v>503577293.47000003</v>
      </c>
      <c r="AM108" s="135"/>
      <c r="AN108" s="45"/>
      <c r="AO108" s="45"/>
      <c r="AP108" s="145"/>
      <c r="AQ108" s="146"/>
      <c r="AT108" s="146"/>
      <c r="AU108" s="146"/>
    </row>
    <row r="109" spans="1:47">
      <c r="A109" s="12"/>
      <c r="B109" s="12"/>
      <c r="C109" s="53"/>
      <c r="D109" s="54"/>
      <c r="E109" s="12" t="s">
        <v>4372</v>
      </c>
      <c r="F109" s="12" t="s">
        <v>733</v>
      </c>
      <c r="I109" s="70">
        <v>37541.67</v>
      </c>
      <c r="J109" s="2"/>
      <c r="K109" s="2"/>
      <c r="L109" s="76">
        <f t="shared" si="13"/>
        <v>37541.67</v>
      </c>
      <c r="M109" s="2">
        <f t="shared" si="11"/>
        <v>0</v>
      </c>
      <c r="N109" s="40" t="s">
        <v>111</v>
      </c>
      <c r="O109" s="2">
        <v>10389334.35</v>
      </c>
      <c r="P109" s="14">
        <f>G109-H109</f>
        <v>0</v>
      </c>
      <c r="Q109" s="15"/>
      <c r="R109" s="16"/>
      <c r="S109" s="16"/>
      <c r="T109" s="16"/>
      <c r="U109" s="15"/>
      <c r="V109" s="7"/>
      <c r="W109" s="7"/>
      <c r="X109" s="17">
        <f>SUM(P109:W109)</f>
        <v>0</v>
      </c>
      <c r="Y109" s="47"/>
      <c r="Z109" s="51">
        <f>X109/$Y$7</f>
        <v>0</v>
      </c>
      <c r="AA109" s="47"/>
      <c r="AB109" s="17">
        <f t="shared" si="10"/>
        <v>0</v>
      </c>
      <c r="AC109" s="47"/>
      <c r="AD109" s="12" t="s">
        <v>307</v>
      </c>
      <c r="AE109" s="12" t="s">
        <v>308</v>
      </c>
      <c r="AF109" s="46">
        <v>169504363</v>
      </c>
      <c r="AG109" s="46"/>
      <c r="AH109" s="52"/>
      <c r="AJ109" s="52"/>
      <c r="AK109" s="52">
        <v>272573173.42000002</v>
      </c>
      <c r="AM109" s="135"/>
      <c r="AN109" s="45"/>
      <c r="AO109" s="45"/>
      <c r="AP109" s="145"/>
      <c r="AQ109" s="146"/>
      <c r="AT109" s="146"/>
      <c r="AU109" s="146"/>
    </row>
    <row r="110" spans="1:47">
      <c r="A110" s="12" t="s">
        <v>310</v>
      </c>
      <c r="B110" s="12" t="s">
        <v>311</v>
      </c>
      <c r="C110" s="54">
        <v>458034264.14999998</v>
      </c>
      <c r="D110" s="54"/>
      <c r="E110" s="12" t="s">
        <v>4373</v>
      </c>
      <c r="F110" s="12" t="s">
        <v>735</v>
      </c>
      <c r="I110" s="70">
        <v>47692.98</v>
      </c>
      <c r="J110" s="2"/>
      <c r="K110" s="2"/>
      <c r="L110" s="76">
        <f t="shared" si="13"/>
        <v>47692.98</v>
      </c>
      <c r="M110" s="2">
        <f t="shared" si="11"/>
        <v>0</v>
      </c>
      <c r="N110" s="40" t="s">
        <v>111</v>
      </c>
      <c r="O110" s="2"/>
      <c r="P110" s="14">
        <f>G110-H110</f>
        <v>0</v>
      </c>
      <c r="Q110" s="15"/>
      <c r="R110" s="16"/>
      <c r="S110" s="16"/>
      <c r="T110" s="16"/>
      <c r="U110" s="15"/>
      <c r="V110" s="7"/>
      <c r="W110" s="7"/>
      <c r="X110" s="17">
        <f>SUM(P110:W110)</f>
        <v>0</v>
      </c>
      <c r="Y110" s="47"/>
      <c r="Z110" s="51">
        <f>X110/$Y$7</f>
        <v>0</v>
      </c>
      <c r="AA110" s="47"/>
      <c r="AB110" s="17">
        <f t="shared" si="10"/>
        <v>0</v>
      </c>
      <c r="AC110" s="52"/>
      <c r="AD110" s="12" t="s">
        <v>309</v>
      </c>
      <c r="AE110" s="12" t="s">
        <v>345</v>
      </c>
      <c r="AF110" s="45" t="s">
        <v>111</v>
      </c>
      <c r="AG110" s="46"/>
      <c r="AH110" s="52"/>
      <c r="AI110" s="136">
        <f>+L110</f>
        <v>47692.98</v>
      </c>
      <c r="AJ110" s="52"/>
      <c r="AK110" s="52">
        <v>3000000000</v>
      </c>
      <c r="AM110" s="135"/>
      <c r="AN110" s="45"/>
      <c r="AO110" s="45"/>
      <c r="AP110" s="145"/>
      <c r="AQ110" s="146"/>
      <c r="AT110" s="146"/>
      <c r="AU110" s="146"/>
    </row>
    <row r="111" spans="1:47">
      <c r="A111" s="12"/>
      <c r="B111" s="12"/>
      <c r="C111" s="54"/>
      <c r="D111" s="54"/>
      <c r="E111" s="12" t="s">
        <v>748</v>
      </c>
      <c r="F111" s="12" t="s">
        <v>749</v>
      </c>
      <c r="I111" s="70">
        <v>1906050.2139999999</v>
      </c>
      <c r="J111" s="2"/>
      <c r="K111" s="2"/>
      <c r="L111" s="199">
        <f t="shared" si="13"/>
        <v>1906050.2139999999</v>
      </c>
      <c r="M111" s="2"/>
      <c r="N111" s="40"/>
      <c r="O111" s="2"/>
      <c r="P111" s="14"/>
      <c r="R111" s="16"/>
      <c r="S111" s="16"/>
      <c r="T111" s="8"/>
      <c r="U111" s="15"/>
      <c r="V111" s="15"/>
      <c r="W111" s="15"/>
      <c r="X111" s="17"/>
      <c r="Y111" s="47"/>
      <c r="Z111" s="51"/>
      <c r="AA111" s="17"/>
      <c r="AB111" s="17"/>
      <c r="AD111" s="12"/>
      <c r="AE111" s="12"/>
      <c r="AF111" s="45"/>
      <c r="AG111" s="46"/>
      <c r="AM111" s="135"/>
      <c r="AN111" s="45"/>
      <c r="AO111" s="45"/>
      <c r="AP111" s="145"/>
      <c r="AQ111" s="146"/>
      <c r="AT111" s="146"/>
      <c r="AU111" s="146"/>
    </row>
    <row r="112" spans="1:47">
      <c r="A112" s="12"/>
      <c r="B112" s="12"/>
      <c r="C112" s="54"/>
      <c r="D112" s="54"/>
      <c r="E112" s="12" t="s">
        <v>752</v>
      </c>
      <c r="F112" s="12" t="s">
        <v>753</v>
      </c>
      <c r="I112" s="70">
        <v>2771182.6370000001</v>
      </c>
      <c r="J112" s="2">
        <v>22500</v>
      </c>
      <c r="K112" s="2"/>
      <c r="L112" s="199">
        <f t="shared" si="13"/>
        <v>2793682.6370000001</v>
      </c>
      <c r="M112" s="2"/>
      <c r="N112" s="40"/>
      <c r="O112" s="2"/>
      <c r="P112" s="14"/>
      <c r="R112" s="16"/>
      <c r="S112" s="16"/>
      <c r="T112" s="8"/>
      <c r="U112" s="15"/>
      <c r="V112" s="15"/>
      <c r="W112" s="15"/>
      <c r="X112" s="17"/>
      <c r="Y112" s="47"/>
      <c r="Z112" s="51"/>
      <c r="AA112" s="17"/>
      <c r="AB112" s="17"/>
      <c r="AD112" s="12"/>
      <c r="AE112" s="12"/>
      <c r="AF112" s="45"/>
      <c r="AG112" s="46"/>
      <c r="AM112" s="135"/>
      <c r="AN112" s="45"/>
      <c r="AO112" s="45"/>
      <c r="AP112" s="145"/>
      <c r="AQ112" s="146"/>
      <c r="AT112" s="146"/>
      <c r="AU112" s="146"/>
    </row>
    <row r="113" spans="1:47">
      <c r="A113" s="12"/>
      <c r="B113" s="12"/>
      <c r="C113" s="54"/>
      <c r="D113" s="54"/>
      <c r="E113" s="12" t="s">
        <v>754</v>
      </c>
      <c r="F113" s="12" t="s">
        <v>755</v>
      </c>
      <c r="I113" s="70">
        <v>1410756.5490000001</v>
      </c>
      <c r="J113" s="2">
        <v>11800</v>
      </c>
      <c r="K113" s="2"/>
      <c r="L113" s="199">
        <f t="shared" si="13"/>
        <v>1422556.5490000001</v>
      </c>
      <c r="M113" s="2"/>
      <c r="N113" s="40"/>
      <c r="O113" s="2"/>
      <c r="P113" s="14"/>
      <c r="R113" s="16"/>
      <c r="S113" s="16"/>
      <c r="T113" s="8"/>
      <c r="U113" s="15"/>
      <c r="V113" s="15"/>
      <c r="W113" s="15"/>
      <c r="X113" s="17"/>
      <c r="Y113" s="47"/>
      <c r="Z113" s="51"/>
      <c r="AA113" s="17"/>
      <c r="AB113" s="17"/>
      <c r="AD113" s="12"/>
      <c r="AE113" s="12"/>
      <c r="AF113" s="45"/>
      <c r="AG113" s="46"/>
      <c r="AM113" s="135"/>
      <c r="AN113" s="45"/>
      <c r="AO113" s="45"/>
      <c r="AP113" s="145"/>
      <c r="AQ113" s="146"/>
      <c r="AT113" s="146"/>
      <c r="AU113" s="146"/>
    </row>
    <row r="114" spans="1:47">
      <c r="A114" s="12"/>
      <c r="B114" s="12"/>
      <c r="C114" s="54"/>
      <c r="D114" s="54"/>
      <c r="E114" s="12" t="s">
        <v>756</v>
      </c>
      <c r="F114" s="12" t="s">
        <v>757</v>
      </c>
      <c r="I114" s="70">
        <v>257185.1</v>
      </c>
      <c r="J114" s="2"/>
      <c r="K114" s="2"/>
      <c r="L114" s="199">
        <f t="shared" si="13"/>
        <v>257185.1</v>
      </c>
      <c r="M114" s="2"/>
      <c r="N114" s="40"/>
      <c r="O114" s="2"/>
      <c r="P114" s="14"/>
      <c r="R114" s="16"/>
      <c r="S114" s="16"/>
      <c r="T114" s="8"/>
      <c r="U114" s="15"/>
      <c r="V114" s="15"/>
      <c r="W114" s="15"/>
      <c r="X114" s="17"/>
      <c r="Y114" s="47"/>
      <c r="Z114" s="51"/>
      <c r="AA114" s="17"/>
      <c r="AB114" s="17"/>
      <c r="AD114" s="12"/>
      <c r="AE114" s="12"/>
      <c r="AF114" s="45"/>
      <c r="AG114" s="46"/>
      <c r="AM114" s="135"/>
      <c r="AN114" s="45"/>
      <c r="AO114" s="45"/>
      <c r="AP114" s="145"/>
      <c r="AQ114" s="146"/>
      <c r="AT114" s="146"/>
      <c r="AU114" s="146"/>
    </row>
    <row r="115" spans="1:47">
      <c r="A115" s="12"/>
      <c r="B115" s="12"/>
      <c r="C115" s="54"/>
      <c r="D115" s="54"/>
      <c r="E115" s="12" t="s">
        <v>758</v>
      </c>
      <c r="F115" s="12" t="s">
        <v>759</v>
      </c>
      <c r="I115" s="70">
        <v>213173.39</v>
      </c>
      <c r="J115" s="2"/>
      <c r="K115" s="2"/>
      <c r="L115" s="199">
        <f t="shared" si="13"/>
        <v>213173.39</v>
      </c>
      <c r="M115" s="2"/>
      <c r="N115" s="40"/>
      <c r="O115" s="2"/>
      <c r="P115" s="14"/>
      <c r="R115" s="16"/>
      <c r="S115" s="16"/>
      <c r="T115" s="8"/>
      <c r="U115" s="15"/>
      <c r="V115" s="15"/>
      <c r="W115" s="15"/>
      <c r="X115" s="17"/>
      <c r="Y115" s="47"/>
      <c r="Z115" s="51"/>
      <c r="AA115" s="17"/>
      <c r="AB115" s="17"/>
      <c r="AD115" s="12"/>
      <c r="AE115" s="12"/>
      <c r="AF115" s="45"/>
      <c r="AG115" s="46"/>
      <c r="AL115" s="52">
        <f>L115+L121</f>
        <v>121338.42300000001</v>
      </c>
      <c r="AM115" s="135"/>
      <c r="AN115" s="45"/>
      <c r="AO115" s="45"/>
      <c r="AP115" s="145"/>
      <c r="AQ115" s="146"/>
      <c r="AT115" s="146"/>
      <c r="AU115" s="146"/>
    </row>
    <row r="116" spans="1:47">
      <c r="A116" s="12"/>
      <c r="B116" s="12"/>
      <c r="C116" s="54"/>
      <c r="D116" s="54"/>
      <c r="E116" s="12" t="s">
        <v>760</v>
      </c>
      <c r="F116" s="12" t="s">
        <v>761</v>
      </c>
      <c r="I116" s="70">
        <v>414300.978</v>
      </c>
      <c r="J116" s="2">
        <v>18000</v>
      </c>
      <c r="K116" s="2"/>
      <c r="L116" s="199">
        <f t="shared" si="13"/>
        <v>432300.978</v>
      </c>
      <c r="M116" s="2"/>
      <c r="N116" s="40"/>
      <c r="O116" s="2"/>
      <c r="P116" s="14"/>
      <c r="R116" s="16"/>
      <c r="S116" s="16"/>
      <c r="T116" s="8"/>
      <c r="U116" s="15"/>
      <c r="V116" s="15"/>
      <c r="W116" s="15"/>
      <c r="X116" s="17"/>
      <c r="Y116" s="47"/>
      <c r="Z116" s="51"/>
      <c r="AA116" s="17"/>
      <c r="AB116" s="17"/>
      <c r="AD116" s="12"/>
      <c r="AE116" s="12"/>
      <c r="AF116" s="45"/>
      <c r="AG116" s="46"/>
      <c r="AM116" s="135"/>
      <c r="AN116" s="45"/>
      <c r="AO116" s="45"/>
      <c r="AP116" s="145"/>
      <c r="AQ116" s="146"/>
      <c r="AT116" s="146"/>
      <c r="AU116" s="146"/>
    </row>
    <row r="117" spans="1:47">
      <c r="A117" s="12"/>
      <c r="B117" s="12"/>
      <c r="C117" s="54"/>
      <c r="D117" s="54"/>
      <c r="E117" s="12" t="s">
        <v>762</v>
      </c>
      <c r="F117" s="12" t="s">
        <v>763</v>
      </c>
      <c r="I117" s="70">
        <v>376443.886</v>
      </c>
      <c r="J117" s="2"/>
      <c r="K117" s="2"/>
      <c r="L117" s="199">
        <f t="shared" si="13"/>
        <v>376443.886</v>
      </c>
      <c r="M117" s="2"/>
      <c r="N117" s="40"/>
      <c r="O117" s="2"/>
      <c r="P117" s="14"/>
      <c r="R117" s="16"/>
      <c r="S117" s="16"/>
      <c r="T117" s="8"/>
      <c r="U117" s="15"/>
      <c r="V117" s="15"/>
      <c r="W117" s="15"/>
      <c r="X117" s="17"/>
      <c r="Y117" s="47"/>
      <c r="Z117" s="51"/>
      <c r="AA117" s="17"/>
      <c r="AB117" s="17"/>
      <c r="AD117" s="12"/>
      <c r="AE117" s="12"/>
      <c r="AF117" s="45"/>
      <c r="AG117" s="46"/>
      <c r="AM117" s="135"/>
      <c r="AN117" s="45"/>
      <c r="AO117" s="45"/>
      <c r="AP117" s="145"/>
      <c r="AQ117" s="146"/>
      <c r="AT117" s="146"/>
      <c r="AU117" s="146"/>
    </row>
    <row r="118" spans="1:47">
      <c r="A118" s="12"/>
      <c r="B118" s="12"/>
      <c r="C118" s="54"/>
      <c r="D118" s="54"/>
      <c r="E118" s="12" t="s">
        <v>770</v>
      </c>
      <c r="F118" s="12" t="s">
        <v>771</v>
      </c>
      <c r="I118" s="70">
        <v>-1503522.557</v>
      </c>
      <c r="J118" s="2"/>
      <c r="K118" s="2"/>
      <c r="L118" s="199">
        <f t="shared" si="13"/>
        <v>-1503522.557</v>
      </c>
      <c r="M118" s="2"/>
      <c r="N118" s="40"/>
      <c r="O118" s="2"/>
      <c r="P118" s="14"/>
      <c r="R118" s="16"/>
      <c r="S118" s="16"/>
      <c r="T118" s="8"/>
      <c r="U118" s="15"/>
      <c r="V118" s="15"/>
      <c r="W118" s="15"/>
      <c r="X118" s="17"/>
      <c r="Y118" s="47"/>
      <c r="Z118" s="51"/>
      <c r="AA118" s="17"/>
      <c r="AB118" s="17"/>
      <c r="AD118" s="12"/>
      <c r="AE118" s="12"/>
      <c r="AF118" s="45"/>
      <c r="AG118" s="46"/>
      <c r="AM118" s="135"/>
      <c r="AN118" s="45"/>
      <c r="AO118" s="45"/>
      <c r="AP118" s="145"/>
      <c r="AQ118" s="146"/>
      <c r="AT118" s="146"/>
      <c r="AU118" s="146"/>
    </row>
    <row r="119" spans="1:47">
      <c r="A119" s="12"/>
      <c r="B119" s="12"/>
      <c r="C119" s="54"/>
      <c r="D119" s="54"/>
      <c r="E119" s="12" t="s">
        <v>772</v>
      </c>
      <c r="F119" s="12" t="s">
        <v>773</v>
      </c>
      <c r="I119" s="70">
        <v>-857286.23100000003</v>
      </c>
      <c r="J119" s="2"/>
      <c r="K119" s="2">
        <v>1431.4770000000001</v>
      </c>
      <c r="L119" s="199">
        <f t="shared" si="13"/>
        <v>-858717.70799999998</v>
      </c>
      <c r="M119" s="2"/>
      <c r="N119" s="40"/>
      <c r="O119" s="2"/>
      <c r="P119" s="14"/>
      <c r="R119" s="16"/>
      <c r="S119" s="16"/>
      <c r="T119" s="8"/>
      <c r="U119" s="15"/>
      <c r="V119" s="15"/>
      <c r="W119" s="15"/>
      <c r="X119" s="17"/>
      <c r="Y119" s="47"/>
      <c r="Z119" s="51"/>
      <c r="AA119" s="17"/>
      <c r="AB119" s="17"/>
      <c r="AD119" s="12"/>
      <c r="AE119" s="12"/>
      <c r="AF119" s="45"/>
      <c r="AG119" s="46"/>
      <c r="AM119" s="135"/>
      <c r="AN119" s="45"/>
      <c r="AO119" s="45"/>
      <c r="AP119" s="145"/>
      <c r="AQ119" s="146"/>
      <c r="AT119" s="146"/>
      <c r="AU119" s="146"/>
    </row>
    <row r="120" spans="1:47">
      <c r="A120" s="12"/>
      <c r="B120" s="12"/>
      <c r="C120" s="54"/>
      <c r="D120" s="54"/>
      <c r="E120" s="12" t="s">
        <v>774</v>
      </c>
      <c r="F120" s="12" t="s">
        <v>775</v>
      </c>
      <c r="I120" s="70">
        <v>-257185.092</v>
      </c>
      <c r="J120" s="2"/>
      <c r="K120" s="2"/>
      <c r="L120" s="199">
        <f t="shared" si="13"/>
        <v>-257185.092</v>
      </c>
      <c r="M120" s="2"/>
      <c r="N120" s="40"/>
      <c r="O120" s="2"/>
      <c r="P120" s="14"/>
      <c r="R120" s="16"/>
      <c r="S120" s="16"/>
      <c r="T120" s="8"/>
      <c r="U120" s="15"/>
      <c r="V120" s="15"/>
      <c r="W120" s="15"/>
      <c r="X120" s="17"/>
      <c r="Y120" s="47"/>
      <c r="Z120" s="51"/>
      <c r="AA120" s="17"/>
      <c r="AB120" s="17"/>
      <c r="AD120" s="12"/>
      <c r="AE120" s="12"/>
      <c r="AF120" s="45"/>
      <c r="AG120" s="46"/>
      <c r="AM120" s="135"/>
      <c r="AN120" s="45"/>
      <c r="AO120" s="45"/>
      <c r="AP120" s="145"/>
      <c r="AQ120" s="146"/>
      <c r="AT120" s="146"/>
      <c r="AU120" s="146"/>
    </row>
    <row r="121" spans="1:47">
      <c r="A121" s="12"/>
      <c r="B121" s="12"/>
      <c r="C121" s="54"/>
      <c r="D121" s="54"/>
      <c r="E121" s="12" t="s">
        <v>776</v>
      </c>
      <c r="F121" s="12" t="s">
        <v>777</v>
      </c>
      <c r="I121" s="70">
        <v>-91270.739000000001</v>
      </c>
      <c r="J121" s="2"/>
      <c r="K121" s="2">
        <v>564.22799999999995</v>
      </c>
      <c r="L121" s="76">
        <f t="shared" si="13"/>
        <v>-91834.967000000004</v>
      </c>
      <c r="M121" s="2"/>
      <c r="N121" s="40"/>
      <c r="O121" s="2"/>
      <c r="P121" s="14"/>
      <c r="R121" s="16"/>
      <c r="S121" s="16"/>
      <c r="T121" s="8"/>
      <c r="U121" s="15"/>
      <c r="V121" s="15"/>
      <c r="W121" s="15"/>
      <c r="X121" s="17"/>
      <c r="Y121" s="47"/>
      <c r="Z121" s="51"/>
      <c r="AA121" s="17"/>
      <c r="AB121" s="17"/>
      <c r="AD121" s="12"/>
      <c r="AE121" s="12"/>
      <c r="AF121" s="45"/>
      <c r="AG121" s="46"/>
      <c r="AM121" s="135"/>
      <c r="AN121" s="45"/>
      <c r="AO121" s="45"/>
      <c r="AP121" s="145"/>
      <c r="AQ121" s="146"/>
      <c r="AT121" s="146"/>
      <c r="AU121" s="146"/>
    </row>
    <row r="122" spans="1:47">
      <c r="A122" s="12"/>
      <c r="B122" s="12"/>
      <c r="C122" s="54"/>
      <c r="D122" s="54"/>
      <c r="E122" s="12" t="s">
        <v>778</v>
      </c>
      <c r="F122" s="12" t="s">
        <v>779</v>
      </c>
      <c r="I122" s="70">
        <v>-136244.639</v>
      </c>
      <c r="J122" s="2">
        <v>1995.7049999999999</v>
      </c>
      <c r="K122" s="2">
        <v>2247.8939999999998</v>
      </c>
      <c r="L122" s="76">
        <f t="shared" si="13"/>
        <v>-136496.82800000001</v>
      </c>
      <c r="M122" s="2"/>
      <c r="N122" s="40"/>
      <c r="O122" s="2"/>
      <c r="P122" s="14"/>
      <c r="R122" s="16"/>
      <c r="S122" s="16"/>
      <c r="T122" s="8"/>
      <c r="U122" s="15"/>
      <c r="V122" s="15"/>
      <c r="W122" s="15"/>
      <c r="X122" s="17"/>
      <c r="Y122" s="47"/>
      <c r="Z122" s="51"/>
      <c r="AA122" s="17"/>
      <c r="AB122" s="17"/>
      <c r="AD122" s="12"/>
      <c r="AE122" s="12"/>
      <c r="AF122" s="45"/>
      <c r="AG122" s="46"/>
      <c r="AM122" s="135"/>
      <c r="AN122" s="45"/>
      <c r="AO122" s="45"/>
      <c r="AP122" s="145"/>
      <c r="AQ122" s="146"/>
      <c r="AT122" s="146"/>
      <c r="AU122" s="146"/>
    </row>
    <row r="123" spans="1:47">
      <c r="A123" s="12"/>
      <c r="B123" s="12"/>
      <c r="C123" s="54"/>
      <c r="D123" s="54"/>
      <c r="E123" s="12" t="s">
        <v>780</v>
      </c>
      <c r="F123" s="12" t="s">
        <v>781</v>
      </c>
      <c r="I123" s="70">
        <v>-566570.62</v>
      </c>
      <c r="J123" s="2">
        <v>2247.8939999999998</v>
      </c>
      <c r="K123" s="2"/>
      <c r="L123" s="199">
        <f t="shared" si="13"/>
        <v>-564322.72600000002</v>
      </c>
      <c r="M123" s="2"/>
      <c r="N123" s="40"/>
      <c r="O123" s="2"/>
      <c r="P123" s="14"/>
      <c r="R123" s="16"/>
      <c r="S123" s="16"/>
      <c r="T123" s="8"/>
      <c r="U123" s="15"/>
      <c r="V123" s="15"/>
      <c r="W123" s="15"/>
      <c r="X123" s="17"/>
      <c r="Y123" s="47"/>
      <c r="Z123" s="51"/>
      <c r="AA123" s="17"/>
      <c r="AB123" s="17"/>
      <c r="AD123" s="12"/>
      <c r="AE123" s="12"/>
      <c r="AF123" s="45"/>
      <c r="AG123" s="46"/>
      <c r="AM123" s="135"/>
      <c r="AN123" s="45"/>
      <c r="AO123" s="45"/>
      <c r="AP123" s="145"/>
      <c r="AQ123" s="146"/>
      <c r="AT123" s="146"/>
      <c r="AU123" s="146"/>
    </row>
    <row r="124" spans="1:47">
      <c r="A124" s="12"/>
      <c r="B124" s="12"/>
      <c r="C124" s="54"/>
      <c r="D124" s="54"/>
      <c r="E124" s="12" t="s">
        <v>786</v>
      </c>
      <c r="F124" s="12" t="s">
        <v>787</v>
      </c>
      <c r="I124" s="70">
        <v>11150</v>
      </c>
      <c r="J124" s="2"/>
      <c r="K124" s="2"/>
      <c r="L124" s="200">
        <f t="shared" si="13"/>
        <v>11150</v>
      </c>
      <c r="M124" s="2"/>
      <c r="N124" s="40"/>
      <c r="O124" s="2"/>
      <c r="P124" s="14"/>
      <c r="R124" s="16"/>
      <c r="S124" s="16"/>
      <c r="T124" s="8"/>
      <c r="U124" s="15"/>
      <c r="V124" s="15"/>
      <c r="W124" s="15"/>
      <c r="X124" s="17"/>
      <c r="Y124" s="47"/>
      <c r="Z124" s="51"/>
      <c r="AA124" s="17"/>
      <c r="AB124" s="17"/>
      <c r="AD124" s="12"/>
      <c r="AE124" s="12"/>
      <c r="AF124" s="45"/>
      <c r="AG124" s="46"/>
      <c r="AM124" s="135"/>
      <c r="AN124" s="45"/>
      <c r="AO124" s="45"/>
      <c r="AP124" s="145"/>
      <c r="AQ124" s="146"/>
      <c r="AT124" s="146"/>
      <c r="AU124" s="146"/>
    </row>
    <row r="125" spans="1:47">
      <c r="A125" s="12"/>
      <c r="B125" s="12"/>
      <c r="C125" s="54"/>
      <c r="D125" s="54"/>
      <c r="E125" s="12" t="s">
        <v>788</v>
      </c>
      <c r="F125" s="12" t="s">
        <v>789</v>
      </c>
      <c r="I125" s="70">
        <v>175930.45699999999</v>
      </c>
      <c r="J125" s="2"/>
      <c r="K125" s="2"/>
      <c r="L125" s="201">
        <f t="shared" ref="L125:L130" si="15">I125+J125-K125</f>
        <v>175930.45699999999</v>
      </c>
      <c r="M125" s="2"/>
      <c r="N125" s="40"/>
      <c r="O125" s="2"/>
      <c r="P125" s="14"/>
      <c r="R125" s="16"/>
      <c r="S125" s="16"/>
      <c r="T125" s="8"/>
      <c r="U125" s="15"/>
      <c r="V125" s="15"/>
      <c r="W125" s="15"/>
      <c r="X125" s="17"/>
      <c r="Y125" s="47"/>
      <c r="Z125" s="51"/>
      <c r="AA125" s="17"/>
      <c r="AB125" s="17"/>
      <c r="AD125" s="12"/>
      <c r="AE125" s="12"/>
      <c r="AF125" s="45"/>
      <c r="AG125" s="46"/>
      <c r="AM125" s="135"/>
      <c r="AN125" s="45"/>
      <c r="AO125" s="45"/>
      <c r="AP125" s="145"/>
      <c r="AQ125" s="146"/>
      <c r="AT125" s="146"/>
      <c r="AU125" s="146"/>
    </row>
    <row r="126" spans="1:47">
      <c r="A126" s="12"/>
      <c r="B126" s="12"/>
      <c r="C126" s="54"/>
      <c r="D126" s="54"/>
      <c r="E126" s="12"/>
      <c r="F126" s="12"/>
      <c r="I126" s="70"/>
      <c r="J126" s="2"/>
      <c r="K126" s="2"/>
      <c r="L126" s="70"/>
      <c r="M126" s="2"/>
      <c r="N126" s="40"/>
      <c r="O126" s="2"/>
      <c r="P126" s="14"/>
      <c r="R126" s="16"/>
      <c r="S126" s="16"/>
      <c r="T126" s="8"/>
      <c r="U126" s="15"/>
      <c r="V126" s="15"/>
      <c r="W126" s="15"/>
      <c r="X126" s="17"/>
      <c r="Y126" s="47"/>
      <c r="Z126" s="51"/>
      <c r="AA126" s="17"/>
      <c r="AB126" s="17"/>
      <c r="AD126" s="12"/>
      <c r="AE126" s="12"/>
      <c r="AF126" s="45"/>
      <c r="AG126" s="46"/>
      <c r="AM126" s="135"/>
      <c r="AN126" s="45"/>
      <c r="AO126" s="45"/>
      <c r="AP126" s="145"/>
      <c r="AQ126" s="146"/>
      <c r="AT126" s="146"/>
      <c r="AU126" s="146"/>
    </row>
    <row r="127" spans="1:47">
      <c r="A127" s="12"/>
      <c r="B127" s="12"/>
      <c r="C127" s="54"/>
      <c r="D127" s="54"/>
      <c r="E127" s="12" t="s">
        <v>801</v>
      </c>
      <c r="F127" s="12" t="s">
        <v>802</v>
      </c>
      <c r="I127" s="70">
        <v>-360812.53899999999</v>
      </c>
      <c r="J127" s="2"/>
      <c r="K127" s="2"/>
      <c r="L127" s="198">
        <f t="shared" si="15"/>
        <v>-360812.53899999999</v>
      </c>
      <c r="M127" s="2"/>
      <c r="N127" s="40"/>
      <c r="O127" s="2"/>
      <c r="P127" s="14"/>
      <c r="R127" s="16"/>
      <c r="S127" s="16"/>
      <c r="T127" s="8"/>
      <c r="U127" s="15"/>
      <c r="V127" s="15"/>
      <c r="W127" s="15"/>
      <c r="X127" s="17"/>
      <c r="Y127" s="47"/>
      <c r="Z127" s="51"/>
      <c r="AA127" s="17"/>
      <c r="AB127" s="17"/>
      <c r="AD127" s="12"/>
      <c r="AE127" s="12"/>
      <c r="AF127" s="45"/>
      <c r="AG127" s="46"/>
      <c r="AM127" s="135"/>
      <c r="AN127" s="45"/>
      <c r="AO127" s="45"/>
      <c r="AP127" s="145"/>
      <c r="AQ127" s="146"/>
      <c r="AT127" s="146"/>
      <c r="AU127" s="146"/>
    </row>
    <row r="128" spans="1:47">
      <c r="A128" s="12"/>
      <c r="B128" s="12"/>
      <c r="C128" s="54"/>
      <c r="D128" s="54"/>
      <c r="E128" s="12" t="s">
        <v>939</v>
      </c>
      <c r="F128" s="12" t="s">
        <v>940</v>
      </c>
      <c r="I128" s="70">
        <v>15963.061000000002</v>
      </c>
      <c r="J128" s="2"/>
      <c r="K128" s="2"/>
      <c r="L128" s="198">
        <f t="shared" si="15"/>
        <v>15963.061000000002</v>
      </c>
      <c r="M128" s="2"/>
      <c r="N128" s="40"/>
      <c r="O128" s="2"/>
      <c r="P128" s="14"/>
      <c r="R128" s="16"/>
      <c r="S128" s="16"/>
      <c r="T128" s="8"/>
      <c r="U128" s="15"/>
      <c r="V128" s="15"/>
      <c r="W128" s="15"/>
      <c r="X128" s="17"/>
      <c r="Y128" s="47"/>
      <c r="Z128" s="51"/>
      <c r="AA128" s="17"/>
      <c r="AB128" s="17"/>
      <c r="AD128" s="12"/>
      <c r="AE128" s="12"/>
      <c r="AF128" s="45"/>
      <c r="AG128" s="46"/>
      <c r="AM128" s="135"/>
      <c r="AN128" s="45"/>
      <c r="AO128" s="45"/>
      <c r="AP128" s="145"/>
      <c r="AQ128" s="146"/>
      <c r="AT128" s="146"/>
      <c r="AU128" s="146"/>
    </row>
    <row r="129" spans="1:47">
      <c r="A129" s="12"/>
      <c r="B129" s="12"/>
      <c r="C129" s="54"/>
      <c r="D129" s="54"/>
      <c r="E129" s="12" t="s">
        <v>963</v>
      </c>
      <c r="F129" s="12" t="s">
        <v>4374</v>
      </c>
      <c r="I129" s="70">
        <v>-6497897.0344700003</v>
      </c>
      <c r="J129" s="2">
        <v>300</v>
      </c>
      <c r="K129" s="2">
        <v>23396.799999999999</v>
      </c>
      <c r="L129" s="198">
        <f t="shared" si="15"/>
        <v>-6520993.8344700001</v>
      </c>
      <c r="M129" s="2"/>
      <c r="N129" s="40"/>
      <c r="O129" s="2"/>
      <c r="P129" s="14"/>
      <c r="R129" s="16"/>
      <c r="S129" s="16"/>
      <c r="T129" s="8"/>
      <c r="U129" s="15"/>
      <c r="V129" s="15"/>
      <c r="W129" s="15"/>
      <c r="X129" s="17"/>
      <c r="Y129" s="47"/>
      <c r="Z129" s="51"/>
      <c r="AA129" s="17"/>
      <c r="AB129" s="17"/>
      <c r="AD129" s="12"/>
      <c r="AE129" s="12"/>
      <c r="AF129" s="45"/>
      <c r="AG129" s="46"/>
      <c r="AM129" s="135"/>
      <c r="AN129" s="45"/>
      <c r="AO129" s="45"/>
      <c r="AP129" s="145"/>
      <c r="AQ129" s="146"/>
      <c r="AT129" s="146"/>
      <c r="AU129" s="146"/>
    </row>
    <row r="130" spans="1:47">
      <c r="A130" s="12"/>
      <c r="B130" s="12"/>
      <c r="C130" s="54"/>
      <c r="D130" s="54"/>
      <c r="E130" s="12" t="s">
        <v>1009</v>
      </c>
      <c r="F130" s="12" t="s">
        <v>4375</v>
      </c>
      <c r="I130" s="70">
        <v>-3505639.8569999998</v>
      </c>
      <c r="J130" s="2"/>
      <c r="K130" s="2">
        <v>8850</v>
      </c>
      <c r="L130" s="198">
        <f t="shared" si="15"/>
        <v>-3514489.8569999998</v>
      </c>
      <c r="M130" s="2"/>
      <c r="N130" s="40"/>
      <c r="O130" s="2"/>
      <c r="P130" s="14"/>
      <c r="R130" s="16"/>
      <c r="S130" s="16"/>
      <c r="T130" s="8"/>
      <c r="U130" s="15"/>
      <c r="V130" s="15"/>
      <c r="W130" s="15"/>
      <c r="X130" s="17"/>
      <c r="Y130" s="47"/>
      <c r="Z130" s="51"/>
      <c r="AA130" s="17"/>
      <c r="AB130" s="17"/>
      <c r="AD130" s="12"/>
      <c r="AE130" s="12"/>
      <c r="AF130" s="45"/>
      <c r="AG130" s="46"/>
      <c r="AM130" s="135"/>
      <c r="AN130" s="45"/>
      <c r="AO130" s="45"/>
      <c r="AP130" s="145"/>
      <c r="AQ130" s="146"/>
      <c r="AT130" s="146"/>
      <c r="AU130" s="146"/>
    </row>
    <row r="131" spans="1:47">
      <c r="A131" s="12"/>
      <c r="B131" s="12"/>
      <c r="C131" s="54"/>
      <c r="D131" s="54"/>
      <c r="E131" s="12" t="s">
        <v>1291</v>
      </c>
      <c r="F131" s="12" t="s">
        <v>1292</v>
      </c>
      <c r="I131" s="70">
        <v>-4657.1190000000024</v>
      </c>
      <c r="J131" s="2"/>
      <c r="K131" s="2"/>
      <c r="L131" s="198">
        <f t="shared" ref="L131:L167" si="16">I131+J131-K131</f>
        <v>-4657.1190000000024</v>
      </c>
      <c r="M131" s="2"/>
      <c r="N131" s="40"/>
      <c r="O131" s="2"/>
      <c r="P131" s="14"/>
      <c r="R131" s="16"/>
      <c r="S131" s="16"/>
      <c r="T131" s="8"/>
      <c r="U131" s="15"/>
      <c r="V131" s="15"/>
      <c r="W131" s="15"/>
      <c r="X131" s="17"/>
      <c r="Y131" s="47"/>
      <c r="Z131" s="51"/>
      <c r="AA131" s="17"/>
      <c r="AB131" s="17"/>
      <c r="AD131" s="12"/>
      <c r="AE131" s="12"/>
      <c r="AF131" s="45"/>
      <c r="AG131" s="46"/>
      <c r="AM131" s="135"/>
      <c r="AN131" s="45"/>
      <c r="AO131" s="45"/>
      <c r="AP131" s="145"/>
      <c r="AQ131" s="146"/>
      <c r="AT131" s="146"/>
      <c r="AU131" s="146"/>
    </row>
    <row r="132" spans="1:47">
      <c r="A132" s="12"/>
      <c r="B132" s="12"/>
      <c r="C132" s="54"/>
      <c r="D132" s="54"/>
      <c r="E132" s="12"/>
      <c r="F132" s="12"/>
      <c r="I132" s="70"/>
      <c r="J132" s="2"/>
      <c r="K132" s="2"/>
      <c r="L132" s="70"/>
      <c r="M132" s="2"/>
      <c r="N132" s="40"/>
      <c r="O132" s="2"/>
      <c r="P132" s="14"/>
      <c r="R132" s="16"/>
      <c r="S132" s="16"/>
      <c r="T132" s="8"/>
      <c r="U132" s="15"/>
      <c r="V132" s="15"/>
      <c r="W132" s="15"/>
      <c r="X132" s="17"/>
      <c r="Y132" s="47"/>
      <c r="Z132" s="51"/>
      <c r="AA132" s="17"/>
      <c r="AB132" s="17"/>
      <c r="AD132" s="12"/>
      <c r="AE132" s="12"/>
      <c r="AF132" s="45"/>
      <c r="AG132" s="46"/>
      <c r="AM132" s="135"/>
      <c r="AN132" s="45"/>
      <c r="AO132" s="45"/>
      <c r="AP132" s="145"/>
      <c r="AQ132" s="146"/>
      <c r="AT132" s="146"/>
      <c r="AU132" s="146"/>
    </row>
    <row r="133" spans="1:47">
      <c r="A133" s="12"/>
      <c r="B133" s="12"/>
      <c r="C133" s="54"/>
      <c r="D133" s="54"/>
      <c r="E133" s="12" t="s">
        <v>1319</v>
      </c>
      <c r="F133" s="12" t="s">
        <v>1320</v>
      </c>
      <c r="I133" s="70">
        <v>-84772.56</v>
      </c>
      <c r="J133" s="2"/>
      <c r="K133" s="2"/>
      <c r="L133" s="70">
        <f t="shared" si="16"/>
        <v>-84772.56</v>
      </c>
      <c r="M133" s="2"/>
      <c r="N133" s="40"/>
      <c r="O133" s="2"/>
      <c r="P133" s="14"/>
      <c r="R133" s="16"/>
      <c r="S133" s="16"/>
      <c r="T133" s="8"/>
      <c r="U133" s="15"/>
      <c r="V133" s="15"/>
      <c r="W133" s="15"/>
      <c r="X133" s="17"/>
      <c r="Y133" s="47"/>
      <c r="Z133" s="51"/>
      <c r="AA133" s="17"/>
      <c r="AB133" s="17"/>
      <c r="AD133" s="12"/>
      <c r="AE133" s="12"/>
      <c r="AF133" s="45"/>
      <c r="AG133" s="46"/>
      <c r="AM133" s="135"/>
      <c r="AN133" s="45"/>
      <c r="AO133" s="45"/>
      <c r="AP133" s="145"/>
      <c r="AQ133" s="146"/>
      <c r="AT133" s="146"/>
      <c r="AU133" s="146"/>
    </row>
    <row r="134" spans="1:47">
      <c r="A134" s="12"/>
      <c r="B134" s="12"/>
      <c r="C134" s="54"/>
      <c r="D134" s="54"/>
      <c r="E134" s="12" t="s">
        <v>4376</v>
      </c>
      <c r="F134" s="12" t="s">
        <v>4377</v>
      </c>
      <c r="I134" s="70">
        <v>0</v>
      </c>
      <c r="J134" s="2"/>
      <c r="K134" s="2"/>
      <c r="L134" s="70">
        <f t="shared" si="16"/>
        <v>0</v>
      </c>
      <c r="M134" s="2"/>
      <c r="N134" s="40"/>
      <c r="O134" s="2"/>
      <c r="P134" s="14"/>
      <c r="R134" s="16"/>
      <c r="S134" s="16"/>
      <c r="T134" s="8"/>
      <c r="U134" s="15"/>
      <c r="V134" s="15"/>
      <c r="W134" s="15"/>
      <c r="X134" s="17"/>
      <c r="Y134" s="47"/>
      <c r="Z134" s="51"/>
      <c r="AA134" s="17"/>
      <c r="AB134" s="17"/>
      <c r="AD134" s="12"/>
      <c r="AE134" s="12"/>
      <c r="AF134" s="45"/>
      <c r="AG134" s="46"/>
      <c r="AM134" s="135"/>
      <c r="AN134" s="45"/>
      <c r="AO134" s="45"/>
      <c r="AP134" s="145"/>
      <c r="AQ134" s="146"/>
      <c r="AT134" s="146"/>
      <c r="AU134" s="146"/>
    </row>
    <row r="135" spans="1:47">
      <c r="A135" s="12"/>
      <c r="B135" s="12"/>
      <c r="C135" s="54"/>
      <c r="D135" s="54"/>
      <c r="E135" s="12" t="s">
        <v>4378</v>
      </c>
      <c r="F135" s="12" t="s">
        <v>4379</v>
      </c>
      <c r="I135" s="70">
        <v>0</v>
      </c>
      <c r="J135" s="2"/>
      <c r="K135" s="2"/>
      <c r="L135" s="70">
        <f t="shared" si="16"/>
        <v>0</v>
      </c>
      <c r="M135" s="2"/>
      <c r="N135" s="40"/>
      <c r="O135" s="2"/>
      <c r="P135" s="14"/>
      <c r="R135" s="16"/>
      <c r="S135" s="16"/>
      <c r="T135" s="8"/>
      <c r="U135" s="15"/>
      <c r="V135" s="15"/>
      <c r="W135" s="15"/>
      <c r="X135" s="17"/>
      <c r="Y135" s="47"/>
      <c r="Z135" s="51"/>
      <c r="AA135" s="17"/>
      <c r="AB135" s="17"/>
      <c r="AD135" s="12"/>
      <c r="AE135" s="12"/>
      <c r="AF135" s="45"/>
      <c r="AG135" s="46"/>
      <c r="AM135" s="135"/>
      <c r="AN135" s="45"/>
      <c r="AO135" s="45"/>
      <c r="AP135" s="145"/>
      <c r="AQ135" s="146"/>
      <c r="AT135" s="146"/>
      <c r="AU135" s="146"/>
    </row>
    <row r="136" spans="1:47">
      <c r="A136" s="12"/>
      <c r="B136" s="12"/>
      <c r="C136" s="54"/>
      <c r="D136" s="54"/>
      <c r="E136" s="12" t="s">
        <v>4380</v>
      </c>
      <c r="F136" s="12" t="s">
        <v>4381</v>
      </c>
      <c r="I136" s="70">
        <v>-115585.26</v>
      </c>
      <c r="J136" s="2"/>
      <c r="K136" s="2">
        <v>5879.1205900000004</v>
      </c>
      <c r="L136" s="198">
        <f t="shared" si="16"/>
        <v>-121464.38059</v>
      </c>
      <c r="M136" s="2"/>
      <c r="N136" s="40"/>
      <c r="O136" s="2"/>
      <c r="P136" s="14"/>
      <c r="R136" s="16"/>
      <c r="S136" s="16"/>
      <c r="T136" s="8"/>
      <c r="U136" s="15"/>
      <c r="V136" s="15"/>
      <c r="W136" s="15"/>
      <c r="X136" s="17"/>
      <c r="Y136" s="47"/>
      <c r="Z136" s="51"/>
      <c r="AA136" s="17"/>
      <c r="AB136" s="17"/>
      <c r="AD136" s="12"/>
      <c r="AE136" s="12"/>
      <c r="AF136" s="45"/>
      <c r="AG136" s="46"/>
      <c r="AM136" s="135"/>
      <c r="AN136" s="45"/>
      <c r="AO136" s="45"/>
      <c r="AP136" s="145"/>
      <c r="AQ136" s="146"/>
      <c r="AT136" s="146"/>
      <c r="AU136" s="146"/>
    </row>
    <row r="137" spans="1:47">
      <c r="A137" s="12"/>
      <c r="B137" s="12"/>
      <c r="C137" s="54"/>
      <c r="D137" s="54"/>
      <c r="E137" s="12" t="s">
        <v>1323</v>
      </c>
      <c r="F137" s="12" t="s">
        <v>4382</v>
      </c>
      <c r="I137" s="70">
        <v>-66152.39</v>
      </c>
      <c r="J137" s="2"/>
      <c r="K137" s="2">
        <v>10288.73583</v>
      </c>
      <c r="L137" s="198">
        <f t="shared" si="16"/>
        <v>-76441.125830000004</v>
      </c>
      <c r="M137" s="2"/>
      <c r="N137" s="40"/>
      <c r="O137" s="2"/>
      <c r="P137" s="14"/>
      <c r="R137" s="16"/>
      <c r="S137" s="16"/>
      <c r="T137" s="8"/>
      <c r="U137" s="15"/>
      <c r="V137" s="15"/>
      <c r="W137" s="15"/>
      <c r="X137" s="17"/>
      <c r="Y137" s="47"/>
      <c r="Z137" s="51"/>
      <c r="AA137" s="17"/>
      <c r="AB137" s="17"/>
      <c r="AD137" s="12"/>
      <c r="AE137" s="12"/>
      <c r="AF137" s="45"/>
      <c r="AG137" s="46"/>
      <c r="AM137" s="135"/>
      <c r="AN137" s="45"/>
      <c r="AO137" s="45"/>
      <c r="AP137" s="145"/>
      <c r="AQ137" s="146"/>
      <c r="AT137" s="146"/>
      <c r="AU137" s="146"/>
    </row>
    <row r="138" spans="1:47">
      <c r="A138" s="12"/>
      <c r="B138" s="12"/>
      <c r="C138" s="54"/>
      <c r="D138" s="54"/>
      <c r="E138" s="12" t="s">
        <v>4383</v>
      </c>
      <c r="F138" s="12" t="s">
        <v>4384</v>
      </c>
      <c r="I138" s="70">
        <v>-123181.49799999999</v>
      </c>
      <c r="J138" s="2">
        <v>78744.755219999992</v>
      </c>
      <c r="K138" s="2"/>
      <c r="L138" s="198">
        <f t="shared" si="16"/>
        <v>-44436.74278</v>
      </c>
      <c r="M138" s="2"/>
      <c r="N138" s="40"/>
      <c r="O138" s="2"/>
      <c r="P138" s="14"/>
      <c r="R138" s="16"/>
      <c r="S138" s="16"/>
      <c r="T138" s="8"/>
      <c r="U138" s="15"/>
      <c r="V138" s="15"/>
      <c r="W138" s="15"/>
      <c r="X138" s="17"/>
      <c r="Y138" s="47"/>
      <c r="Z138" s="51"/>
      <c r="AA138" s="17"/>
      <c r="AB138" s="17"/>
      <c r="AD138" s="12"/>
      <c r="AE138" s="12"/>
      <c r="AF138" s="45"/>
      <c r="AG138" s="46"/>
      <c r="AM138" s="135"/>
      <c r="AN138" s="45"/>
      <c r="AO138" s="45"/>
      <c r="AP138" s="145"/>
      <c r="AQ138" s="146"/>
      <c r="AT138" s="146"/>
      <c r="AU138" s="146"/>
    </row>
    <row r="139" spans="1:47">
      <c r="A139" s="12"/>
      <c r="B139" s="12"/>
      <c r="C139" s="54"/>
      <c r="D139" s="54"/>
      <c r="E139" s="12" t="s">
        <v>1325</v>
      </c>
      <c r="F139" s="12" t="s">
        <v>4385</v>
      </c>
      <c r="I139" s="70">
        <v>11571.16</v>
      </c>
      <c r="J139" s="2"/>
      <c r="K139" s="2">
        <v>7536.9665999999997</v>
      </c>
      <c r="L139" s="198">
        <f t="shared" si="16"/>
        <v>4034.1934000000001</v>
      </c>
      <c r="M139" s="2"/>
      <c r="N139" s="40"/>
      <c r="O139" s="2"/>
      <c r="P139" s="14"/>
      <c r="R139" s="16"/>
      <c r="S139" s="16"/>
      <c r="T139" s="8"/>
      <c r="U139" s="15"/>
      <c r="V139" s="15"/>
      <c r="W139" s="15"/>
      <c r="X139" s="17"/>
      <c r="Y139" s="47"/>
      <c r="Z139" s="51"/>
      <c r="AA139" s="17"/>
      <c r="AB139" s="17"/>
      <c r="AD139" s="12"/>
      <c r="AE139" s="12"/>
      <c r="AF139" s="45"/>
      <c r="AG139" s="46"/>
      <c r="AM139" s="135"/>
      <c r="AN139" s="45"/>
      <c r="AO139" s="45"/>
      <c r="AP139" s="145"/>
      <c r="AQ139" s="146"/>
      <c r="AT139" s="146"/>
      <c r="AU139" s="146"/>
    </row>
    <row r="140" spans="1:47">
      <c r="A140" s="12"/>
      <c r="B140" s="12"/>
      <c r="C140" s="54"/>
      <c r="D140" s="54"/>
      <c r="E140" s="12" t="s">
        <v>1327</v>
      </c>
      <c r="F140" s="12" t="s">
        <v>4386</v>
      </c>
      <c r="I140" s="70">
        <v>-326251.78000000003</v>
      </c>
      <c r="J140" s="2"/>
      <c r="K140" s="2">
        <v>63025.994230000004</v>
      </c>
      <c r="L140" s="198">
        <f t="shared" si="16"/>
        <v>-389277.77423000004</v>
      </c>
      <c r="M140" s="2"/>
      <c r="N140" s="40"/>
      <c r="O140" s="2"/>
      <c r="P140" s="14"/>
      <c r="R140" s="16"/>
      <c r="S140" s="16"/>
      <c r="T140" s="8"/>
      <c r="U140" s="15"/>
      <c r="V140" s="15"/>
      <c r="W140" s="15"/>
      <c r="X140" s="17"/>
      <c r="Y140" s="47"/>
      <c r="Z140" s="51"/>
      <c r="AA140" s="17"/>
      <c r="AB140" s="17"/>
      <c r="AD140" s="12"/>
      <c r="AE140" s="12"/>
      <c r="AF140" s="45"/>
      <c r="AG140" s="46"/>
      <c r="AM140" s="135"/>
      <c r="AN140" s="45"/>
      <c r="AO140" s="45"/>
      <c r="AP140" s="145"/>
      <c r="AQ140" s="146"/>
      <c r="AT140" s="146"/>
      <c r="AU140" s="146"/>
    </row>
    <row r="141" spans="1:47">
      <c r="A141" s="12"/>
      <c r="B141" s="12"/>
      <c r="C141" s="54"/>
      <c r="D141" s="54"/>
      <c r="E141" s="12" t="s">
        <v>1329</v>
      </c>
      <c r="F141" s="12" t="s">
        <v>4387</v>
      </c>
      <c r="I141" s="70">
        <v>2099.7399999999998</v>
      </c>
      <c r="J141" s="2"/>
      <c r="K141" s="2"/>
      <c r="L141" s="198">
        <f t="shared" si="16"/>
        <v>2099.7399999999998</v>
      </c>
      <c r="M141" s="2"/>
      <c r="N141" s="40"/>
      <c r="O141" s="2"/>
      <c r="P141" s="14"/>
      <c r="R141" s="16"/>
      <c r="S141" s="16"/>
      <c r="T141" s="8"/>
      <c r="U141" s="15"/>
      <c r="V141" s="15"/>
      <c r="W141" s="15"/>
      <c r="X141" s="17"/>
      <c r="Y141" s="47"/>
      <c r="Z141" s="51"/>
      <c r="AA141" s="17"/>
      <c r="AB141" s="17"/>
      <c r="AD141" s="12"/>
      <c r="AE141" s="12"/>
      <c r="AF141" s="45"/>
      <c r="AG141" s="46"/>
      <c r="AM141" s="135"/>
      <c r="AN141" s="45"/>
      <c r="AO141" s="45"/>
      <c r="AP141" s="145"/>
      <c r="AQ141" s="146"/>
      <c r="AT141" s="146"/>
      <c r="AU141" s="146"/>
    </row>
    <row r="142" spans="1:47">
      <c r="A142" s="12"/>
      <c r="B142" s="12"/>
      <c r="C142" s="54"/>
      <c r="D142" s="54"/>
      <c r="E142" s="12" t="s">
        <v>4388</v>
      </c>
      <c r="F142" s="12" t="s">
        <v>4389</v>
      </c>
      <c r="I142" s="70">
        <v>-92992.25</v>
      </c>
      <c r="J142" s="2">
        <v>12258.10425</v>
      </c>
      <c r="K142" s="2"/>
      <c r="L142" s="198">
        <f t="shared" si="16"/>
        <v>-80734.145749999996</v>
      </c>
      <c r="M142" s="2"/>
      <c r="N142" s="40"/>
      <c r="O142" s="2"/>
      <c r="P142" s="14"/>
      <c r="R142" s="16"/>
      <c r="S142" s="16"/>
      <c r="T142" s="8"/>
      <c r="U142" s="15"/>
      <c r="V142" s="15"/>
      <c r="W142" s="15"/>
      <c r="X142" s="17"/>
      <c r="Y142" s="47"/>
      <c r="Z142" s="51"/>
      <c r="AA142" s="17"/>
      <c r="AB142" s="17"/>
      <c r="AD142" s="12"/>
      <c r="AE142" s="12"/>
      <c r="AF142" s="45"/>
      <c r="AG142" s="46"/>
      <c r="AM142" s="135"/>
      <c r="AN142" s="45"/>
      <c r="AO142" s="45"/>
      <c r="AP142" s="145"/>
      <c r="AQ142" s="146"/>
      <c r="AT142" s="146"/>
      <c r="AU142" s="146"/>
    </row>
    <row r="143" spans="1:47">
      <c r="A143" s="12"/>
      <c r="B143" s="12"/>
      <c r="C143" s="54"/>
      <c r="D143" s="54"/>
      <c r="E143" s="12" t="s">
        <v>1355</v>
      </c>
      <c r="F143" s="12" t="s">
        <v>1356</v>
      </c>
      <c r="I143" s="70">
        <v>-28.914000000000001</v>
      </c>
      <c r="J143" s="2"/>
      <c r="K143" s="2"/>
      <c r="L143" s="203">
        <f t="shared" si="16"/>
        <v>-28.914000000000001</v>
      </c>
      <c r="M143" s="2"/>
      <c r="N143" s="40"/>
      <c r="O143" s="2"/>
      <c r="P143" s="14"/>
      <c r="R143" s="16"/>
      <c r="S143" s="16"/>
      <c r="T143" s="8"/>
      <c r="U143" s="15"/>
      <c r="V143" s="15"/>
      <c r="W143" s="15"/>
      <c r="X143" s="17"/>
      <c r="Y143" s="47"/>
      <c r="Z143" s="51"/>
      <c r="AA143" s="17"/>
      <c r="AB143" s="17"/>
      <c r="AD143" s="12"/>
      <c r="AE143" s="12"/>
      <c r="AF143" s="45"/>
      <c r="AG143" s="46"/>
      <c r="AM143" s="135">
        <f>L143</f>
        <v>-28.914000000000001</v>
      </c>
      <c r="AN143" s="45"/>
      <c r="AO143" s="45"/>
      <c r="AP143" s="145"/>
      <c r="AQ143" s="146"/>
      <c r="AT143" s="146"/>
      <c r="AU143" s="146"/>
    </row>
    <row r="144" spans="1:47">
      <c r="A144" s="12"/>
      <c r="B144" s="12"/>
      <c r="C144" s="54"/>
      <c r="D144" s="54"/>
      <c r="E144" s="12" t="s">
        <v>1357</v>
      </c>
      <c r="F144" s="12" t="s">
        <v>1358</v>
      </c>
      <c r="I144" s="70">
        <v>-389620.28</v>
      </c>
      <c r="J144" s="2">
        <v>180612.842</v>
      </c>
      <c r="K144" s="2">
        <v>374906.8</v>
      </c>
      <c r="L144" s="203">
        <f t="shared" si="16"/>
        <v>-583914.23800000001</v>
      </c>
      <c r="M144" s="2"/>
      <c r="N144" s="40"/>
      <c r="O144" s="2"/>
      <c r="P144" s="14"/>
      <c r="R144" s="16"/>
      <c r="S144" s="16"/>
      <c r="T144" s="8"/>
      <c r="U144" s="15"/>
      <c r="V144" s="15"/>
      <c r="W144" s="15"/>
      <c r="X144" s="17"/>
      <c r="Y144" s="47"/>
      <c r="Z144" s="51"/>
      <c r="AA144" s="17"/>
      <c r="AB144" s="17"/>
      <c r="AD144" s="12"/>
      <c r="AE144" s="12"/>
      <c r="AF144" s="45"/>
      <c r="AG144" s="46"/>
      <c r="AM144" s="135">
        <f t="shared" ref="AM144:AM177" si="17">L144</f>
        <v>-583914.23800000001</v>
      </c>
      <c r="AN144" s="45"/>
      <c r="AO144" s="45"/>
      <c r="AP144" s="145"/>
      <c r="AQ144" s="146"/>
      <c r="AT144" s="146"/>
      <c r="AU144" s="146"/>
    </row>
    <row r="145" spans="1:47">
      <c r="A145" s="12"/>
      <c r="B145" s="12"/>
      <c r="C145" s="54"/>
      <c r="D145" s="54"/>
      <c r="E145" s="12" t="s">
        <v>4390</v>
      </c>
      <c r="F145" s="12" t="s">
        <v>4391</v>
      </c>
      <c r="I145" s="70">
        <v>-37.25</v>
      </c>
      <c r="J145" s="2"/>
      <c r="K145" s="2"/>
      <c r="L145" s="203">
        <f t="shared" si="16"/>
        <v>-37.25</v>
      </c>
      <c r="M145" s="2"/>
      <c r="N145" s="40"/>
      <c r="O145" s="2"/>
      <c r="P145" s="14"/>
      <c r="R145" s="16"/>
      <c r="S145" s="16"/>
      <c r="T145" s="8"/>
      <c r="U145" s="15"/>
      <c r="V145" s="15"/>
      <c r="W145" s="15"/>
      <c r="X145" s="17"/>
      <c r="Y145" s="47"/>
      <c r="Z145" s="51"/>
      <c r="AA145" s="17"/>
      <c r="AB145" s="17"/>
      <c r="AD145" s="12"/>
      <c r="AE145" s="12"/>
      <c r="AF145" s="45"/>
      <c r="AG145" s="46"/>
      <c r="AM145" s="135">
        <f t="shared" si="17"/>
        <v>-37.25</v>
      </c>
      <c r="AN145" s="45"/>
      <c r="AO145" s="45"/>
      <c r="AP145" s="145"/>
      <c r="AQ145" s="146"/>
      <c r="AT145" s="146"/>
      <c r="AU145" s="146"/>
    </row>
    <row r="146" spans="1:47">
      <c r="A146" s="12"/>
      <c r="B146" s="12"/>
      <c r="C146" s="54"/>
      <c r="D146" s="54"/>
      <c r="E146" s="12" t="s">
        <v>4392</v>
      </c>
      <c r="F146" s="12" t="s">
        <v>4393</v>
      </c>
      <c r="I146" s="70">
        <v>0</v>
      </c>
      <c r="J146" s="2"/>
      <c r="K146" s="2"/>
      <c r="L146" s="203">
        <f t="shared" si="16"/>
        <v>0</v>
      </c>
      <c r="M146" s="2"/>
      <c r="N146" s="40"/>
      <c r="O146" s="2"/>
      <c r="P146" s="14"/>
      <c r="R146" s="16"/>
      <c r="S146" s="16"/>
      <c r="T146" s="8"/>
      <c r="U146" s="15"/>
      <c r="V146" s="15"/>
      <c r="W146" s="15"/>
      <c r="X146" s="17"/>
      <c r="Y146" s="47"/>
      <c r="Z146" s="51"/>
      <c r="AA146" s="17"/>
      <c r="AB146" s="17"/>
      <c r="AD146" s="12"/>
      <c r="AE146" s="12"/>
      <c r="AF146" s="45"/>
      <c r="AG146" s="46"/>
      <c r="AM146" s="135">
        <f t="shared" si="17"/>
        <v>0</v>
      </c>
      <c r="AN146" s="45"/>
      <c r="AO146" s="45"/>
      <c r="AP146" s="145"/>
      <c r="AQ146" s="146"/>
      <c r="AT146" s="146"/>
      <c r="AU146" s="146"/>
    </row>
    <row r="147" spans="1:47">
      <c r="A147" s="12"/>
      <c r="B147" s="12"/>
      <c r="C147" s="54"/>
      <c r="D147" s="54"/>
      <c r="E147" s="12" t="s">
        <v>4394</v>
      </c>
      <c r="F147" s="12" t="s">
        <v>4395</v>
      </c>
      <c r="I147" s="70">
        <v>0</v>
      </c>
      <c r="J147" s="2"/>
      <c r="K147" s="2"/>
      <c r="L147" s="203">
        <f t="shared" si="16"/>
        <v>0</v>
      </c>
      <c r="M147" s="2"/>
      <c r="N147" s="40"/>
      <c r="O147" s="2"/>
      <c r="P147" s="14"/>
      <c r="R147" s="16"/>
      <c r="S147" s="16"/>
      <c r="T147" s="8"/>
      <c r="U147" s="15"/>
      <c r="V147" s="15"/>
      <c r="W147" s="15"/>
      <c r="X147" s="17"/>
      <c r="Y147" s="47"/>
      <c r="Z147" s="51"/>
      <c r="AA147" s="17"/>
      <c r="AB147" s="17"/>
      <c r="AD147" s="12"/>
      <c r="AE147" s="12"/>
      <c r="AF147" s="45"/>
      <c r="AG147" s="46"/>
      <c r="AM147" s="135">
        <f t="shared" si="17"/>
        <v>0</v>
      </c>
      <c r="AN147" s="45"/>
      <c r="AO147" s="45"/>
      <c r="AP147" s="145"/>
      <c r="AQ147" s="146"/>
      <c r="AT147" s="146"/>
      <c r="AU147" s="146"/>
    </row>
    <row r="148" spans="1:47">
      <c r="A148" s="12"/>
      <c r="B148" s="12"/>
      <c r="C148" s="54"/>
      <c r="D148" s="54"/>
      <c r="E148" s="12" t="s">
        <v>1359</v>
      </c>
      <c r="F148" s="12" t="s">
        <v>1360</v>
      </c>
      <c r="I148" s="70">
        <v>-51114.815000000002</v>
      </c>
      <c r="J148" s="2"/>
      <c r="K148" s="2"/>
      <c r="L148" s="198">
        <f t="shared" si="16"/>
        <v>-51114.815000000002</v>
      </c>
      <c r="M148" s="2"/>
      <c r="N148" s="40"/>
      <c r="O148" s="2"/>
      <c r="P148" s="14"/>
      <c r="R148" s="16"/>
      <c r="S148" s="16"/>
      <c r="T148" s="8"/>
      <c r="U148" s="15"/>
      <c r="V148" s="15"/>
      <c r="W148" s="15"/>
      <c r="X148" s="17"/>
      <c r="Y148" s="47"/>
      <c r="Z148" s="51"/>
      <c r="AA148" s="17"/>
      <c r="AB148" s="17"/>
      <c r="AD148" s="12"/>
      <c r="AE148" s="12"/>
      <c r="AF148" s="45"/>
      <c r="AG148" s="46"/>
      <c r="AM148" s="135">
        <f t="shared" si="17"/>
        <v>-51114.815000000002</v>
      </c>
      <c r="AN148" s="45"/>
      <c r="AO148" s="45"/>
      <c r="AP148" s="145"/>
      <c r="AQ148" s="146"/>
      <c r="AT148" s="146"/>
      <c r="AU148" s="146"/>
    </row>
    <row r="149" spans="1:47">
      <c r="A149" s="12"/>
      <c r="B149" s="12"/>
      <c r="C149" s="54"/>
      <c r="D149" s="54"/>
      <c r="E149" s="12" t="s">
        <v>1361</v>
      </c>
      <c r="F149" s="12" t="s">
        <v>1362</v>
      </c>
      <c r="I149" s="70">
        <v>-34868.339999999997</v>
      </c>
      <c r="J149" s="2"/>
      <c r="K149" s="2"/>
      <c r="L149" s="203">
        <f t="shared" si="16"/>
        <v>-34868.339999999997</v>
      </c>
      <c r="M149" s="2"/>
      <c r="N149" s="40"/>
      <c r="O149" s="2"/>
      <c r="P149" s="14"/>
      <c r="R149" s="16"/>
      <c r="S149" s="16"/>
      <c r="T149" s="8"/>
      <c r="U149" s="15"/>
      <c r="V149" s="15"/>
      <c r="W149" s="15"/>
      <c r="X149" s="17"/>
      <c r="Y149" s="47"/>
      <c r="Z149" s="51"/>
      <c r="AA149" s="17"/>
      <c r="AB149" s="17"/>
      <c r="AD149" s="12"/>
      <c r="AE149" s="12"/>
      <c r="AF149" s="45"/>
      <c r="AG149" s="46"/>
      <c r="AM149" s="135">
        <f t="shared" si="17"/>
        <v>-34868.339999999997</v>
      </c>
      <c r="AN149" s="45"/>
      <c r="AO149" s="45"/>
      <c r="AP149" s="145"/>
      <c r="AQ149" s="146"/>
      <c r="AT149" s="146"/>
      <c r="AU149" s="146"/>
    </row>
    <row r="150" spans="1:47">
      <c r="A150" s="12"/>
      <c r="B150" s="12"/>
      <c r="C150" s="54"/>
      <c r="D150" s="54"/>
      <c r="E150" s="12" t="s">
        <v>1363</v>
      </c>
      <c r="F150" s="12" t="s">
        <v>1364</v>
      </c>
      <c r="I150" s="70">
        <v>1876654.0164999999</v>
      </c>
      <c r="J150" s="2">
        <v>319.99599999999998</v>
      </c>
      <c r="K150" s="2"/>
      <c r="L150" s="70">
        <f t="shared" si="16"/>
        <v>1876974.0125</v>
      </c>
      <c r="M150" s="2"/>
      <c r="N150" s="40"/>
      <c r="O150" s="2"/>
      <c r="P150" s="14"/>
      <c r="R150" s="16"/>
      <c r="S150" s="16"/>
      <c r="T150" s="8"/>
      <c r="U150" s="15"/>
      <c r="V150" s="15"/>
      <c r="W150" s="15"/>
      <c r="X150" s="17"/>
      <c r="Y150" s="47"/>
      <c r="Z150" s="51"/>
      <c r="AA150" s="17"/>
      <c r="AB150" s="17"/>
      <c r="AD150" s="12"/>
      <c r="AE150" s="12"/>
      <c r="AF150" s="45"/>
      <c r="AG150" s="46"/>
      <c r="AM150" s="135">
        <f t="shared" si="17"/>
        <v>1876974.0125</v>
      </c>
      <c r="AN150" s="45"/>
      <c r="AO150" s="45"/>
      <c r="AP150" s="145"/>
      <c r="AQ150" s="146"/>
      <c r="AT150" s="146"/>
      <c r="AU150" s="146"/>
    </row>
    <row r="151" spans="1:47">
      <c r="A151" s="12"/>
      <c r="B151" s="12"/>
      <c r="C151" s="54"/>
      <c r="D151" s="54"/>
      <c r="E151" s="12" t="s">
        <v>1365</v>
      </c>
      <c r="F151" s="12" t="s">
        <v>1366</v>
      </c>
      <c r="I151" s="70">
        <v>-182383.921</v>
      </c>
      <c r="J151" s="2"/>
      <c r="K151" s="2">
        <v>4266.8289999999997</v>
      </c>
      <c r="L151" s="70">
        <f t="shared" si="16"/>
        <v>-186650.75</v>
      </c>
      <c r="M151" s="2"/>
      <c r="N151" s="40"/>
      <c r="O151" s="2"/>
      <c r="P151" s="14"/>
      <c r="R151" s="16"/>
      <c r="S151" s="16"/>
      <c r="T151" s="8"/>
      <c r="U151" s="15"/>
      <c r="V151" s="15"/>
      <c r="W151" s="15"/>
      <c r="X151" s="17"/>
      <c r="Y151" s="47"/>
      <c r="Z151" s="51"/>
      <c r="AA151" s="17"/>
      <c r="AB151" s="17"/>
      <c r="AD151" s="12"/>
      <c r="AE151" s="12"/>
      <c r="AF151" s="45"/>
      <c r="AG151" s="46"/>
      <c r="AM151" s="135">
        <f t="shared" si="17"/>
        <v>-186650.75</v>
      </c>
      <c r="AN151" s="45"/>
      <c r="AO151" s="45"/>
      <c r="AP151" s="145"/>
      <c r="AQ151" s="146"/>
      <c r="AT151" s="146"/>
      <c r="AU151" s="146"/>
    </row>
    <row r="152" spans="1:47">
      <c r="A152" s="12"/>
      <c r="B152" s="12"/>
      <c r="C152" s="54"/>
      <c r="D152" s="54"/>
      <c r="E152" s="12" t="s">
        <v>1370</v>
      </c>
      <c r="F152" s="12" t="s">
        <v>1371</v>
      </c>
      <c r="I152" s="70">
        <v>166141.34</v>
      </c>
      <c r="J152" s="2"/>
      <c r="K152" s="2">
        <v>1996.903</v>
      </c>
      <c r="L152" s="70">
        <f t="shared" si="16"/>
        <v>164144.43700000001</v>
      </c>
      <c r="M152" s="2"/>
      <c r="N152" s="40"/>
      <c r="O152" s="2"/>
      <c r="P152" s="14"/>
      <c r="R152" s="16"/>
      <c r="S152" s="16"/>
      <c r="T152" s="8"/>
      <c r="U152" s="15"/>
      <c r="V152" s="15"/>
      <c r="W152" s="15"/>
      <c r="X152" s="17"/>
      <c r="Y152" s="47"/>
      <c r="Z152" s="51"/>
      <c r="AA152" s="17"/>
      <c r="AB152" s="17"/>
      <c r="AD152" s="12"/>
      <c r="AE152" s="12"/>
      <c r="AF152" s="45"/>
      <c r="AG152" s="46"/>
      <c r="AM152" s="135">
        <f t="shared" si="17"/>
        <v>164144.43700000001</v>
      </c>
      <c r="AN152" s="45"/>
      <c r="AO152" s="45"/>
      <c r="AP152" s="145"/>
      <c r="AQ152" s="146"/>
      <c r="AT152" s="146"/>
      <c r="AU152" s="146"/>
    </row>
    <row r="153" spans="1:47">
      <c r="A153" s="12"/>
      <c r="B153" s="12"/>
      <c r="C153" s="54"/>
      <c r="D153" s="54"/>
      <c r="E153" s="12" t="s">
        <v>1372</v>
      </c>
      <c r="F153" s="12" t="s">
        <v>1373</v>
      </c>
      <c r="I153" s="70">
        <v>-1807421.4850000001</v>
      </c>
      <c r="J153" s="2"/>
      <c r="K153" s="2">
        <v>180612.842</v>
      </c>
      <c r="L153" s="70">
        <f t="shared" si="16"/>
        <v>-1988034.327</v>
      </c>
      <c r="M153" s="2"/>
      <c r="N153" s="40"/>
      <c r="O153" s="2"/>
      <c r="P153" s="14"/>
      <c r="R153" s="16"/>
      <c r="S153" s="16"/>
      <c r="T153" s="8"/>
      <c r="U153" s="15"/>
      <c r="V153" s="15"/>
      <c r="W153" s="15"/>
      <c r="X153" s="17"/>
      <c r="Y153" s="47"/>
      <c r="Z153" s="51"/>
      <c r="AA153" s="17"/>
      <c r="AB153" s="17"/>
      <c r="AD153" s="12"/>
      <c r="AE153" s="12"/>
      <c r="AF153" s="45"/>
      <c r="AG153" s="46"/>
      <c r="AM153" s="135"/>
      <c r="AN153" s="45"/>
      <c r="AO153" s="45"/>
      <c r="AP153" s="145"/>
      <c r="AQ153" s="146"/>
      <c r="AT153" s="146"/>
      <c r="AU153" s="146"/>
    </row>
    <row r="154" spans="1:47">
      <c r="A154" s="12"/>
      <c r="B154" s="12"/>
      <c r="C154" s="54"/>
      <c r="D154" s="54"/>
      <c r="E154" s="12" t="s">
        <v>1374</v>
      </c>
      <c r="F154" s="12" t="s">
        <v>1375</v>
      </c>
      <c r="I154" s="70">
        <v>-18023.297999999999</v>
      </c>
      <c r="J154" s="2"/>
      <c r="K154" s="2"/>
      <c r="L154" s="70">
        <f t="shared" si="16"/>
        <v>-18023.297999999999</v>
      </c>
      <c r="M154" s="2"/>
      <c r="N154" s="40"/>
      <c r="O154" s="2"/>
      <c r="P154" s="14"/>
      <c r="R154" s="16"/>
      <c r="S154" s="16"/>
      <c r="T154" s="8"/>
      <c r="U154" s="15"/>
      <c r="V154" s="15"/>
      <c r="W154" s="15"/>
      <c r="X154" s="17"/>
      <c r="Y154" s="47"/>
      <c r="Z154" s="51"/>
      <c r="AA154" s="17"/>
      <c r="AB154" s="17"/>
      <c r="AD154" s="12"/>
      <c r="AE154" s="12"/>
      <c r="AF154" s="45"/>
      <c r="AG154" s="46"/>
      <c r="AM154" s="135">
        <f t="shared" si="17"/>
        <v>-18023.297999999999</v>
      </c>
      <c r="AN154" s="45"/>
      <c r="AO154" s="45"/>
      <c r="AP154" s="145"/>
      <c r="AQ154" s="146"/>
      <c r="AT154" s="146"/>
      <c r="AU154" s="146"/>
    </row>
    <row r="155" spans="1:47">
      <c r="A155" s="12"/>
      <c r="B155" s="12"/>
      <c r="C155" s="54"/>
      <c r="D155" s="54"/>
      <c r="E155" s="12" t="s">
        <v>1379</v>
      </c>
      <c r="F155" s="12" t="s">
        <v>1380</v>
      </c>
      <c r="I155" s="70">
        <v>-112413.054</v>
      </c>
      <c r="J155" s="2"/>
      <c r="K155" s="2"/>
      <c r="L155" s="70">
        <f t="shared" si="16"/>
        <v>-112413.054</v>
      </c>
      <c r="M155" s="2"/>
      <c r="N155" s="40"/>
      <c r="O155" s="2"/>
      <c r="P155" s="14"/>
      <c r="R155" s="16"/>
      <c r="S155" s="16"/>
      <c r="T155" s="8"/>
      <c r="U155" s="15"/>
      <c r="V155" s="15"/>
      <c r="W155" s="15"/>
      <c r="X155" s="17"/>
      <c r="Y155" s="47"/>
      <c r="Z155" s="51"/>
      <c r="AA155" s="17"/>
      <c r="AB155" s="17"/>
      <c r="AD155" s="12"/>
      <c r="AE155" s="12"/>
      <c r="AF155" s="45"/>
      <c r="AG155" s="46"/>
      <c r="AM155" s="135">
        <f t="shared" si="17"/>
        <v>-112413.054</v>
      </c>
      <c r="AN155" s="45"/>
      <c r="AO155" s="45"/>
      <c r="AP155" s="145"/>
      <c r="AQ155" s="146"/>
      <c r="AT155" s="146"/>
      <c r="AU155" s="146"/>
    </row>
    <row r="156" spans="1:47">
      <c r="A156" s="12"/>
      <c r="B156" s="12"/>
      <c r="C156" s="54"/>
      <c r="D156" s="54"/>
      <c r="E156" s="12" t="s">
        <v>1381</v>
      </c>
      <c r="F156" s="12" t="s">
        <v>1382</v>
      </c>
      <c r="I156" s="70">
        <v>-271283.554</v>
      </c>
      <c r="J156" s="2">
        <v>107361.224</v>
      </c>
      <c r="K156" s="2"/>
      <c r="L156" s="70">
        <f t="shared" si="16"/>
        <v>-163922.33000000002</v>
      </c>
      <c r="M156" s="2"/>
      <c r="N156" s="40"/>
      <c r="O156" s="2"/>
      <c r="P156" s="14"/>
      <c r="R156" s="16"/>
      <c r="S156" s="16"/>
      <c r="T156" s="8"/>
      <c r="U156" s="15"/>
      <c r="V156" s="15"/>
      <c r="W156" s="15"/>
      <c r="X156" s="17"/>
      <c r="Y156" s="47"/>
      <c r="Z156" s="51"/>
      <c r="AA156" s="17"/>
      <c r="AB156" s="17"/>
      <c r="AD156" s="12"/>
      <c r="AE156" s="12"/>
      <c r="AF156" s="45"/>
      <c r="AG156" s="46"/>
      <c r="AM156" s="135">
        <f t="shared" si="17"/>
        <v>-163922.33000000002</v>
      </c>
      <c r="AN156" s="45"/>
      <c r="AO156" s="45"/>
      <c r="AP156" s="145"/>
      <c r="AQ156" s="146"/>
      <c r="AT156" s="146"/>
      <c r="AU156" s="146"/>
    </row>
    <row r="157" spans="1:47">
      <c r="A157" s="12"/>
      <c r="B157" s="12"/>
      <c r="C157" s="54"/>
      <c r="D157" s="54"/>
      <c r="E157" s="12" t="s">
        <v>1383</v>
      </c>
      <c r="F157" s="12" t="s">
        <v>1384</v>
      </c>
      <c r="I157" s="70">
        <v>57440.538</v>
      </c>
      <c r="J157" s="2"/>
      <c r="K157" s="2"/>
      <c r="L157" s="70">
        <f t="shared" si="16"/>
        <v>57440.538</v>
      </c>
      <c r="M157" s="2"/>
      <c r="N157" s="40"/>
      <c r="O157" s="2"/>
      <c r="P157" s="14"/>
      <c r="R157" s="16"/>
      <c r="S157" s="16"/>
      <c r="T157" s="8"/>
      <c r="U157" s="15"/>
      <c r="V157" s="15"/>
      <c r="W157" s="15"/>
      <c r="X157" s="17"/>
      <c r="Y157" s="47"/>
      <c r="Z157" s="51"/>
      <c r="AA157" s="17"/>
      <c r="AB157" s="17"/>
      <c r="AD157" s="12"/>
      <c r="AE157" s="12"/>
      <c r="AF157" s="45"/>
      <c r="AG157" s="46"/>
      <c r="AM157" s="135">
        <f t="shared" si="17"/>
        <v>57440.538</v>
      </c>
      <c r="AN157" s="45"/>
      <c r="AO157" s="45"/>
      <c r="AP157" s="145"/>
      <c r="AQ157" s="146"/>
      <c r="AT157" s="146"/>
      <c r="AU157" s="146"/>
    </row>
    <row r="158" spans="1:47">
      <c r="A158" s="12"/>
      <c r="B158" s="12"/>
      <c r="C158" s="54"/>
      <c r="D158" s="54"/>
      <c r="E158" s="12" t="s">
        <v>1385</v>
      </c>
      <c r="F158" s="12" t="s">
        <v>1386</v>
      </c>
      <c r="I158" s="70">
        <v>-443377.38</v>
      </c>
      <c r="J158" s="2"/>
      <c r="K158" s="2">
        <v>178161.554</v>
      </c>
      <c r="L158" s="70">
        <f t="shared" si="16"/>
        <v>-621538.93400000001</v>
      </c>
      <c r="M158" s="2"/>
      <c r="N158" s="40"/>
      <c r="O158" s="2"/>
      <c r="P158" s="14"/>
      <c r="R158" s="16"/>
      <c r="S158" s="16"/>
      <c r="T158" s="8"/>
      <c r="U158" s="15"/>
      <c r="V158" s="15"/>
      <c r="W158" s="15"/>
      <c r="X158" s="17"/>
      <c r="Y158" s="47"/>
      <c r="Z158" s="51"/>
      <c r="AA158" s="17"/>
      <c r="AB158" s="17"/>
      <c r="AD158" s="12"/>
      <c r="AE158" s="12"/>
      <c r="AF158" s="45"/>
      <c r="AG158" s="46"/>
      <c r="AM158" s="135"/>
      <c r="AN158" s="45"/>
      <c r="AO158" s="45"/>
      <c r="AP158" s="145"/>
      <c r="AQ158" s="146"/>
      <c r="AT158" s="146"/>
      <c r="AU158" s="146"/>
    </row>
    <row r="159" spans="1:47">
      <c r="A159" s="12"/>
      <c r="B159" s="12"/>
      <c r="C159" s="54"/>
      <c r="D159" s="54"/>
      <c r="E159" s="12" t="s">
        <v>1387</v>
      </c>
      <c r="F159" s="12" t="s">
        <v>1388</v>
      </c>
      <c r="I159" s="70">
        <v>-41204.307000000001</v>
      </c>
      <c r="J159" s="2"/>
      <c r="K159" s="2">
        <f>28749.495+51337</f>
        <v>80086.494999999995</v>
      </c>
      <c r="L159" s="70">
        <f t="shared" si="16"/>
        <v>-121290.802</v>
      </c>
      <c r="M159" s="2"/>
      <c r="N159" s="40"/>
      <c r="O159" s="2"/>
      <c r="P159" s="14"/>
      <c r="R159" s="16"/>
      <c r="S159" s="16"/>
      <c r="T159" s="8"/>
      <c r="U159" s="15"/>
      <c r="V159" s="15"/>
      <c r="W159" s="15"/>
      <c r="X159" s="17"/>
      <c r="Y159" s="47"/>
      <c r="Z159" s="51"/>
      <c r="AA159" s="17"/>
      <c r="AB159" s="17"/>
      <c r="AD159" s="12"/>
      <c r="AE159" s="12"/>
      <c r="AF159" s="45"/>
      <c r="AG159" s="46"/>
      <c r="AM159" s="135">
        <f t="shared" si="17"/>
        <v>-121290.802</v>
      </c>
      <c r="AN159" s="45"/>
      <c r="AO159" s="45"/>
      <c r="AP159" s="145"/>
      <c r="AQ159" s="146"/>
      <c r="AT159" s="146"/>
      <c r="AU159" s="146"/>
    </row>
    <row r="160" spans="1:47">
      <c r="A160" s="12"/>
      <c r="B160" s="12"/>
      <c r="C160" s="54"/>
      <c r="D160" s="54"/>
      <c r="E160" s="12" t="s">
        <v>1389</v>
      </c>
      <c r="F160" s="12" t="s">
        <v>1390</v>
      </c>
      <c r="I160" s="70">
        <v>-32013.041000000001</v>
      </c>
      <c r="J160" s="2"/>
      <c r="K160" s="2"/>
      <c r="L160" s="70">
        <f t="shared" si="16"/>
        <v>-32013.041000000001</v>
      </c>
      <c r="M160" s="2"/>
      <c r="N160" s="40"/>
      <c r="O160" s="2"/>
      <c r="P160" s="14"/>
      <c r="R160" s="16"/>
      <c r="S160" s="16"/>
      <c r="T160" s="8"/>
      <c r="U160" s="15"/>
      <c r="V160" s="15"/>
      <c r="W160" s="15"/>
      <c r="X160" s="17"/>
      <c r="Y160" s="47"/>
      <c r="Z160" s="51"/>
      <c r="AA160" s="17"/>
      <c r="AB160" s="17"/>
      <c r="AD160" s="12"/>
      <c r="AE160" s="12"/>
      <c r="AF160" s="45"/>
      <c r="AG160" s="46"/>
      <c r="AM160" s="135">
        <f t="shared" si="17"/>
        <v>-32013.041000000001</v>
      </c>
      <c r="AN160" s="45"/>
      <c r="AO160" s="45"/>
      <c r="AP160" s="145"/>
      <c r="AQ160" s="146"/>
      <c r="AT160" s="146"/>
      <c r="AU160" s="146"/>
    </row>
    <row r="161" spans="1:47">
      <c r="A161" s="12"/>
      <c r="B161" s="12"/>
      <c r="C161" s="54"/>
      <c r="D161" s="54"/>
      <c r="E161" s="12" t="s">
        <v>1391</v>
      </c>
      <c r="F161" s="12" t="s">
        <v>1392</v>
      </c>
      <c r="I161" s="70">
        <v>361230.76</v>
      </c>
      <c r="J161" s="2"/>
      <c r="K161" s="2">
        <v>364814.82699999999</v>
      </c>
      <c r="L161" s="70">
        <f t="shared" si="16"/>
        <v>-3584.0669999999809</v>
      </c>
      <c r="M161" s="2"/>
      <c r="N161" s="40"/>
      <c r="O161" s="2"/>
      <c r="P161" s="14"/>
      <c r="R161" s="16"/>
      <c r="S161" s="16"/>
      <c r="T161" s="8"/>
      <c r="U161" s="15"/>
      <c r="V161" s="15"/>
      <c r="W161" s="15"/>
      <c r="X161" s="17"/>
      <c r="Y161" s="47"/>
      <c r="Z161" s="51"/>
      <c r="AA161" s="17"/>
      <c r="AB161" s="17"/>
      <c r="AD161" s="12"/>
      <c r="AE161" s="12"/>
      <c r="AF161" s="45"/>
      <c r="AG161" s="46"/>
      <c r="AM161" s="135"/>
      <c r="AN161" s="45"/>
      <c r="AO161" s="45"/>
      <c r="AP161" s="145"/>
      <c r="AQ161" s="146"/>
      <c r="AT161" s="146"/>
      <c r="AU161" s="146"/>
    </row>
    <row r="162" spans="1:47">
      <c r="A162" s="12"/>
      <c r="B162" s="12"/>
      <c r="C162" s="54"/>
      <c r="D162" s="54"/>
      <c r="E162" s="12" t="s">
        <v>1393</v>
      </c>
      <c r="F162" s="12" t="s">
        <v>1394</v>
      </c>
      <c r="I162" s="70">
        <v>-468590.27500000002</v>
      </c>
      <c r="J162" s="2">
        <v>468590.27500000002</v>
      </c>
      <c r="K162" s="2"/>
      <c r="L162" s="70">
        <f t="shared" si="16"/>
        <v>0</v>
      </c>
      <c r="M162" s="2"/>
      <c r="N162" s="40"/>
      <c r="O162" s="2"/>
      <c r="P162" s="14"/>
      <c r="R162" s="16"/>
      <c r="S162" s="16"/>
      <c r="T162" s="8"/>
      <c r="U162" s="15"/>
      <c r="V162" s="15"/>
      <c r="W162" s="15"/>
      <c r="X162" s="17"/>
      <c r="Y162" s="47"/>
      <c r="Z162" s="51"/>
      <c r="AA162" s="17"/>
      <c r="AB162" s="17"/>
      <c r="AD162" s="12"/>
      <c r="AE162" s="12"/>
      <c r="AF162" s="45"/>
      <c r="AG162" s="46"/>
      <c r="AM162" s="135">
        <f t="shared" si="17"/>
        <v>0</v>
      </c>
      <c r="AN162" s="45"/>
      <c r="AO162" s="45"/>
      <c r="AP162" s="145"/>
      <c r="AQ162" s="146"/>
      <c r="AT162" s="146"/>
      <c r="AU162" s="146"/>
    </row>
    <row r="163" spans="1:47">
      <c r="A163" s="12"/>
      <c r="B163" s="12"/>
      <c r="C163" s="54"/>
      <c r="D163" s="54"/>
      <c r="E163" s="12" t="s">
        <v>4396</v>
      </c>
      <c r="F163" s="12" t="s">
        <v>1396</v>
      </c>
      <c r="I163" s="70">
        <v>-584068.31400000001</v>
      </c>
      <c r="J163" s="2">
        <f>77427.084+51337</f>
        <v>128764.084</v>
      </c>
      <c r="K163" s="2">
        <v>455314.79400000005</v>
      </c>
      <c r="L163" s="70">
        <f t="shared" si="16"/>
        <v>-910619.02399999998</v>
      </c>
      <c r="M163" s="2"/>
      <c r="N163" s="40"/>
      <c r="O163" s="2"/>
      <c r="P163" s="14"/>
      <c r="R163" s="16"/>
      <c r="S163" s="16"/>
      <c r="T163" s="8"/>
      <c r="U163" s="15"/>
      <c r="V163" s="15"/>
      <c r="W163" s="15"/>
      <c r="X163" s="17"/>
      <c r="Y163" s="47"/>
      <c r="Z163" s="51"/>
      <c r="AA163" s="17"/>
      <c r="AB163" s="17"/>
      <c r="AD163" s="12"/>
      <c r="AE163" s="12"/>
      <c r="AF163" s="45"/>
      <c r="AG163" s="46"/>
      <c r="AM163" s="135"/>
      <c r="AN163" s="45"/>
      <c r="AO163" s="45"/>
      <c r="AP163" s="145"/>
      <c r="AQ163" s="146"/>
      <c r="AT163" s="146"/>
      <c r="AU163" s="146"/>
    </row>
    <row r="164" spans="1:47">
      <c r="A164" s="12"/>
      <c r="B164" s="12"/>
      <c r="C164" s="54"/>
      <c r="D164" s="54"/>
      <c r="E164" s="12" t="s">
        <v>1397</v>
      </c>
      <c r="F164" s="12" t="s">
        <v>1398</v>
      </c>
      <c r="I164" s="70">
        <v>-208124.07</v>
      </c>
      <c r="J164" s="2">
        <v>443612.24400000001</v>
      </c>
      <c r="K164" s="2"/>
      <c r="L164" s="70">
        <f t="shared" si="16"/>
        <v>235488.174</v>
      </c>
      <c r="M164" s="2"/>
      <c r="N164" s="40"/>
      <c r="O164" s="2"/>
      <c r="P164" s="14"/>
      <c r="R164" s="16"/>
      <c r="S164" s="16"/>
      <c r="T164" s="8"/>
      <c r="U164" s="15"/>
      <c r="V164" s="15"/>
      <c r="W164" s="15"/>
      <c r="X164" s="17"/>
      <c r="Y164" s="47"/>
      <c r="Z164" s="51"/>
      <c r="AA164" s="17"/>
      <c r="AB164" s="17"/>
      <c r="AD164" s="12"/>
      <c r="AE164" s="12"/>
      <c r="AF164" s="45"/>
      <c r="AG164" s="46"/>
      <c r="AM164" s="135"/>
      <c r="AN164" s="45"/>
      <c r="AO164" s="45"/>
      <c r="AP164" s="145"/>
      <c r="AQ164" s="146"/>
      <c r="AT164" s="146"/>
      <c r="AU164" s="146"/>
    </row>
    <row r="165" spans="1:47">
      <c r="A165" s="12"/>
      <c r="B165" s="12"/>
      <c r="C165" s="54"/>
      <c r="D165" s="54"/>
      <c r="E165" s="12" t="s">
        <v>4397</v>
      </c>
      <c r="F165" s="12" t="s">
        <v>4398</v>
      </c>
      <c r="I165" s="70">
        <v>0</v>
      </c>
      <c r="J165" s="2"/>
      <c r="K165" s="2"/>
      <c r="L165" s="70">
        <f t="shared" si="16"/>
        <v>0</v>
      </c>
      <c r="M165" s="2"/>
      <c r="N165" s="40"/>
      <c r="O165" s="2"/>
      <c r="P165" s="14"/>
      <c r="R165" s="16"/>
      <c r="S165" s="16"/>
      <c r="T165" s="8"/>
      <c r="U165" s="15"/>
      <c r="V165" s="15"/>
      <c r="W165" s="15"/>
      <c r="X165" s="17"/>
      <c r="Y165" s="47"/>
      <c r="Z165" s="51"/>
      <c r="AA165" s="17"/>
      <c r="AB165" s="17"/>
      <c r="AD165" s="12"/>
      <c r="AE165" s="12"/>
      <c r="AF165" s="45"/>
      <c r="AG165" s="46"/>
      <c r="AM165" s="135">
        <f t="shared" si="17"/>
        <v>0</v>
      </c>
      <c r="AN165" s="45"/>
      <c r="AO165" s="45"/>
      <c r="AP165" s="145"/>
      <c r="AQ165" s="146"/>
      <c r="AT165" s="146"/>
      <c r="AU165" s="146"/>
    </row>
    <row r="166" spans="1:47">
      <c r="A166" s="12"/>
      <c r="B166" s="12"/>
      <c r="C166" s="54"/>
      <c r="D166" s="54"/>
      <c r="E166" s="12" t="s">
        <v>1399</v>
      </c>
      <c r="F166" s="12" t="s">
        <v>4399</v>
      </c>
      <c r="I166" s="70">
        <v>-1555979.409</v>
      </c>
      <c r="J166" s="2"/>
      <c r="K166" s="2">
        <v>14356.189</v>
      </c>
      <c r="L166" s="70">
        <f t="shared" si="16"/>
        <v>-1570335.598</v>
      </c>
      <c r="M166" s="2"/>
      <c r="N166" s="40"/>
      <c r="O166" s="2"/>
      <c r="P166" s="14"/>
      <c r="R166" s="16"/>
      <c r="S166" s="16"/>
      <c r="T166" s="8"/>
      <c r="U166" s="15"/>
      <c r="V166" s="15"/>
      <c r="W166" s="15"/>
      <c r="X166" s="17"/>
      <c r="Y166" s="47"/>
      <c r="Z166" s="51"/>
      <c r="AA166" s="17"/>
      <c r="AB166" s="17"/>
      <c r="AD166" s="12"/>
      <c r="AE166" s="12"/>
      <c r="AF166" s="45"/>
      <c r="AG166" s="46"/>
      <c r="AM166" s="135">
        <f t="shared" si="17"/>
        <v>-1570335.598</v>
      </c>
      <c r="AN166" s="45"/>
      <c r="AO166" s="45"/>
      <c r="AP166" s="145"/>
      <c r="AQ166" s="146"/>
      <c r="AT166" s="146"/>
      <c r="AU166" s="146"/>
    </row>
    <row r="167" spans="1:47">
      <c r="A167" s="12"/>
      <c r="B167" s="12"/>
      <c r="C167" s="54"/>
      <c r="D167" s="54"/>
      <c r="E167" s="12" t="s">
        <v>4400</v>
      </c>
      <c r="F167" s="12" t="s">
        <v>4401</v>
      </c>
      <c r="I167" s="70">
        <v>0</v>
      </c>
      <c r="J167" s="2"/>
      <c r="K167" s="2"/>
      <c r="L167" s="70">
        <f t="shared" si="16"/>
        <v>0</v>
      </c>
      <c r="M167" s="2"/>
      <c r="N167" s="40"/>
      <c r="O167" s="2"/>
      <c r="P167" s="14"/>
      <c r="R167" s="16"/>
      <c r="S167" s="16"/>
      <c r="T167" s="8"/>
      <c r="U167" s="15"/>
      <c r="V167" s="15"/>
      <c r="W167" s="15"/>
      <c r="X167" s="17"/>
      <c r="Y167" s="47"/>
      <c r="Z167" s="51"/>
      <c r="AA167" s="17"/>
      <c r="AB167" s="17"/>
      <c r="AD167" s="12"/>
      <c r="AE167" s="12"/>
      <c r="AF167" s="45"/>
      <c r="AG167" s="46"/>
      <c r="AM167" s="135">
        <f t="shared" si="17"/>
        <v>0</v>
      </c>
      <c r="AN167" s="45"/>
      <c r="AO167" s="45"/>
      <c r="AP167" s="145"/>
      <c r="AQ167" s="146"/>
      <c r="AT167" s="146"/>
      <c r="AU167" s="146"/>
    </row>
    <row r="168" spans="1:47">
      <c r="A168" s="12"/>
      <c r="B168" s="12"/>
      <c r="C168" s="54"/>
      <c r="D168" s="54"/>
      <c r="E168" s="12" t="s">
        <v>4402</v>
      </c>
      <c r="F168" s="12" t="s">
        <v>4403</v>
      </c>
      <c r="I168" s="70">
        <v>-2578500</v>
      </c>
      <c r="J168" s="2"/>
      <c r="K168" s="2">
        <v>11500</v>
      </c>
      <c r="L168" s="70">
        <f t="shared" ref="L168:L202" si="18">I168+J168-K168</f>
        <v>-2590000</v>
      </c>
      <c r="M168" s="2"/>
      <c r="N168" s="40"/>
      <c r="O168" s="2"/>
      <c r="P168" s="14"/>
      <c r="R168" s="16"/>
      <c r="S168" s="16"/>
      <c r="T168" s="8"/>
      <c r="U168" s="15"/>
      <c r="V168" s="15"/>
      <c r="W168" s="15"/>
      <c r="X168" s="17"/>
      <c r="Y168" s="47"/>
      <c r="Z168" s="51"/>
      <c r="AA168" s="17"/>
      <c r="AB168" s="17"/>
      <c r="AD168" s="12"/>
      <c r="AE168" s="12"/>
      <c r="AF168" s="45"/>
      <c r="AG168" s="46"/>
      <c r="AM168" s="135"/>
      <c r="AN168" s="45"/>
      <c r="AO168" s="45"/>
      <c r="AP168" s="145"/>
      <c r="AQ168" s="146"/>
      <c r="AT168" s="146"/>
      <c r="AU168" s="146"/>
    </row>
    <row r="169" spans="1:47">
      <c r="A169" s="12"/>
      <c r="B169" s="12"/>
      <c r="C169" s="54"/>
      <c r="D169" s="54"/>
      <c r="E169" s="12" t="s">
        <v>4404</v>
      </c>
      <c r="F169" s="12" t="s">
        <v>2074</v>
      </c>
      <c r="I169" s="70">
        <v>-3140185.86</v>
      </c>
      <c r="J169" s="2"/>
      <c r="K169" s="2"/>
      <c r="L169" s="70">
        <f t="shared" si="18"/>
        <v>-3140185.86</v>
      </c>
      <c r="M169" s="2"/>
      <c r="N169" s="40"/>
      <c r="O169" s="2"/>
      <c r="P169" s="14"/>
      <c r="R169" s="16"/>
      <c r="S169" s="16"/>
      <c r="T169" s="8"/>
      <c r="U169" s="15"/>
      <c r="V169" s="15"/>
      <c r="W169" s="15"/>
      <c r="X169" s="17"/>
      <c r="Y169" s="47"/>
      <c r="Z169" s="51"/>
      <c r="AA169" s="17"/>
      <c r="AB169" s="17"/>
      <c r="AD169" s="12"/>
      <c r="AE169" s="12"/>
      <c r="AF169" s="45"/>
      <c r="AG169" s="46"/>
      <c r="AM169" s="135"/>
      <c r="AN169" s="45"/>
      <c r="AO169" s="45"/>
      <c r="AP169" s="145"/>
      <c r="AQ169" s="146"/>
      <c r="AT169" s="146"/>
      <c r="AU169" s="146"/>
    </row>
    <row r="170" spans="1:47">
      <c r="A170" s="12"/>
      <c r="B170" s="12"/>
      <c r="C170" s="54"/>
      <c r="D170" s="54"/>
      <c r="E170" s="12" t="s">
        <v>4405</v>
      </c>
      <c r="F170" s="12" t="s">
        <v>4406</v>
      </c>
      <c r="I170" s="70">
        <v>-3289783</v>
      </c>
      <c r="J170" s="2"/>
      <c r="K170" s="2"/>
      <c r="L170" s="70">
        <f t="shared" si="18"/>
        <v>-3289783</v>
      </c>
      <c r="M170" s="2"/>
      <c r="N170" s="40"/>
      <c r="O170" s="2"/>
      <c r="P170" s="14"/>
      <c r="R170" s="16"/>
      <c r="S170" s="16"/>
      <c r="T170" s="8"/>
      <c r="U170" s="15"/>
      <c r="V170" s="15"/>
      <c r="W170" s="15"/>
      <c r="X170" s="17"/>
      <c r="Y170" s="47"/>
      <c r="Z170" s="51"/>
      <c r="AA170" s="17"/>
      <c r="AB170" s="17"/>
      <c r="AD170" s="12"/>
      <c r="AE170" s="12"/>
      <c r="AF170" s="45"/>
      <c r="AG170" s="46"/>
      <c r="AM170" s="135"/>
      <c r="AN170" s="45"/>
      <c r="AO170" s="45"/>
      <c r="AP170" s="145"/>
      <c r="AQ170" s="146"/>
      <c r="AT170" s="146"/>
      <c r="AU170" s="146"/>
    </row>
    <row r="171" spans="1:47">
      <c r="A171" s="12"/>
      <c r="B171" s="12"/>
      <c r="C171" s="54"/>
      <c r="D171" s="54"/>
      <c r="E171" s="12" t="s">
        <v>4407</v>
      </c>
      <c r="F171" s="12" t="s">
        <v>4408</v>
      </c>
      <c r="I171" s="70">
        <v>-2510218.594</v>
      </c>
      <c r="J171" s="2"/>
      <c r="K171" s="2"/>
      <c r="L171" s="70">
        <f t="shared" si="18"/>
        <v>-2510218.594</v>
      </c>
      <c r="M171" s="2"/>
      <c r="N171" s="40"/>
      <c r="O171" s="2"/>
      <c r="P171" s="14"/>
      <c r="R171" s="16"/>
      <c r="S171" s="16"/>
      <c r="T171" s="8"/>
      <c r="U171" s="15"/>
      <c r="V171" s="15"/>
      <c r="W171" s="15"/>
      <c r="X171" s="17"/>
      <c r="Y171" s="47"/>
      <c r="Z171" s="51"/>
      <c r="AA171" s="17"/>
      <c r="AB171" s="17"/>
      <c r="AD171" s="12"/>
      <c r="AE171" s="12"/>
      <c r="AF171" s="45"/>
      <c r="AG171" s="46"/>
      <c r="AM171" s="135"/>
      <c r="AN171" s="45"/>
      <c r="AO171" s="45"/>
      <c r="AP171" s="145"/>
      <c r="AQ171" s="146"/>
      <c r="AT171" s="146"/>
      <c r="AU171" s="146"/>
    </row>
    <row r="172" spans="1:47">
      <c r="A172" s="12"/>
      <c r="B172" s="12"/>
      <c r="C172" s="54"/>
      <c r="D172" s="54"/>
      <c r="E172" s="12" t="s">
        <v>1409</v>
      </c>
      <c r="F172" s="12" t="s">
        <v>4409</v>
      </c>
      <c r="I172" s="70">
        <v>-4750000</v>
      </c>
      <c r="J172" s="2"/>
      <c r="K172" s="2"/>
      <c r="L172" s="70">
        <f t="shared" si="18"/>
        <v>-4750000</v>
      </c>
      <c r="M172" s="2"/>
      <c r="N172" s="40"/>
      <c r="O172" s="2"/>
      <c r="P172" s="14"/>
      <c r="R172" s="16"/>
      <c r="S172" s="16"/>
      <c r="T172" s="8"/>
      <c r="U172" s="15"/>
      <c r="V172" s="15"/>
      <c r="W172" s="15"/>
      <c r="X172" s="17"/>
      <c r="Y172" s="47"/>
      <c r="Z172" s="51"/>
      <c r="AA172" s="17"/>
      <c r="AB172" s="17"/>
      <c r="AD172" s="12"/>
      <c r="AE172" s="12"/>
      <c r="AF172" s="45"/>
      <c r="AG172" s="46"/>
      <c r="AM172" s="135"/>
      <c r="AN172" s="45"/>
      <c r="AO172" s="45"/>
      <c r="AP172" s="145"/>
      <c r="AQ172" s="146"/>
      <c r="AT172" s="146"/>
      <c r="AU172" s="146"/>
    </row>
    <row r="173" spans="1:47">
      <c r="A173" s="12"/>
      <c r="B173" s="12"/>
      <c r="C173" s="54"/>
      <c r="D173" s="54"/>
      <c r="E173" s="12" t="s">
        <v>4410</v>
      </c>
      <c r="F173" s="12" t="s">
        <v>4411</v>
      </c>
      <c r="I173" s="70">
        <v>-7700000</v>
      </c>
      <c r="J173" s="2"/>
      <c r="K173" s="2"/>
      <c r="L173" s="70">
        <f t="shared" si="18"/>
        <v>-7700000</v>
      </c>
      <c r="M173" s="2"/>
      <c r="N173" s="40"/>
      <c r="O173" s="2"/>
      <c r="P173" s="14"/>
      <c r="R173" s="16"/>
      <c r="S173" s="16"/>
      <c r="T173" s="8"/>
      <c r="U173" s="15"/>
      <c r="V173" s="15"/>
      <c r="W173" s="15"/>
      <c r="X173" s="17"/>
      <c r="Y173" s="47"/>
      <c r="Z173" s="51"/>
      <c r="AA173" s="17"/>
      <c r="AB173" s="17"/>
      <c r="AD173" s="12"/>
      <c r="AE173" s="12"/>
      <c r="AF173" s="45"/>
      <c r="AG173" s="46"/>
      <c r="AM173" s="135"/>
      <c r="AN173" s="45"/>
      <c r="AO173" s="45"/>
      <c r="AP173" s="145"/>
      <c r="AQ173" s="146"/>
      <c r="AT173" s="146"/>
      <c r="AU173" s="146"/>
    </row>
    <row r="174" spans="1:47">
      <c r="A174" s="12"/>
      <c r="B174" s="12"/>
      <c r="C174" s="54"/>
      <c r="D174" s="54"/>
      <c r="E174" s="12" t="s">
        <v>1411</v>
      </c>
      <c r="F174" s="12" t="s">
        <v>2076</v>
      </c>
      <c r="I174" s="70">
        <v>-5300000</v>
      </c>
      <c r="J174" s="2"/>
      <c r="K174" s="2"/>
      <c r="L174" s="70">
        <f t="shared" si="18"/>
        <v>-5300000</v>
      </c>
      <c r="M174" s="2"/>
      <c r="N174" s="40"/>
      <c r="O174" s="2"/>
      <c r="P174" s="14"/>
      <c r="R174" s="16"/>
      <c r="S174" s="16"/>
      <c r="T174" s="8"/>
      <c r="U174" s="15"/>
      <c r="V174" s="15"/>
      <c r="W174" s="15"/>
      <c r="X174" s="17"/>
      <c r="Y174" s="47"/>
      <c r="Z174" s="51"/>
      <c r="AA174" s="17"/>
      <c r="AB174" s="17"/>
      <c r="AD174" s="12"/>
      <c r="AE174" s="12"/>
      <c r="AF174" s="45"/>
      <c r="AG174" s="46"/>
      <c r="AM174" s="135"/>
      <c r="AN174" s="45"/>
      <c r="AO174" s="45"/>
      <c r="AP174" s="145"/>
      <c r="AQ174" s="146"/>
      <c r="AT174" s="146"/>
      <c r="AU174" s="146"/>
    </row>
    <row r="175" spans="1:47">
      <c r="A175" s="12"/>
      <c r="B175" s="12"/>
      <c r="C175" s="54"/>
      <c r="D175" s="54"/>
      <c r="E175" s="12" t="s">
        <v>1413</v>
      </c>
      <c r="F175" s="12" t="s">
        <v>4412</v>
      </c>
      <c r="I175" s="70">
        <v>-5202870</v>
      </c>
      <c r="J175" s="2"/>
      <c r="K175" s="2"/>
      <c r="L175" s="70">
        <f t="shared" si="18"/>
        <v>-5202870</v>
      </c>
      <c r="M175" s="2"/>
      <c r="N175" s="40"/>
      <c r="O175" s="2"/>
      <c r="P175" s="14"/>
      <c r="R175" s="16"/>
      <c r="S175" s="16"/>
      <c r="T175" s="8"/>
      <c r="U175" s="15"/>
      <c r="V175" s="15"/>
      <c r="W175" s="15"/>
      <c r="X175" s="17"/>
      <c r="Y175" s="47"/>
      <c r="Z175" s="51"/>
      <c r="AA175" s="17"/>
      <c r="AB175" s="17"/>
      <c r="AD175" s="12"/>
      <c r="AE175" s="12"/>
      <c r="AF175" s="45"/>
      <c r="AG175" s="46"/>
      <c r="AM175" s="135"/>
      <c r="AN175" s="45"/>
      <c r="AO175" s="45"/>
      <c r="AP175" s="145"/>
      <c r="AQ175" s="146"/>
      <c r="AT175" s="146"/>
      <c r="AU175" s="146"/>
    </row>
    <row r="176" spans="1:47">
      <c r="A176" s="12"/>
      <c r="B176" s="12"/>
      <c r="C176" s="54"/>
      <c r="D176" s="54"/>
      <c r="E176" s="12" t="s">
        <v>1434</v>
      </c>
      <c r="F176" s="12" t="s">
        <v>1435</v>
      </c>
      <c r="I176" s="70">
        <v>-300856.40100000001</v>
      </c>
      <c r="J176" s="2">
        <v>957.75900000000001</v>
      </c>
      <c r="K176" s="2"/>
      <c r="L176" s="70">
        <f t="shared" si="18"/>
        <v>-299898.64199999999</v>
      </c>
      <c r="M176" s="2"/>
      <c r="N176" s="40"/>
      <c r="O176" s="2"/>
      <c r="P176" s="14"/>
      <c r="R176" s="16"/>
      <c r="S176" s="16"/>
      <c r="T176" s="8"/>
      <c r="U176" s="15"/>
      <c r="V176" s="15"/>
      <c r="W176" s="15"/>
      <c r="X176" s="17"/>
      <c r="Y176" s="47"/>
      <c r="Z176" s="51"/>
      <c r="AA176" s="17"/>
      <c r="AB176" s="17"/>
      <c r="AD176" s="12"/>
      <c r="AE176" s="12"/>
      <c r="AF176" s="45"/>
      <c r="AG176" s="46"/>
      <c r="AM176" s="135">
        <f t="shared" si="17"/>
        <v>-299898.64199999999</v>
      </c>
      <c r="AN176" s="45"/>
      <c r="AO176" s="45"/>
      <c r="AP176" s="145"/>
      <c r="AQ176" s="146"/>
      <c r="AT176" s="146"/>
      <c r="AU176" s="146"/>
    </row>
    <row r="177" spans="1:47">
      <c r="A177" s="12"/>
      <c r="B177" s="12"/>
      <c r="C177" s="54"/>
      <c r="D177" s="54"/>
      <c r="E177" s="12" t="s">
        <v>1436</v>
      </c>
      <c r="F177" s="12" t="s">
        <v>1437</v>
      </c>
      <c r="I177" s="70">
        <v>-410732.20199999999</v>
      </c>
      <c r="J177" s="2">
        <v>410432.56599999999</v>
      </c>
      <c r="K177" s="2">
        <v>37163.120000000003</v>
      </c>
      <c r="L177" s="70">
        <f t="shared" si="18"/>
        <v>-37462.756000000001</v>
      </c>
      <c r="M177" s="2"/>
      <c r="N177" s="40"/>
      <c r="O177" s="2"/>
      <c r="P177" s="14"/>
      <c r="R177" s="16"/>
      <c r="S177" s="16"/>
      <c r="T177" s="8"/>
      <c r="U177" s="15"/>
      <c r="V177" s="15"/>
      <c r="W177" s="15"/>
      <c r="X177" s="17"/>
      <c r="Y177" s="47"/>
      <c r="Z177" s="51"/>
      <c r="AA177" s="17"/>
      <c r="AB177" s="17"/>
      <c r="AD177" s="12"/>
      <c r="AE177" s="12"/>
      <c r="AF177" s="45"/>
      <c r="AG177" s="46"/>
      <c r="AM177" s="135">
        <f t="shared" si="17"/>
        <v>-37462.756000000001</v>
      </c>
      <c r="AN177" s="45"/>
      <c r="AO177" s="45"/>
      <c r="AP177" s="145"/>
      <c r="AQ177" s="146"/>
      <c r="AT177" s="146"/>
      <c r="AU177" s="146"/>
    </row>
    <row r="178" spans="1:47">
      <c r="A178" s="12"/>
      <c r="B178" s="12"/>
      <c r="C178" s="54"/>
      <c r="D178" s="54"/>
      <c r="E178" s="12" t="s">
        <v>1442</v>
      </c>
      <c r="F178" s="12" t="s">
        <v>1443</v>
      </c>
      <c r="I178" s="70">
        <v>-440728.23</v>
      </c>
      <c r="J178" s="2"/>
      <c r="K178" s="2"/>
      <c r="L178" s="70">
        <f t="shared" si="18"/>
        <v>-440728.23</v>
      </c>
      <c r="M178" s="2"/>
      <c r="N178" s="40"/>
      <c r="O178" s="2"/>
      <c r="P178" s="14"/>
      <c r="R178" s="16"/>
      <c r="S178" s="16"/>
      <c r="T178" s="8"/>
      <c r="U178" s="15"/>
      <c r="V178" s="15"/>
      <c r="W178" s="15"/>
      <c r="X178" s="17"/>
      <c r="Y178" s="47"/>
      <c r="Z178" s="51"/>
      <c r="AA178" s="17"/>
      <c r="AB178" s="17"/>
      <c r="AD178" s="12"/>
      <c r="AE178" s="12"/>
      <c r="AF178" s="45"/>
      <c r="AG178" s="46"/>
      <c r="AM178" s="135">
        <f>SUM(AM143:AM177)</f>
        <v>-1113414.8404999999</v>
      </c>
      <c r="AN178" s="45"/>
      <c r="AO178" s="45"/>
      <c r="AP178" s="145"/>
      <c r="AQ178" s="146"/>
      <c r="AT178" s="146"/>
      <c r="AU178" s="146"/>
    </row>
    <row r="179" spans="1:47">
      <c r="A179" s="12"/>
      <c r="B179" s="12"/>
      <c r="C179" s="54"/>
      <c r="D179" s="54"/>
      <c r="E179" s="12" t="s">
        <v>4413</v>
      </c>
      <c r="F179" s="12" t="s">
        <v>1563</v>
      </c>
      <c r="I179" s="70">
        <v>0</v>
      </c>
      <c r="J179" s="2"/>
      <c r="K179" s="2"/>
      <c r="L179" s="70">
        <f t="shared" si="18"/>
        <v>0</v>
      </c>
      <c r="M179" s="2"/>
      <c r="N179" s="40"/>
      <c r="O179" s="2"/>
      <c r="P179" s="14"/>
      <c r="R179" s="16"/>
      <c r="S179" s="16"/>
      <c r="T179" s="8"/>
      <c r="U179" s="15"/>
      <c r="V179" s="15"/>
      <c r="W179" s="15"/>
      <c r="X179" s="17"/>
      <c r="Y179" s="47"/>
      <c r="Z179" s="51"/>
      <c r="AA179" s="17"/>
      <c r="AB179" s="17"/>
      <c r="AD179" s="12"/>
      <c r="AE179" s="12"/>
      <c r="AF179" s="45"/>
      <c r="AG179" s="46"/>
      <c r="AM179" s="135"/>
      <c r="AN179" s="45"/>
      <c r="AO179" s="45"/>
      <c r="AP179" s="145"/>
      <c r="AQ179" s="146"/>
      <c r="AT179" s="146"/>
      <c r="AU179" s="146"/>
    </row>
    <row r="180" spans="1:47">
      <c r="A180" s="12"/>
      <c r="B180" s="12"/>
      <c r="C180" s="54"/>
      <c r="D180" s="54"/>
      <c r="E180" s="12" t="s">
        <v>4414</v>
      </c>
      <c r="F180" s="12" t="s">
        <v>4415</v>
      </c>
      <c r="I180" s="70">
        <v>0</v>
      </c>
      <c r="J180" s="2"/>
      <c r="K180" s="2"/>
      <c r="L180" s="70">
        <f t="shared" si="18"/>
        <v>0</v>
      </c>
      <c r="M180" s="2"/>
      <c r="N180" s="40"/>
      <c r="O180" s="2"/>
      <c r="P180" s="14"/>
      <c r="R180" s="16"/>
      <c r="S180" s="16"/>
      <c r="T180" s="8"/>
      <c r="U180" s="15"/>
      <c r="V180" s="15"/>
      <c r="W180" s="15"/>
      <c r="X180" s="17"/>
      <c r="Y180" s="47"/>
      <c r="Z180" s="51"/>
      <c r="AA180" s="17"/>
      <c r="AB180" s="17"/>
      <c r="AD180" s="12"/>
      <c r="AE180" s="12"/>
      <c r="AF180" s="45"/>
      <c r="AG180" s="46"/>
      <c r="AM180" s="135"/>
      <c r="AN180" s="45"/>
      <c r="AO180" s="45"/>
      <c r="AP180" s="145"/>
      <c r="AQ180" s="146"/>
      <c r="AT180" s="146"/>
      <c r="AU180" s="146"/>
    </row>
    <row r="181" spans="1:47">
      <c r="A181" s="12"/>
      <c r="B181" s="12"/>
      <c r="C181" s="54"/>
      <c r="D181" s="54"/>
      <c r="E181" s="12"/>
      <c r="F181" s="12"/>
      <c r="I181" s="70"/>
      <c r="J181" s="2"/>
      <c r="K181" s="2"/>
      <c r="L181" s="70"/>
      <c r="M181" s="2"/>
      <c r="N181" s="40"/>
      <c r="O181" s="2"/>
      <c r="P181" s="14"/>
      <c r="R181" s="16"/>
      <c r="S181" s="16"/>
      <c r="T181" s="8"/>
      <c r="U181" s="15"/>
      <c r="V181" s="15"/>
      <c r="W181" s="15"/>
      <c r="X181" s="17"/>
      <c r="Y181" s="47"/>
      <c r="Z181" s="51"/>
      <c r="AA181" s="17"/>
      <c r="AB181" s="17"/>
      <c r="AD181" s="12"/>
      <c r="AE181" s="12"/>
      <c r="AF181" s="45"/>
      <c r="AG181" s="46"/>
      <c r="AM181" s="135"/>
      <c r="AN181" s="45"/>
      <c r="AO181" s="45"/>
      <c r="AP181" s="145"/>
      <c r="AQ181" s="146"/>
      <c r="AT181" s="146"/>
      <c r="AU181" s="146"/>
    </row>
    <row r="182" spans="1:47">
      <c r="A182" s="12"/>
      <c r="B182" s="12"/>
      <c r="C182" s="54"/>
      <c r="D182" s="54"/>
      <c r="E182" s="12" t="s">
        <v>1454</v>
      </c>
      <c r="F182" s="12" t="s">
        <v>1455</v>
      </c>
      <c r="I182" s="70">
        <v>-7500000</v>
      </c>
      <c r="J182" s="2"/>
      <c r="K182" s="2"/>
      <c r="L182" s="70">
        <f t="shared" si="18"/>
        <v>-7500000</v>
      </c>
      <c r="M182" s="2"/>
      <c r="N182" s="40"/>
      <c r="O182" s="2"/>
      <c r="P182" s="14"/>
      <c r="R182" s="16"/>
      <c r="S182" s="16"/>
      <c r="T182" s="8"/>
      <c r="U182" s="15"/>
      <c r="V182" s="15"/>
      <c r="W182" s="15"/>
      <c r="X182" s="17"/>
      <c r="Y182" s="47"/>
      <c r="Z182" s="51"/>
      <c r="AA182" s="17"/>
      <c r="AB182" s="17"/>
      <c r="AD182" s="12"/>
      <c r="AE182" s="12"/>
      <c r="AF182" s="45"/>
      <c r="AG182" s="46"/>
      <c r="AM182" s="135"/>
      <c r="AN182" s="45"/>
      <c r="AO182" s="45"/>
      <c r="AP182" s="145"/>
      <c r="AQ182" s="146"/>
      <c r="AT182" s="146"/>
      <c r="AU182" s="146"/>
    </row>
    <row r="183" spans="1:47">
      <c r="A183" s="12"/>
      <c r="B183" s="12"/>
      <c r="C183" s="54"/>
      <c r="D183" s="54"/>
      <c r="E183" s="296" t="s">
        <v>1460</v>
      </c>
      <c r="F183" s="296" t="s">
        <v>1461</v>
      </c>
      <c r="G183" s="297"/>
      <c r="H183" s="298"/>
      <c r="I183" s="299">
        <v>-49673.89</v>
      </c>
      <c r="J183" s="300">
        <f>118664.12+68990</f>
        <v>187654.12</v>
      </c>
      <c r="K183" s="300">
        <v>137980.47</v>
      </c>
      <c r="L183" s="299">
        <f t="shared" si="18"/>
        <v>-0.2400000000197906</v>
      </c>
      <c r="M183" s="2"/>
      <c r="N183" s="40"/>
      <c r="O183" s="2"/>
      <c r="P183" s="14"/>
      <c r="R183" s="16"/>
      <c r="S183" s="16"/>
      <c r="T183" s="8"/>
      <c r="U183" s="15"/>
      <c r="V183" s="15"/>
      <c r="W183" s="15"/>
      <c r="X183" s="17"/>
      <c r="Y183" s="47"/>
      <c r="Z183" s="51"/>
      <c r="AA183" s="17"/>
      <c r="AB183" s="17"/>
      <c r="AD183" s="12"/>
      <c r="AE183" s="12"/>
      <c r="AF183" s="45"/>
      <c r="AG183" s="46"/>
      <c r="AM183" s="135"/>
      <c r="AN183" s="45"/>
      <c r="AO183" s="45"/>
      <c r="AP183" s="145"/>
      <c r="AQ183" s="146"/>
      <c r="AT183" s="146"/>
      <c r="AU183" s="146"/>
    </row>
    <row r="184" spans="1:47">
      <c r="A184" s="12"/>
      <c r="B184" s="12"/>
      <c r="C184" s="54"/>
      <c r="D184" s="54"/>
      <c r="E184" s="12" t="s">
        <v>4416</v>
      </c>
      <c r="F184" s="12" t="s">
        <v>4417</v>
      </c>
      <c r="I184" s="70">
        <v>0</v>
      </c>
      <c r="J184" s="2"/>
      <c r="K184" s="2"/>
      <c r="L184" s="70">
        <f t="shared" si="18"/>
        <v>0</v>
      </c>
      <c r="M184" s="2"/>
      <c r="N184" s="40"/>
      <c r="O184" s="2"/>
      <c r="P184" s="14"/>
      <c r="R184" s="16"/>
      <c r="S184" s="16"/>
      <c r="T184" s="8"/>
      <c r="U184" s="15"/>
      <c r="V184" s="15"/>
      <c r="W184" s="15"/>
      <c r="X184" s="17"/>
      <c r="Y184" s="47"/>
      <c r="Z184" s="51"/>
      <c r="AA184" s="17"/>
      <c r="AB184" s="17"/>
      <c r="AD184" s="12"/>
      <c r="AE184" s="12"/>
      <c r="AF184" s="45"/>
      <c r="AG184" s="46"/>
      <c r="AM184" s="135"/>
      <c r="AN184" s="45"/>
      <c r="AO184" s="45"/>
      <c r="AP184" s="145"/>
      <c r="AQ184" s="146"/>
      <c r="AT184" s="146"/>
      <c r="AU184" s="146"/>
    </row>
    <row r="185" spans="1:47">
      <c r="A185" s="12"/>
      <c r="B185" s="12"/>
      <c r="C185" s="54"/>
      <c r="D185" s="54"/>
      <c r="E185" s="12" t="s">
        <v>1462</v>
      </c>
      <c r="F185" s="12" t="s">
        <v>2178</v>
      </c>
      <c r="I185" s="70">
        <v>-656864.63199999998</v>
      </c>
      <c r="J185" s="2"/>
      <c r="K185" s="2"/>
      <c r="L185" s="70">
        <f t="shared" si="18"/>
        <v>-656864.63199999998</v>
      </c>
      <c r="M185" s="2"/>
      <c r="N185" s="40"/>
      <c r="O185" s="2"/>
      <c r="P185" s="14"/>
      <c r="R185" s="16"/>
      <c r="S185" s="16"/>
      <c r="T185" s="8"/>
      <c r="U185" s="15"/>
      <c r="V185" s="15"/>
      <c r="W185" s="15"/>
      <c r="X185" s="17"/>
      <c r="Y185" s="47"/>
      <c r="Z185" s="51"/>
      <c r="AA185" s="17"/>
      <c r="AB185" s="17"/>
      <c r="AD185" s="12"/>
      <c r="AE185" s="12"/>
      <c r="AF185" s="45"/>
      <c r="AG185" s="46"/>
      <c r="AM185" s="135"/>
      <c r="AN185" s="45"/>
      <c r="AO185" s="45"/>
      <c r="AP185" s="145"/>
      <c r="AQ185" s="146"/>
      <c r="AT185" s="146"/>
      <c r="AU185" s="146"/>
    </row>
    <row r="186" spans="1:47">
      <c r="A186" s="12"/>
      <c r="B186" s="12"/>
      <c r="C186" s="54"/>
      <c r="D186" s="54"/>
      <c r="E186" s="12" t="s">
        <v>4418</v>
      </c>
      <c r="F186" s="12" t="s">
        <v>4419</v>
      </c>
      <c r="I186" s="70">
        <v>0</v>
      </c>
      <c r="J186" s="2"/>
      <c r="K186" s="2"/>
      <c r="L186" s="70">
        <f t="shared" si="18"/>
        <v>0</v>
      </c>
      <c r="M186" s="2"/>
      <c r="N186" s="40"/>
      <c r="O186" s="2"/>
      <c r="P186" s="14"/>
      <c r="R186" s="16"/>
      <c r="S186" s="16"/>
      <c r="T186" s="8"/>
      <c r="U186" s="15"/>
      <c r="V186" s="15"/>
      <c r="W186" s="15"/>
      <c r="X186" s="17"/>
      <c r="Y186" s="47"/>
      <c r="Z186" s="51"/>
      <c r="AA186" s="17"/>
      <c r="AB186" s="17"/>
      <c r="AD186" s="12"/>
      <c r="AE186" s="12"/>
      <c r="AF186" s="45"/>
      <c r="AG186" s="46"/>
      <c r="AM186" s="135"/>
      <c r="AN186" s="45"/>
      <c r="AO186" s="45"/>
      <c r="AP186" s="145"/>
      <c r="AQ186" s="146"/>
      <c r="AT186" s="146"/>
      <c r="AU186" s="146"/>
    </row>
    <row r="187" spans="1:47">
      <c r="A187" s="12"/>
      <c r="B187" s="12"/>
      <c r="C187" s="54"/>
      <c r="D187" s="54"/>
      <c r="E187" s="12" t="s">
        <v>4420</v>
      </c>
      <c r="F187" s="12" t="s">
        <v>4421</v>
      </c>
      <c r="I187" s="70">
        <v>0</v>
      </c>
      <c r="J187" s="2"/>
      <c r="K187" s="2"/>
      <c r="L187" s="70">
        <f t="shared" si="18"/>
        <v>0</v>
      </c>
      <c r="M187" s="2"/>
      <c r="N187" s="40"/>
      <c r="O187" s="2"/>
      <c r="P187" s="14"/>
      <c r="R187" s="16"/>
      <c r="S187" s="16"/>
      <c r="T187" s="8"/>
      <c r="U187" s="15"/>
      <c r="V187" s="15"/>
      <c r="W187" s="15"/>
      <c r="X187" s="17"/>
      <c r="Y187" s="47"/>
      <c r="Z187" s="51"/>
      <c r="AA187" s="17"/>
      <c r="AB187" s="17"/>
      <c r="AD187" s="12"/>
      <c r="AE187" s="12"/>
      <c r="AF187" s="45"/>
      <c r="AG187" s="46"/>
      <c r="AM187" s="135"/>
      <c r="AN187" s="45"/>
      <c r="AO187" s="45"/>
      <c r="AP187" s="145"/>
      <c r="AQ187" s="146"/>
      <c r="AT187" s="146"/>
      <c r="AU187" s="146"/>
    </row>
    <row r="188" spans="1:47">
      <c r="A188" s="12"/>
      <c r="B188" s="12"/>
      <c r="C188" s="54"/>
      <c r="D188" s="54"/>
      <c r="E188" s="12" t="s">
        <v>4422</v>
      </c>
      <c r="F188" s="12" t="s">
        <v>4423</v>
      </c>
      <c r="I188" s="70">
        <v>0</v>
      </c>
      <c r="J188" s="2"/>
      <c r="K188" s="2"/>
      <c r="L188" s="70">
        <f t="shared" si="18"/>
        <v>0</v>
      </c>
      <c r="M188" s="2"/>
      <c r="N188" s="40"/>
      <c r="O188" s="2"/>
      <c r="P188" s="14"/>
      <c r="R188" s="16"/>
      <c r="S188" s="16"/>
      <c r="T188" s="8"/>
      <c r="U188" s="15"/>
      <c r="V188" s="15"/>
      <c r="W188" s="15"/>
      <c r="X188" s="17"/>
      <c r="Y188" s="47"/>
      <c r="Z188" s="51"/>
      <c r="AA188" s="17"/>
      <c r="AB188" s="17"/>
      <c r="AD188" s="12"/>
      <c r="AE188" s="12"/>
      <c r="AF188" s="45"/>
      <c r="AG188" s="46"/>
      <c r="AM188" s="135"/>
      <c r="AN188" s="45"/>
      <c r="AO188" s="45"/>
      <c r="AP188" s="145"/>
      <c r="AQ188" s="146"/>
      <c r="AT188" s="146"/>
      <c r="AU188" s="146"/>
    </row>
    <row r="189" spans="1:47">
      <c r="A189" s="12"/>
      <c r="B189" s="12"/>
      <c r="C189" s="54"/>
      <c r="D189" s="54"/>
      <c r="E189" s="12" t="s">
        <v>4424</v>
      </c>
      <c r="F189" s="12" t="s">
        <v>4425</v>
      </c>
      <c r="I189" s="70">
        <v>0</v>
      </c>
      <c r="J189" s="2"/>
      <c r="K189" s="2"/>
      <c r="L189" s="70">
        <f t="shared" si="18"/>
        <v>0</v>
      </c>
      <c r="M189" s="2"/>
      <c r="N189" s="40"/>
      <c r="O189" s="2"/>
      <c r="P189" s="14"/>
      <c r="R189" s="16"/>
      <c r="S189" s="16"/>
      <c r="T189" s="8"/>
      <c r="U189" s="15"/>
      <c r="V189" s="15"/>
      <c r="W189" s="15"/>
      <c r="X189" s="17"/>
      <c r="Y189" s="47"/>
      <c r="Z189" s="51"/>
      <c r="AA189" s="17"/>
      <c r="AB189" s="17"/>
      <c r="AD189" s="12"/>
      <c r="AE189" s="12"/>
      <c r="AF189" s="45"/>
      <c r="AG189" s="46"/>
      <c r="AM189" s="135"/>
      <c r="AN189" s="45"/>
      <c r="AO189" s="45"/>
      <c r="AP189" s="145"/>
      <c r="AQ189" s="146"/>
      <c r="AT189" s="146"/>
      <c r="AU189" s="146"/>
    </row>
    <row r="190" spans="1:47">
      <c r="A190" s="12"/>
      <c r="B190" s="12"/>
      <c r="C190" s="54"/>
      <c r="D190" s="54"/>
      <c r="E190" s="12" t="s">
        <v>4426</v>
      </c>
      <c r="F190" s="12" t="s">
        <v>4427</v>
      </c>
      <c r="I190" s="70">
        <v>0</v>
      </c>
      <c r="J190" s="2"/>
      <c r="K190" s="2"/>
      <c r="L190" s="70">
        <f t="shared" si="18"/>
        <v>0</v>
      </c>
      <c r="M190" s="2"/>
      <c r="N190" s="40"/>
      <c r="O190" s="2"/>
      <c r="P190" s="14"/>
      <c r="R190" s="16"/>
      <c r="S190" s="16"/>
      <c r="T190" s="8"/>
      <c r="U190" s="15"/>
      <c r="V190" s="15"/>
      <c r="W190" s="15"/>
      <c r="X190" s="17"/>
      <c r="Y190" s="47"/>
      <c r="Z190" s="51"/>
      <c r="AA190" s="17"/>
      <c r="AB190" s="17"/>
      <c r="AD190" s="12"/>
      <c r="AE190" s="12"/>
      <c r="AF190" s="45"/>
      <c r="AG190" s="46"/>
      <c r="AM190" s="135"/>
      <c r="AN190" s="45"/>
      <c r="AO190" s="45"/>
      <c r="AP190" s="145"/>
      <c r="AQ190" s="146"/>
      <c r="AT190" s="146"/>
      <c r="AU190" s="146"/>
    </row>
    <row r="191" spans="1:47">
      <c r="A191" s="12"/>
      <c r="B191" s="12"/>
      <c r="C191" s="54"/>
      <c r="D191" s="54"/>
      <c r="E191" s="12" t="s">
        <v>4428</v>
      </c>
      <c r="F191" s="12" t="s">
        <v>4429</v>
      </c>
      <c r="I191" s="70">
        <v>-16501.97</v>
      </c>
      <c r="J191" s="2">
        <v>137980.47</v>
      </c>
      <c r="K191" s="2">
        <f>118664.12+118664.12</f>
        <v>237328.24</v>
      </c>
      <c r="L191" s="70">
        <f t="shared" si="18"/>
        <v>-115849.73999999999</v>
      </c>
      <c r="M191" s="2"/>
      <c r="N191" s="40"/>
      <c r="O191" s="2"/>
      <c r="P191" s="14"/>
      <c r="R191" s="16"/>
      <c r="S191" s="16"/>
      <c r="T191" s="8"/>
      <c r="U191" s="15"/>
      <c r="V191" s="15"/>
      <c r="W191" s="15"/>
      <c r="X191" s="17"/>
      <c r="Y191" s="47"/>
      <c r="Z191" s="51"/>
      <c r="AA191" s="17"/>
      <c r="AB191" s="17"/>
      <c r="AD191" s="12"/>
      <c r="AE191" s="12"/>
      <c r="AF191" s="45"/>
      <c r="AG191" s="46"/>
      <c r="AM191" s="135"/>
      <c r="AN191" s="45"/>
      <c r="AO191" s="45"/>
      <c r="AP191" s="145"/>
      <c r="AQ191" s="146"/>
      <c r="AT191" s="146"/>
      <c r="AU191" s="146"/>
    </row>
    <row r="192" spans="1:47">
      <c r="A192" s="12"/>
      <c r="B192" s="12"/>
      <c r="C192" s="54"/>
      <c r="D192" s="54"/>
      <c r="E192" s="12" t="s">
        <v>1470</v>
      </c>
      <c r="F192" s="12" t="s">
        <v>1471</v>
      </c>
      <c r="I192" s="70">
        <v>-1198310.67</v>
      </c>
      <c r="J192" s="2"/>
      <c r="K192" s="2"/>
      <c r="L192" s="70">
        <f t="shared" si="18"/>
        <v>-1198310.67</v>
      </c>
      <c r="M192" s="2"/>
      <c r="N192" s="40"/>
      <c r="O192" s="2"/>
      <c r="P192" s="14"/>
      <c r="R192" s="16"/>
      <c r="S192" s="16"/>
      <c r="T192" s="8"/>
      <c r="U192" s="15"/>
      <c r="V192" s="15"/>
      <c r="W192" s="15"/>
      <c r="X192" s="17"/>
      <c r="Y192" s="47"/>
      <c r="Z192" s="51"/>
      <c r="AA192" s="17"/>
      <c r="AB192" s="17"/>
      <c r="AD192" s="12"/>
      <c r="AE192" s="12"/>
      <c r="AF192" s="45"/>
      <c r="AG192" s="46"/>
      <c r="AM192" s="135"/>
      <c r="AN192" s="45"/>
      <c r="AO192" s="45"/>
      <c r="AP192" s="145"/>
      <c r="AQ192" s="146"/>
      <c r="AT192" s="146"/>
      <c r="AU192" s="146"/>
    </row>
    <row r="193" spans="1:47">
      <c r="A193" s="12"/>
      <c r="B193" s="12"/>
      <c r="C193" s="54"/>
      <c r="D193" s="54"/>
      <c r="E193" s="12" t="s">
        <v>1472</v>
      </c>
      <c r="F193" s="12" t="s">
        <v>1473</v>
      </c>
      <c r="I193" s="70">
        <v>-380445.76</v>
      </c>
      <c r="J193" s="2"/>
      <c r="K193" s="2"/>
      <c r="L193" s="70">
        <f t="shared" si="18"/>
        <v>-380445.76</v>
      </c>
      <c r="M193" s="2"/>
      <c r="N193" s="40"/>
      <c r="O193" s="2"/>
      <c r="P193" s="14"/>
      <c r="R193" s="16"/>
      <c r="S193" s="16"/>
      <c r="T193" s="8"/>
      <c r="U193" s="15"/>
      <c r="V193" s="15"/>
      <c r="W193" s="15"/>
      <c r="X193" s="17"/>
      <c r="Y193" s="47"/>
      <c r="Z193" s="51"/>
      <c r="AA193" s="17"/>
      <c r="AB193" s="17"/>
      <c r="AD193" s="12"/>
      <c r="AE193" s="12"/>
      <c r="AF193" s="45"/>
      <c r="AG193" s="46"/>
      <c r="AM193" s="135"/>
      <c r="AN193" s="45"/>
      <c r="AO193" s="45"/>
      <c r="AP193" s="145"/>
      <c r="AQ193" s="146"/>
      <c r="AT193" s="146"/>
      <c r="AU193" s="146"/>
    </row>
    <row r="194" spans="1:47">
      <c r="A194" s="12"/>
      <c r="B194" s="12"/>
      <c r="C194" s="54"/>
      <c r="D194" s="54"/>
      <c r="E194" s="12" t="s">
        <v>1474</v>
      </c>
      <c r="F194" s="12" t="s">
        <v>1475</v>
      </c>
      <c r="I194" s="70">
        <v>686853.6661700001</v>
      </c>
      <c r="J194" s="2"/>
      <c r="K194" s="2"/>
      <c r="L194" s="70">
        <f t="shared" si="18"/>
        <v>686853.6661700001</v>
      </c>
      <c r="M194" s="2"/>
      <c r="N194" s="40"/>
      <c r="O194" s="2"/>
      <c r="P194" s="14"/>
      <c r="R194" s="16"/>
      <c r="S194" s="16"/>
      <c r="T194" s="8"/>
      <c r="U194" s="15"/>
      <c r="V194" s="15"/>
      <c r="W194" s="15"/>
      <c r="X194" s="17"/>
      <c r="Y194" s="47"/>
      <c r="Z194" s="51"/>
      <c r="AA194" s="17"/>
      <c r="AB194" s="17"/>
      <c r="AD194" s="12"/>
      <c r="AE194" s="12"/>
      <c r="AF194" s="45"/>
      <c r="AG194" s="46"/>
      <c r="AM194" s="135"/>
      <c r="AN194" s="45"/>
      <c r="AO194" s="45"/>
      <c r="AP194" s="145"/>
      <c r="AQ194" s="146"/>
      <c r="AT194" s="146"/>
      <c r="AU194" s="146"/>
    </row>
    <row r="195" spans="1:47">
      <c r="A195" s="12"/>
      <c r="B195" s="12"/>
      <c r="C195" s="54"/>
      <c r="D195" s="54"/>
      <c r="E195" s="12" t="s">
        <v>1476</v>
      </c>
      <c r="F195" s="12" t="s">
        <v>1477</v>
      </c>
      <c r="I195" s="70">
        <v>-449086.79852000007</v>
      </c>
      <c r="J195" s="2"/>
      <c r="K195" s="2"/>
      <c r="L195" s="70">
        <f t="shared" si="18"/>
        <v>-449086.79852000007</v>
      </c>
      <c r="M195" s="2"/>
      <c r="N195" s="40"/>
      <c r="O195" s="2"/>
      <c r="P195" s="14"/>
      <c r="R195" s="16"/>
      <c r="S195" s="16"/>
      <c r="T195" s="8"/>
      <c r="U195" s="15"/>
      <c r="V195" s="15"/>
      <c r="W195" s="15"/>
      <c r="X195" s="17"/>
      <c r="Y195" s="47"/>
      <c r="Z195" s="51"/>
      <c r="AA195" s="17"/>
      <c r="AB195" s="17"/>
      <c r="AD195" s="12"/>
      <c r="AE195" s="12"/>
      <c r="AF195" s="45"/>
      <c r="AG195" s="46"/>
      <c r="AM195" s="135"/>
      <c r="AN195" s="45"/>
      <c r="AO195" s="45"/>
      <c r="AP195" s="145"/>
      <c r="AQ195" s="146"/>
      <c r="AT195" s="146"/>
      <c r="AU195" s="146"/>
    </row>
    <row r="196" spans="1:47">
      <c r="A196" s="12"/>
      <c r="B196" s="12"/>
      <c r="C196" s="54"/>
      <c r="D196" s="54"/>
      <c r="E196" s="12" t="s">
        <v>1478</v>
      </c>
      <c r="F196" s="12" t="s">
        <v>1479</v>
      </c>
      <c r="I196" s="70">
        <v>147963.26300000001</v>
      </c>
      <c r="J196" s="2"/>
      <c r="K196" s="2"/>
      <c r="L196" s="70">
        <f t="shared" si="18"/>
        <v>147963.26300000001</v>
      </c>
      <c r="M196" s="2"/>
      <c r="N196" s="40"/>
      <c r="O196" s="2"/>
      <c r="P196" s="14"/>
      <c r="R196" s="16"/>
      <c r="S196" s="16"/>
      <c r="T196" s="8"/>
      <c r="U196" s="15"/>
      <c r="V196" s="15"/>
      <c r="W196" s="15"/>
      <c r="X196" s="17"/>
      <c r="Y196" s="47"/>
      <c r="Z196" s="51"/>
      <c r="AA196" s="17"/>
      <c r="AB196" s="17"/>
      <c r="AD196" s="12"/>
      <c r="AE196" s="12"/>
      <c r="AF196" s="45"/>
      <c r="AG196" s="46"/>
      <c r="AM196" s="135"/>
      <c r="AN196" s="45"/>
      <c r="AO196" s="45"/>
      <c r="AP196" s="145"/>
      <c r="AQ196" s="146"/>
      <c r="AT196" s="146"/>
      <c r="AU196" s="146"/>
    </row>
    <row r="197" spans="1:47">
      <c r="A197" s="12"/>
      <c r="B197" s="12"/>
      <c r="C197" s="54"/>
      <c r="D197" s="54"/>
      <c r="E197" s="12" t="s">
        <v>1480</v>
      </c>
      <c r="F197" s="12" t="s">
        <v>1481</v>
      </c>
      <c r="I197" s="70">
        <v>-803473.48149999999</v>
      </c>
      <c r="J197" s="2"/>
      <c r="K197" s="2"/>
      <c r="L197" s="70">
        <f t="shared" si="18"/>
        <v>-803473.48149999999</v>
      </c>
      <c r="M197" s="2"/>
      <c r="N197" s="40"/>
      <c r="O197" s="2"/>
      <c r="P197" s="14"/>
      <c r="R197" s="16"/>
      <c r="S197" s="16"/>
      <c r="T197" s="8"/>
      <c r="U197" s="15"/>
      <c r="V197" s="15"/>
      <c r="W197" s="15"/>
      <c r="X197" s="17"/>
      <c r="Y197" s="47"/>
      <c r="Z197" s="51"/>
      <c r="AA197" s="17"/>
      <c r="AB197" s="17"/>
      <c r="AD197" s="12"/>
      <c r="AE197" s="12"/>
      <c r="AF197" s="45"/>
      <c r="AG197" s="46"/>
      <c r="AM197" s="135"/>
      <c r="AN197" s="45"/>
      <c r="AO197" s="45"/>
      <c r="AP197" s="145"/>
      <c r="AQ197" s="146"/>
      <c r="AT197" s="146"/>
      <c r="AU197" s="146"/>
    </row>
    <row r="198" spans="1:47">
      <c r="A198" s="12"/>
      <c r="B198" s="12"/>
      <c r="C198" s="54"/>
      <c r="D198" s="54"/>
      <c r="E198" s="12" t="s">
        <v>1484</v>
      </c>
      <c r="F198" s="12" t="s">
        <v>4430</v>
      </c>
      <c r="I198" s="70">
        <v>-170846.36499999999</v>
      </c>
      <c r="J198" s="2"/>
      <c r="K198" s="2"/>
      <c r="L198" s="70">
        <f t="shared" si="18"/>
        <v>-170846.36499999999</v>
      </c>
      <c r="M198" s="2"/>
      <c r="N198" s="40"/>
      <c r="O198" s="2"/>
      <c r="P198" s="14"/>
      <c r="R198" s="16"/>
      <c r="S198" s="16"/>
      <c r="T198" s="8"/>
      <c r="U198" s="15"/>
      <c r="V198" s="15"/>
      <c r="W198" s="15"/>
      <c r="X198" s="17"/>
      <c r="Y198" s="47"/>
      <c r="Z198" s="51"/>
      <c r="AA198" s="17"/>
      <c r="AB198" s="17"/>
      <c r="AD198" s="12"/>
      <c r="AE198" s="12"/>
      <c r="AF198" s="45"/>
      <c r="AG198" s="46"/>
      <c r="AM198" s="135"/>
      <c r="AN198" s="45"/>
      <c r="AO198" s="45"/>
      <c r="AP198" s="145"/>
      <c r="AQ198" s="146"/>
      <c r="AT198" s="146"/>
      <c r="AU198" s="146"/>
    </row>
    <row r="199" spans="1:47">
      <c r="A199" s="12"/>
      <c r="B199" s="12"/>
      <c r="C199" s="54"/>
      <c r="D199" s="54"/>
      <c r="E199" s="296" t="s">
        <v>4431</v>
      </c>
      <c r="F199" s="296" t="s">
        <v>4432</v>
      </c>
      <c r="G199" s="297"/>
      <c r="H199" s="298"/>
      <c r="I199" s="299">
        <v>-68990.235000000001</v>
      </c>
      <c r="J199" s="300">
        <v>49673</v>
      </c>
      <c r="K199" s="300">
        <v>20998</v>
      </c>
      <c r="L199" s="299">
        <f t="shared" si="18"/>
        <v>-40315.235000000001</v>
      </c>
      <c r="M199" s="2"/>
      <c r="N199" s="40"/>
      <c r="O199" s="2"/>
      <c r="P199" s="14"/>
      <c r="R199" s="16"/>
      <c r="S199" s="16"/>
      <c r="T199" s="8"/>
      <c r="U199" s="15"/>
      <c r="V199" s="15"/>
      <c r="W199" s="15"/>
      <c r="X199" s="17"/>
      <c r="Y199" s="47"/>
      <c r="Z199" s="51"/>
      <c r="AA199" s="17"/>
      <c r="AB199" s="17"/>
      <c r="AD199" s="12"/>
      <c r="AE199" s="12"/>
      <c r="AF199" s="45"/>
      <c r="AG199" s="46"/>
      <c r="AI199" s="306">
        <f>SUM(L191:L199)</f>
        <v>-2323511.1208500001</v>
      </c>
      <c r="AL199" s="306">
        <f>SUM(L201:L224)+SUM(L227:L391)</f>
        <v>-859003.56273999065</v>
      </c>
      <c r="AM199" s="135">
        <f>AI199+AL199</f>
        <v>-3182514.6835899907</v>
      </c>
      <c r="AN199" s="45"/>
      <c r="AO199" s="45"/>
      <c r="AP199" s="145"/>
      <c r="AQ199" s="146"/>
      <c r="AT199" s="146"/>
      <c r="AU199" s="146"/>
    </row>
    <row r="200" spans="1:47">
      <c r="A200" s="12"/>
      <c r="B200" s="12"/>
      <c r="C200" s="54"/>
      <c r="D200" s="54"/>
      <c r="E200" s="12"/>
      <c r="F200" s="12"/>
      <c r="I200" s="70"/>
      <c r="J200" s="2"/>
      <c r="K200" s="2"/>
      <c r="L200" s="70"/>
      <c r="M200" s="2"/>
      <c r="N200" s="40"/>
      <c r="O200" s="2"/>
      <c r="P200" s="14"/>
      <c r="R200" s="16"/>
      <c r="S200" s="16"/>
      <c r="T200" s="8"/>
      <c r="U200" s="15"/>
      <c r="V200" s="15"/>
      <c r="W200" s="15"/>
      <c r="X200" s="17"/>
      <c r="Y200" s="47"/>
      <c r="Z200" s="51"/>
      <c r="AA200" s="17"/>
      <c r="AB200" s="17"/>
      <c r="AD200" s="12"/>
      <c r="AE200" s="12"/>
      <c r="AF200" s="45"/>
      <c r="AG200" s="46"/>
      <c r="AM200" s="135"/>
      <c r="AN200" s="45"/>
      <c r="AO200" s="45"/>
      <c r="AP200" s="145"/>
      <c r="AQ200" s="146"/>
      <c r="AT200" s="146"/>
      <c r="AU200" s="146"/>
    </row>
    <row r="201" spans="1:47">
      <c r="A201" s="12"/>
      <c r="B201" s="12"/>
      <c r="C201" s="54"/>
      <c r="D201" s="54"/>
      <c r="E201" s="12" t="s">
        <v>1491</v>
      </c>
      <c r="F201" s="12" t="s">
        <v>1492</v>
      </c>
      <c r="I201" s="70">
        <v>-7020746.6830000002</v>
      </c>
      <c r="J201" s="2">
        <v>3154.12</v>
      </c>
      <c r="K201" s="2"/>
      <c r="L201" s="198">
        <f t="shared" si="18"/>
        <v>-7017592.5630000001</v>
      </c>
      <c r="M201" s="2"/>
      <c r="N201" s="40"/>
      <c r="O201" s="2"/>
      <c r="P201" s="14"/>
      <c r="R201" s="16"/>
      <c r="S201" s="16"/>
      <c r="T201" s="8"/>
      <c r="U201" s="15"/>
      <c r="V201" s="15"/>
      <c r="W201" s="15"/>
      <c r="X201" s="17"/>
      <c r="Y201" s="47"/>
      <c r="Z201" s="51"/>
      <c r="AA201" s="17"/>
      <c r="AB201" s="17"/>
      <c r="AD201" s="12"/>
      <c r="AE201" s="12"/>
      <c r="AF201" s="45"/>
      <c r="AG201" s="46"/>
      <c r="AM201" s="135"/>
      <c r="AN201" s="45"/>
      <c r="AO201" s="45"/>
      <c r="AP201" s="145"/>
      <c r="AQ201" s="146"/>
      <c r="AT201" s="146"/>
      <c r="AU201" s="146"/>
    </row>
    <row r="202" spans="1:47">
      <c r="A202" s="12"/>
      <c r="B202" s="12"/>
      <c r="C202" s="54"/>
      <c r="D202" s="54"/>
      <c r="E202" s="12" t="s">
        <v>4433</v>
      </c>
      <c r="F202" s="12" t="s">
        <v>4434</v>
      </c>
      <c r="I202" s="70">
        <v>0</v>
      </c>
      <c r="J202" s="2"/>
      <c r="K202" s="2"/>
      <c r="L202" s="70">
        <f t="shared" si="18"/>
        <v>0</v>
      </c>
      <c r="M202" s="2"/>
      <c r="N202" s="40"/>
      <c r="O202" s="2"/>
      <c r="P202" s="14"/>
      <c r="R202" s="16"/>
      <c r="S202" s="16"/>
      <c r="T202" s="8"/>
      <c r="U202" s="15"/>
      <c r="V202" s="15"/>
      <c r="W202" s="15"/>
      <c r="X202" s="17"/>
      <c r="Y202" s="47"/>
      <c r="Z202" s="51"/>
      <c r="AA202" s="17"/>
      <c r="AB202" s="17"/>
      <c r="AD202" s="12"/>
      <c r="AE202" s="12"/>
      <c r="AF202" s="45"/>
      <c r="AG202" s="46"/>
      <c r="AM202" s="135"/>
      <c r="AN202" s="45"/>
      <c r="AO202" s="45"/>
      <c r="AP202" s="145"/>
      <c r="AQ202" s="146"/>
      <c r="AT202" s="146"/>
      <c r="AU202" s="146"/>
    </row>
    <row r="203" spans="1:47">
      <c r="A203" s="12"/>
      <c r="B203" s="12"/>
      <c r="C203" s="54"/>
      <c r="D203" s="54"/>
      <c r="E203" s="12" t="s">
        <v>1493</v>
      </c>
      <c r="F203" s="12" t="s">
        <v>1494</v>
      </c>
      <c r="I203" s="70">
        <v>-113088.379</v>
      </c>
      <c r="J203" s="2"/>
      <c r="K203" s="2"/>
      <c r="L203" s="198">
        <f t="shared" ref="L203:L239" si="19">I203+J203-K203</f>
        <v>-113088.379</v>
      </c>
      <c r="M203" s="2"/>
      <c r="N203" s="40"/>
      <c r="O203" s="2"/>
      <c r="P203" s="14"/>
      <c r="R203" s="16"/>
      <c r="S203" s="16"/>
      <c r="T203" s="8"/>
      <c r="U203" s="15"/>
      <c r="V203" s="15"/>
      <c r="W203" s="15"/>
      <c r="X203" s="17"/>
      <c r="Y203" s="47"/>
      <c r="Z203" s="51"/>
      <c r="AA203" s="17"/>
      <c r="AB203" s="17"/>
      <c r="AD203" s="12"/>
      <c r="AE203" s="12"/>
      <c r="AF203" s="45"/>
      <c r="AG203" s="46"/>
      <c r="AM203" s="135"/>
      <c r="AN203" s="45"/>
      <c r="AO203" s="45"/>
      <c r="AP203" s="145"/>
      <c r="AQ203" s="146"/>
      <c r="AT203" s="146"/>
      <c r="AU203" s="146"/>
    </row>
    <row r="204" spans="1:47">
      <c r="A204" s="12"/>
      <c r="B204" s="12"/>
      <c r="C204" s="54"/>
      <c r="D204" s="54"/>
      <c r="E204" s="12" t="s">
        <v>4435</v>
      </c>
      <c r="F204" s="12" t="s">
        <v>1496</v>
      </c>
      <c r="I204" s="70">
        <v>-12809216.68</v>
      </c>
      <c r="J204" s="2">
        <v>3740.33</v>
      </c>
      <c r="K204" s="2"/>
      <c r="L204" s="198">
        <f t="shared" si="19"/>
        <v>-12805476.35</v>
      </c>
      <c r="M204" s="2"/>
      <c r="N204" s="40"/>
      <c r="O204" s="2"/>
      <c r="P204" s="14"/>
      <c r="R204" s="16"/>
      <c r="S204" s="16"/>
      <c r="T204" s="8"/>
      <c r="U204" s="15"/>
      <c r="V204" s="15"/>
      <c r="W204" s="15"/>
      <c r="X204" s="17"/>
      <c r="Y204" s="47"/>
      <c r="Z204" s="51"/>
      <c r="AA204" s="17"/>
      <c r="AB204" s="17"/>
      <c r="AD204" s="12"/>
      <c r="AE204" s="12"/>
      <c r="AF204" s="45"/>
      <c r="AG204" s="46"/>
      <c r="AM204" s="135"/>
      <c r="AN204" s="45"/>
      <c r="AO204" s="45"/>
      <c r="AP204" s="145"/>
      <c r="AQ204" s="146"/>
      <c r="AT204" s="146"/>
      <c r="AU204" s="146"/>
    </row>
    <row r="205" spans="1:47">
      <c r="A205" s="12"/>
      <c r="B205" s="12"/>
      <c r="C205" s="54"/>
      <c r="D205" s="54"/>
      <c r="E205" s="12" t="s">
        <v>4436</v>
      </c>
      <c r="F205" s="12" t="s">
        <v>4437</v>
      </c>
      <c r="I205" s="70">
        <v>0</v>
      </c>
      <c r="J205" s="2"/>
      <c r="K205" s="2"/>
      <c r="L205" s="70">
        <f t="shared" si="19"/>
        <v>0</v>
      </c>
      <c r="M205" s="2"/>
      <c r="N205" s="40"/>
      <c r="O205" s="2"/>
      <c r="P205" s="14"/>
      <c r="R205" s="16"/>
      <c r="S205" s="16"/>
      <c r="T205" s="8"/>
      <c r="U205" s="15"/>
      <c r="V205" s="15"/>
      <c r="W205" s="15"/>
      <c r="X205" s="17"/>
      <c r="Y205" s="47"/>
      <c r="Z205" s="51"/>
      <c r="AA205" s="17"/>
      <c r="AB205" s="17"/>
      <c r="AD205" s="12"/>
      <c r="AE205" s="12"/>
      <c r="AF205" s="45"/>
      <c r="AG205" s="46"/>
      <c r="AM205" s="135"/>
      <c r="AN205" s="45"/>
      <c r="AO205" s="45"/>
      <c r="AP205" s="145"/>
      <c r="AQ205" s="146"/>
      <c r="AT205" s="146"/>
      <c r="AU205" s="146"/>
    </row>
    <row r="206" spans="1:47">
      <c r="A206" s="12"/>
      <c r="B206" s="12"/>
      <c r="C206" s="54"/>
      <c r="D206" s="54"/>
      <c r="E206" s="12" t="s">
        <v>4438</v>
      </c>
      <c r="F206" s="12" t="s">
        <v>4439</v>
      </c>
      <c r="I206" s="70">
        <v>0</v>
      </c>
      <c r="J206" s="2"/>
      <c r="K206" s="2"/>
      <c r="L206" s="70">
        <f t="shared" si="19"/>
        <v>0</v>
      </c>
      <c r="M206" s="2"/>
      <c r="N206" s="40"/>
      <c r="O206" s="2"/>
      <c r="P206" s="14"/>
      <c r="R206" s="16"/>
      <c r="S206" s="16"/>
      <c r="T206" s="8"/>
      <c r="U206" s="15"/>
      <c r="V206" s="15"/>
      <c r="W206" s="15"/>
      <c r="X206" s="17"/>
      <c r="Y206" s="47"/>
      <c r="Z206" s="51"/>
      <c r="AA206" s="17"/>
      <c r="AB206" s="17"/>
      <c r="AD206" s="12"/>
      <c r="AE206" s="12"/>
      <c r="AF206" s="45"/>
      <c r="AG206" s="46"/>
      <c r="AM206" s="135"/>
      <c r="AN206" s="45"/>
      <c r="AO206" s="45"/>
      <c r="AP206" s="145"/>
      <c r="AQ206" s="146"/>
      <c r="AT206" s="146"/>
      <c r="AU206" s="146"/>
    </row>
    <row r="207" spans="1:47">
      <c r="A207" s="12"/>
      <c r="B207" s="12"/>
      <c r="C207" s="54"/>
      <c r="D207" s="54"/>
      <c r="E207" s="12" t="s">
        <v>1497</v>
      </c>
      <c r="F207" s="12" t="s">
        <v>1498</v>
      </c>
      <c r="I207" s="70">
        <v>-6962256.7280000001</v>
      </c>
      <c r="J207" s="2">
        <v>416.43200000000002</v>
      </c>
      <c r="K207" s="2"/>
      <c r="L207" s="198">
        <f t="shared" si="19"/>
        <v>-6961840.2960000001</v>
      </c>
      <c r="M207" s="2"/>
      <c r="N207" s="40"/>
      <c r="O207" s="2"/>
      <c r="P207" s="14"/>
      <c r="R207" s="16"/>
      <c r="S207" s="16"/>
      <c r="T207" s="8"/>
      <c r="U207" s="15"/>
      <c r="V207" s="15"/>
      <c r="W207" s="15"/>
      <c r="X207" s="17"/>
      <c r="Y207" s="47"/>
      <c r="Z207" s="51"/>
      <c r="AA207" s="17"/>
      <c r="AB207" s="17"/>
      <c r="AD207" s="12"/>
      <c r="AE207" s="12"/>
      <c r="AF207" s="45"/>
      <c r="AG207" s="46"/>
      <c r="AM207" s="135"/>
      <c r="AN207" s="45"/>
      <c r="AO207" s="45"/>
      <c r="AP207" s="145"/>
      <c r="AQ207" s="146"/>
      <c r="AT207" s="146"/>
      <c r="AU207" s="146"/>
    </row>
    <row r="208" spans="1:47">
      <c r="A208" s="12"/>
      <c r="B208" s="12"/>
      <c r="C208" s="54"/>
      <c r="D208" s="54"/>
      <c r="E208" s="12" t="s">
        <v>1501</v>
      </c>
      <c r="F208" s="12" t="s">
        <v>1502</v>
      </c>
      <c r="I208" s="70">
        <v>-439605.511</v>
      </c>
      <c r="J208" s="2">
        <v>232.35499999999999</v>
      </c>
      <c r="K208" s="2"/>
      <c r="L208" s="198">
        <f t="shared" si="19"/>
        <v>-439373.15600000002</v>
      </c>
      <c r="M208" s="2"/>
      <c r="N208" s="40"/>
      <c r="O208" s="2"/>
      <c r="P208" s="14"/>
      <c r="R208" s="16"/>
      <c r="S208" s="16"/>
      <c r="T208" s="8"/>
      <c r="U208" s="15"/>
      <c r="V208" s="15"/>
      <c r="W208" s="15"/>
      <c r="X208" s="17"/>
      <c r="Y208" s="47"/>
      <c r="Z208" s="51"/>
      <c r="AA208" s="17"/>
      <c r="AB208" s="17"/>
      <c r="AD208" s="12"/>
      <c r="AE208" s="12"/>
      <c r="AF208" s="45"/>
      <c r="AG208" s="46"/>
      <c r="AM208" s="135"/>
      <c r="AN208" s="45"/>
      <c r="AO208" s="45"/>
      <c r="AP208" s="145"/>
      <c r="AQ208" s="146"/>
      <c r="AT208" s="146"/>
      <c r="AU208" s="146"/>
    </row>
    <row r="209" spans="1:47">
      <c r="A209" s="12"/>
      <c r="B209" s="12"/>
      <c r="C209" s="54"/>
      <c r="D209" s="54"/>
      <c r="E209" s="12" t="s">
        <v>4440</v>
      </c>
      <c r="F209" s="12" t="s">
        <v>4441</v>
      </c>
      <c r="I209" s="70">
        <v>0</v>
      </c>
      <c r="J209" s="2"/>
      <c r="K209" s="2"/>
      <c r="L209" s="70">
        <f t="shared" si="19"/>
        <v>0</v>
      </c>
      <c r="M209" s="2"/>
      <c r="N209" s="40"/>
      <c r="O209" s="2"/>
      <c r="P209" s="14"/>
      <c r="R209" s="16"/>
      <c r="S209" s="16"/>
      <c r="T209" s="8"/>
      <c r="U209" s="15"/>
      <c r="V209" s="15"/>
      <c r="W209" s="15"/>
      <c r="X209" s="17"/>
      <c r="Y209" s="47"/>
      <c r="Z209" s="51"/>
      <c r="AA209" s="17"/>
      <c r="AB209" s="17"/>
      <c r="AD209" s="12"/>
      <c r="AE209" s="12"/>
      <c r="AF209" s="45"/>
      <c r="AG209" s="46"/>
      <c r="AM209" s="135"/>
      <c r="AN209" s="45"/>
      <c r="AO209" s="45"/>
      <c r="AP209" s="145"/>
      <c r="AQ209" s="146"/>
      <c r="AT209" s="146"/>
      <c r="AU209" s="146"/>
    </row>
    <row r="210" spans="1:47">
      <c r="A210" s="12"/>
      <c r="B210" s="12"/>
      <c r="C210" s="54"/>
      <c r="D210" s="54"/>
      <c r="E210" s="12" t="s">
        <v>1517</v>
      </c>
      <c r="F210" s="12" t="s">
        <v>1518</v>
      </c>
      <c r="I210" s="70">
        <v>-42242.614999999998</v>
      </c>
      <c r="J210" s="2">
        <v>97.004999999999995</v>
      </c>
      <c r="K210" s="2">
        <v>22543.16</v>
      </c>
      <c r="L210" s="198">
        <f t="shared" si="19"/>
        <v>-64688.770000000004</v>
      </c>
      <c r="M210" s="2"/>
      <c r="N210" s="40"/>
      <c r="O210" s="2"/>
      <c r="P210" s="14"/>
      <c r="R210" s="16"/>
      <c r="S210" s="16"/>
      <c r="T210" s="8"/>
      <c r="U210" s="15"/>
      <c r="V210" s="15"/>
      <c r="W210" s="15"/>
      <c r="X210" s="17"/>
      <c r="Y210" s="47"/>
      <c r="Z210" s="51"/>
      <c r="AA210" s="17"/>
      <c r="AB210" s="17"/>
      <c r="AD210" s="12"/>
      <c r="AE210" s="12"/>
      <c r="AF210" s="45"/>
      <c r="AG210" s="46"/>
      <c r="AM210" s="135"/>
      <c r="AN210" s="45"/>
      <c r="AO210" s="45"/>
      <c r="AP210" s="145"/>
      <c r="AQ210" s="146"/>
      <c r="AT210" s="146"/>
      <c r="AU210" s="146"/>
    </row>
    <row r="211" spans="1:47">
      <c r="A211" s="12"/>
      <c r="B211" s="12"/>
      <c r="C211" s="54"/>
      <c r="D211" s="54"/>
      <c r="E211" s="12" t="s">
        <v>4442</v>
      </c>
      <c r="F211" s="12" t="s">
        <v>4443</v>
      </c>
      <c r="I211" s="70">
        <v>0</v>
      </c>
      <c r="J211" s="2"/>
      <c r="K211" s="2"/>
      <c r="L211" s="70">
        <f t="shared" si="19"/>
        <v>0</v>
      </c>
      <c r="M211" s="2"/>
      <c r="N211" s="40"/>
      <c r="O211" s="2"/>
      <c r="P211" s="14"/>
      <c r="R211" s="16"/>
      <c r="S211" s="16"/>
      <c r="T211" s="8"/>
      <c r="U211" s="15"/>
      <c r="V211" s="15"/>
      <c r="W211" s="15"/>
      <c r="X211" s="17"/>
      <c r="Y211" s="47"/>
      <c r="Z211" s="51"/>
      <c r="AA211" s="17"/>
      <c r="AB211" s="17"/>
      <c r="AD211" s="12"/>
      <c r="AE211" s="12"/>
      <c r="AF211" s="45"/>
      <c r="AG211" s="46"/>
      <c r="AM211" s="135"/>
      <c r="AN211" s="45"/>
      <c r="AO211" s="45"/>
      <c r="AP211" s="145"/>
      <c r="AQ211" s="146"/>
      <c r="AT211" s="146"/>
      <c r="AU211" s="146"/>
    </row>
    <row r="212" spans="1:47">
      <c r="A212" s="12"/>
      <c r="B212" s="12"/>
      <c r="C212" s="54"/>
      <c r="D212" s="54"/>
      <c r="E212" s="12" t="s">
        <v>1523</v>
      </c>
      <c r="F212" s="12" t="s">
        <v>1524</v>
      </c>
      <c r="I212" s="70">
        <v>-259603.34</v>
      </c>
      <c r="J212" s="2"/>
      <c r="K212" s="2"/>
      <c r="L212" s="198">
        <f t="shared" si="19"/>
        <v>-259603.34</v>
      </c>
      <c r="M212" s="2"/>
      <c r="N212" s="40"/>
      <c r="O212" s="2"/>
      <c r="P212" s="14"/>
      <c r="R212" s="16"/>
      <c r="S212" s="16"/>
      <c r="T212" s="8"/>
      <c r="U212" s="15"/>
      <c r="V212" s="15"/>
      <c r="W212" s="15"/>
      <c r="X212" s="17"/>
      <c r="Y212" s="47"/>
      <c r="Z212" s="51"/>
      <c r="AA212" s="17"/>
      <c r="AB212" s="17"/>
      <c r="AD212" s="12"/>
      <c r="AE212" s="12"/>
      <c r="AF212" s="45"/>
      <c r="AG212" s="46"/>
      <c r="AM212" s="135"/>
      <c r="AN212" s="45"/>
      <c r="AO212" s="45"/>
      <c r="AP212" s="145"/>
      <c r="AQ212" s="146"/>
      <c r="AT212" s="146"/>
      <c r="AU212" s="146"/>
    </row>
    <row r="213" spans="1:47">
      <c r="A213" s="12"/>
      <c r="B213" s="12"/>
      <c r="C213" s="54"/>
      <c r="D213" s="54"/>
      <c r="E213" s="12" t="s">
        <v>1529</v>
      </c>
      <c r="F213" s="12" t="s">
        <v>1530</v>
      </c>
      <c r="I213" s="70">
        <v>-1840.335</v>
      </c>
      <c r="J213" s="2"/>
      <c r="K213" s="2"/>
      <c r="L213" s="70">
        <f t="shared" si="19"/>
        <v>-1840.335</v>
      </c>
      <c r="M213" s="2"/>
      <c r="N213" s="40"/>
      <c r="O213" s="2"/>
      <c r="P213" s="14"/>
      <c r="R213" s="16"/>
      <c r="S213" s="16"/>
      <c r="T213" s="8"/>
      <c r="U213" s="15"/>
      <c r="V213" s="15"/>
      <c r="W213" s="15"/>
      <c r="X213" s="17"/>
      <c r="Y213" s="47"/>
      <c r="Z213" s="51"/>
      <c r="AA213" s="17"/>
      <c r="AB213" s="17"/>
      <c r="AD213" s="12"/>
      <c r="AE213" s="12"/>
      <c r="AF213" s="45"/>
      <c r="AG213" s="46"/>
      <c r="AM213" s="135"/>
      <c r="AN213" s="45"/>
      <c r="AO213" s="45"/>
      <c r="AP213" s="145"/>
      <c r="AQ213" s="146"/>
      <c r="AT213" s="146"/>
      <c r="AU213" s="146"/>
    </row>
    <row r="214" spans="1:47">
      <c r="A214" s="12"/>
      <c r="B214" s="12"/>
      <c r="C214" s="54"/>
      <c r="D214" s="54"/>
      <c r="E214" s="12" t="s">
        <v>1531</v>
      </c>
      <c r="F214" s="12" t="s">
        <v>1532</v>
      </c>
      <c r="I214" s="70">
        <v>-4400</v>
      </c>
      <c r="J214" s="2"/>
      <c r="K214" s="2"/>
      <c r="L214" s="70">
        <f t="shared" si="19"/>
        <v>-4400</v>
      </c>
      <c r="M214" s="2"/>
      <c r="N214" s="40"/>
      <c r="O214" s="2"/>
      <c r="P214" s="14"/>
      <c r="R214" s="16"/>
      <c r="S214" s="16"/>
      <c r="T214" s="8"/>
      <c r="U214" s="15"/>
      <c r="V214" s="15"/>
      <c r="W214" s="15"/>
      <c r="X214" s="17"/>
      <c r="Y214" s="47"/>
      <c r="Z214" s="51"/>
      <c r="AA214" s="17"/>
      <c r="AB214" s="17"/>
      <c r="AD214" s="12"/>
      <c r="AE214" s="12"/>
      <c r="AF214" s="45"/>
      <c r="AG214" s="46"/>
      <c r="AM214" s="135"/>
      <c r="AN214" s="45"/>
      <c r="AO214" s="45"/>
      <c r="AP214" s="145"/>
      <c r="AQ214" s="146"/>
      <c r="AT214" s="146"/>
      <c r="AU214" s="146"/>
    </row>
    <row r="215" spans="1:47">
      <c r="A215" s="12"/>
      <c r="B215" s="12"/>
      <c r="C215" s="54"/>
      <c r="D215" s="54"/>
      <c r="E215" s="12" t="s">
        <v>1537</v>
      </c>
      <c r="F215" s="12" t="s">
        <v>1538</v>
      </c>
      <c r="I215" s="70">
        <v>-1450146.76</v>
      </c>
      <c r="J215" s="2">
        <v>61592.923999999999</v>
      </c>
      <c r="K215" s="2"/>
      <c r="L215" s="198">
        <f t="shared" si="19"/>
        <v>-1388553.8360000001</v>
      </c>
      <c r="M215" s="2"/>
      <c r="N215" s="40"/>
      <c r="O215" s="2"/>
      <c r="P215" s="14"/>
      <c r="R215" s="16"/>
      <c r="S215" s="16"/>
      <c r="T215" s="8"/>
      <c r="U215" s="15"/>
      <c r="V215" s="15"/>
      <c r="W215" s="15"/>
      <c r="X215" s="17"/>
      <c r="Y215" s="47"/>
      <c r="Z215" s="51"/>
      <c r="AA215" s="17"/>
      <c r="AB215" s="17"/>
      <c r="AD215" s="12"/>
      <c r="AE215" s="12"/>
      <c r="AF215" s="45"/>
      <c r="AG215" s="46"/>
      <c r="AM215" s="135"/>
      <c r="AN215" s="45"/>
      <c r="AO215" s="45"/>
      <c r="AP215" s="145"/>
      <c r="AQ215" s="146"/>
      <c r="AT215" s="146"/>
      <c r="AU215" s="146"/>
    </row>
    <row r="216" spans="1:47">
      <c r="A216" s="12"/>
      <c r="B216" s="12"/>
      <c r="C216" s="54"/>
      <c r="D216" s="54"/>
      <c r="E216" s="12" t="s">
        <v>1539</v>
      </c>
      <c r="F216" s="12" t="s">
        <v>4444</v>
      </c>
      <c r="I216" s="70">
        <v>-1206543.594</v>
      </c>
      <c r="J216" s="2"/>
      <c r="K216" s="2"/>
      <c r="L216" s="198">
        <f t="shared" si="19"/>
        <v>-1206543.594</v>
      </c>
      <c r="M216" s="2"/>
      <c r="N216" s="40"/>
      <c r="O216" s="2"/>
      <c r="P216" s="14"/>
      <c r="R216" s="16"/>
      <c r="S216" s="16"/>
      <c r="T216" s="8"/>
      <c r="U216" s="15"/>
      <c r="V216" s="15"/>
      <c r="W216" s="15"/>
      <c r="X216" s="17"/>
      <c r="Y216" s="47"/>
      <c r="Z216" s="51"/>
      <c r="AA216" s="17"/>
      <c r="AB216" s="17"/>
      <c r="AD216" s="12"/>
      <c r="AE216" s="12"/>
      <c r="AF216" s="45"/>
      <c r="AG216" s="46"/>
      <c r="AM216" s="135"/>
      <c r="AN216" s="45"/>
      <c r="AO216" s="45"/>
      <c r="AP216" s="145"/>
      <c r="AQ216" s="146"/>
      <c r="AT216" s="146"/>
      <c r="AU216" s="146"/>
    </row>
    <row r="217" spans="1:47">
      <c r="A217" s="12"/>
      <c r="B217" s="12"/>
      <c r="C217" s="54"/>
      <c r="D217" s="54"/>
      <c r="E217" s="12" t="s">
        <v>1554</v>
      </c>
      <c r="F217" s="12" t="s">
        <v>1555</v>
      </c>
      <c r="I217" s="70">
        <v>-1914791.291</v>
      </c>
      <c r="J217" s="2"/>
      <c r="K217" s="2"/>
      <c r="L217" s="198">
        <f t="shared" si="19"/>
        <v>-1914791.291</v>
      </c>
      <c r="M217" s="2"/>
      <c r="N217" s="40"/>
      <c r="O217" s="2"/>
      <c r="P217" s="14"/>
      <c r="R217" s="16"/>
      <c r="S217" s="16"/>
      <c r="T217" s="8"/>
      <c r="U217" s="15"/>
      <c r="V217" s="15"/>
      <c r="W217" s="15"/>
      <c r="X217" s="17"/>
      <c r="Y217" s="47"/>
      <c r="Z217" s="51"/>
      <c r="AA217" s="17"/>
      <c r="AB217" s="17"/>
      <c r="AD217" s="12"/>
      <c r="AE217" s="12"/>
      <c r="AF217" s="45"/>
      <c r="AG217" s="46"/>
      <c r="AM217" s="135"/>
      <c r="AN217" s="45"/>
      <c r="AO217" s="45"/>
      <c r="AP217" s="145"/>
      <c r="AQ217" s="146"/>
      <c r="AT217" s="146"/>
      <c r="AU217" s="146"/>
    </row>
    <row r="218" spans="1:47">
      <c r="A218" s="12"/>
      <c r="B218" s="12"/>
      <c r="C218" s="54"/>
      <c r="D218" s="54"/>
      <c r="E218" s="12" t="s">
        <v>1556</v>
      </c>
      <c r="F218" s="12" t="s">
        <v>4445</v>
      </c>
      <c r="I218" s="70">
        <v>0</v>
      </c>
      <c r="J218" s="2"/>
      <c r="K218" s="2"/>
      <c r="L218" s="70">
        <f t="shared" si="19"/>
        <v>0</v>
      </c>
      <c r="M218" s="2"/>
      <c r="N218" s="40"/>
      <c r="O218" s="2"/>
      <c r="P218" s="14"/>
      <c r="R218" s="16"/>
      <c r="S218" s="16"/>
      <c r="T218" s="8"/>
      <c r="U218" s="15"/>
      <c r="V218" s="15"/>
      <c r="W218" s="15"/>
      <c r="X218" s="17"/>
      <c r="Y218" s="47"/>
      <c r="Z218" s="51"/>
      <c r="AA218" s="17"/>
      <c r="AB218" s="17"/>
      <c r="AD218" s="12"/>
      <c r="AE218" s="12"/>
      <c r="AF218" s="45"/>
      <c r="AG218" s="46"/>
      <c r="AM218" s="135"/>
      <c r="AN218" s="45"/>
      <c r="AO218" s="45"/>
      <c r="AP218" s="145"/>
      <c r="AQ218" s="146"/>
      <c r="AT218" s="146"/>
      <c r="AU218" s="146"/>
    </row>
    <row r="219" spans="1:47">
      <c r="A219" s="12"/>
      <c r="B219" s="12"/>
      <c r="C219" s="54"/>
      <c r="D219" s="54"/>
      <c r="E219" s="12" t="s">
        <v>1562</v>
      </c>
      <c r="F219" s="12" t="s">
        <v>1563</v>
      </c>
      <c r="I219" s="70">
        <v>-171281.96</v>
      </c>
      <c r="J219" s="2"/>
      <c r="K219" s="2"/>
      <c r="L219" s="70">
        <f t="shared" si="19"/>
        <v>-171281.96</v>
      </c>
      <c r="M219" s="2"/>
      <c r="N219" s="40"/>
      <c r="O219" s="2"/>
      <c r="P219" s="14"/>
      <c r="R219" s="16"/>
      <c r="S219" s="16"/>
      <c r="T219" s="8"/>
      <c r="U219" s="15"/>
      <c r="V219" s="15"/>
      <c r="W219" s="15"/>
      <c r="X219" s="17"/>
      <c r="Y219" s="47"/>
      <c r="Z219" s="51"/>
      <c r="AA219" s="17"/>
      <c r="AB219" s="17"/>
      <c r="AD219" s="12"/>
      <c r="AE219" s="12"/>
      <c r="AF219" s="45"/>
      <c r="AG219" s="46"/>
      <c r="AM219" s="135"/>
      <c r="AN219" s="45"/>
      <c r="AO219" s="45"/>
      <c r="AP219" s="145"/>
      <c r="AQ219" s="146"/>
      <c r="AT219" s="146"/>
      <c r="AU219" s="146"/>
    </row>
    <row r="220" spans="1:47">
      <c r="A220" s="12"/>
      <c r="B220" s="12"/>
      <c r="C220" s="54"/>
      <c r="D220" s="54"/>
      <c r="E220" s="12" t="s">
        <v>1572</v>
      </c>
      <c r="F220" s="12" t="s">
        <v>1571</v>
      </c>
      <c r="I220" s="70">
        <v>-14272.42</v>
      </c>
      <c r="J220" s="2">
        <v>5188.2370000000001</v>
      </c>
      <c r="K220" s="2"/>
      <c r="L220" s="70">
        <f t="shared" si="19"/>
        <v>-9084.1830000000009</v>
      </c>
      <c r="M220" s="2"/>
      <c r="N220" s="40"/>
      <c r="O220" s="2"/>
      <c r="P220" s="14"/>
      <c r="R220" s="16"/>
      <c r="S220" s="16"/>
      <c r="T220" s="8"/>
      <c r="U220" s="15"/>
      <c r="V220" s="15"/>
      <c r="W220" s="15"/>
      <c r="X220" s="17"/>
      <c r="Y220" s="47"/>
      <c r="Z220" s="51"/>
      <c r="AA220" s="17"/>
      <c r="AB220" s="17"/>
      <c r="AD220" s="12"/>
      <c r="AE220" s="12"/>
      <c r="AF220" s="45"/>
      <c r="AG220" s="46"/>
      <c r="AM220" s="135"/>
      <c r="AN220" s="45"/>
      <c r="AO220" s="45"/>
      <c r="AP220" s="145"/>
      <c r="AQ220" s="146"/>
      <c r="AT220" s="146"/>
      <c r="AU220" s="146"/>
    </row>
    <row r="221" spans="1:47">
      <c r="A221" s="12"/>
      <c r="B221" s="12"/>
      <c r="C221" s="54"/>
      <c r="D221" s="54"/>
      <c r="E221" s="12" t="s">
        <v>4446</v>
      </c>
      <c r="F221" s="12" t="s">
        <v>4447</v>
      </c>
      <c r="I221" s="70">
        <v>0</v>
      </c>
      <c r="J221" s="2"/>
      <c r="K221" s="2"/>
      <c r="L221" s="70">
        <f t="shared" si="19"/>
        <v>0</v>
      </c>
      <c r="M221" s="2"/>
      <c r="N221" s="40"/>
      <c r="O221" s="2"/>
      <c r="P221" s="14"/>
      <c r="R221" s="16"/>
      <c r="S221" s="16"/>
      <c r="T221" s="8"/>
      <c r="U221" s="15"/>
      <c r="V221" s="15"/>
      <c r="W221" s="15"/>
      <c r="X221" s="17"/>
      <c r="Y221" s="47"/>
      <c r="Z221" s="51"/>
      <c r="AA221" s="17"/>
      <c r="AB221" s="17"/>
      <c r="AD221" s="12"/>
      <c r="AE221" s="12"/>
      <c r="AF221" s="45"/>
      <c r="AG221" s="46"/>
      <c r="AM221" s="135"/>
      <c r="AN221" s="45"/>
      <c r="AO221" s="45"/>
      <c r="AP221" s="145"/>
      <c r="AQ221" s="146"/>
      <c r="AT221" s="146"/>
      <c r="AU221" s="146"/>
    </row>
    <row r="222" spans="1:47">
      <c r="A222" s="12"/>
      <c r="B222" s="12"/>
      <c r="C222" s="54"/>
      <c r="D222" s="54"/>
      <c r="E222" s="12" t="s">
        <v>1575</v>
      </c>
      <c r="F222" s="12" t="s">
        <v>1576</v>
      </c>
      <c r="I222" s="70">
        <v>-188.256</v>
      </c>
      <c r="J222" s="2"/>
      <c r="K222" s="2"/>
      <c r="L222" s="70">
        <f t="shared" si="19"/>
        <v>-188.256</v>
      </c>
      <c r="M222" s="2"/>
      <c r="N222" s="40"/>
      <c r="O222" s="2"/>
      <c r="P222" s="14"/>
      <c r="R222" s="16"/>
      <c r="S222" s="16"/>
      <c r="T222" s="8"/>
      <c r="U222" s="15"/>
      <c r="V222" s="15"/>
      <c r="W222" s="15"/>
      <c r="X222" s="17"/>
      <c r="Y222" s="47"/>
      <c r="Z222" s="51"/>
      <c r="AA222" s="17"/>
      <c r="AB222" s="17"/>
      <c r="AD222" s="12"/>
      <c r="AE222" s="12"/>
      <c r="AF222" s="45"/>
      <c r="AG222" s="46"/>
      <c r="AM222" s="135"/>
      <c r="AN222" s="45"/>
      <c r="AO222" s="45"/>
      <c r="AP222" s="145"/>
      <c r="AQ222" s="146"/>
      <c r="AT222" s="146"/>
      <c r="AU222" s="146"/>
    </row>
    <row r="223" spans="1:47">
      <c r="A223" s="12"/>
      <c r="B223" s="12"/>
      <c r="C223" s="54"/>
      <c r="D223" s="54"/>
      <c r="E223" s="12" t="s">
        <v>4448</v>
      </c>
      <c r="F223" s="12">
        <v>0</v>
      </c>
      <c r="I223" s="70">
        <v>0</v>
      </c>
      <c r="J223" s="2"/>
      <c r="K223" s="2"/>
      <c r="L223" s="70">
        <f t="shared" si="19"/>
        <v>0</v>
      </c>
      <c r="M223" s="2"/>
      <c r="N223" s="40"/>
      <c r="O223" s="2"/>
      <c r="P223" s="14"/>
      <c r="R223" s="16"/>
      <c r="S223" s="16"/>
      <c r="T223" s="8"/>
      <c r="U223" s="15"/>
      <c r="V223" s="15"/>
      <c r="W223" s="15"/>
      <c r="X223" s="17"/>
      <c r="Y223" s="47"/>
      <c r="Z223" s="51"/>
      <c r="AA223" s="17"/>
      <c r="AB223" s="17"/>
      <c r="AD223" s="12"/>
      <c r="AE223" s="12"/>
      <c r="AF223" s="45"/>
      <c r="AG223" s="46"/>
      <c r="AM223" s="135"/>
      <c r="AN223" s="45"/>
      <c r="AO223" s="45"/>
      <c r="AP223" s="145"/>
      <c r="AQ223" s="146"/>
      <c r="AT223" s="146"/>
      <c r="AU223" s="146"/>
    </row>
    <row r="224" spans="1:47">
      <c r="A224" s="12"/>
      <c r="B224" s="12"/>
      <c r="C224" s="54"/>
      <c r="D224" s="54"/>
      <c r="E224" s="12" t="s">
        <v>1577</v>
      </c>
      <c r="F224" s="12" t="s">
        <v>1574</v>
      </c>
      <c r="I224" s="70">
        <v>-16131.099</v>
      </c>
      <c r="J224" s="2"/>
      <c r="K224" s="2"/>
      <c r="L224" s="70">
        <f t="shared" si="19"/>
        <v>-16131.099</v>
      </c>
      <c r="M224" s="2"/>
      <c r="N224" s="40"/>
      <c r="O224" s="2"/>
      <c r="P224" s="14"/>
      <c r="R224" s="16"/>
      <c r="S224" s="16"/>
      <c r="T224" s="8"/>
      <c r="U224" s="15"/>
      <c r="V224" s="15"/>
      <c r="W224" s="15"/>
      <c r="X224" s="17"/>
      <c r="Y224" s="47"/>
      <c r="Z224" s="51"/>
      <c r="AA224" s="17"/>
      <c r="AB224" s="17"/>
      <c r="AD224" s="12"/>
      <c r="AE224" s="12"/>
      <c r="AF224" s="45"/>
      <c r="AG224" s="46"/>
      <c r="AM224" s="135"/>
      <c r="AN224" s="45"/>
      <c r="AO224" s="45"/>
      <c r="AP224" s="145"/>
      <c r="AQ224" s="146"/>
      <c r="AT224" s="146"/>
      <c r="AU224" s="146"/>
    </row>
    <row r="225" spans="1:47">
      <c r="A225" s="12"/>
      <c r="B225" s="12"/>
      <c r="C225" s="54"/>
      <c r="D225" s="54"/>
      <c r="E225" s="12"/>
      <c r="F225" s="12"/>
      <c r="I225" s="70"/>
      <c r="J225" s="2"/>
      <c r="K225" s="2"/>
      <c r="L225" s="70"/>
      <c r="M225" s="2"/>
      <c r="N225" s="40"/>
      <c r="O225" s="2"/>
      <c r="P225" s="14"/>
      <c r="R225" s="16"/>
      <c r="S225" s="16"/>
      <c r="T225" s="8"/>
      <c r="U225" s="15"/>
      <c r="V225" s="15"/>
      <c r="W225" s="15"/>
      <c r="X225" s="17"/>
      <c r="Y225" s="47"/>
      <c r="Z225" s="51"/>
      <c r="AA225" s="17"/>
      <c r="AB225" s="17"/>
      <c r="AD225" s="12"/>
      <c r="AE225" s="12"/>
      <c r="AF225" s="45"/>
      <c r="AG225" s="46"/>
      <c r="AM225" s="135"/>
      <c r="AN225" s="45"/>
      <c r="AO225" s="45"/>
      <c r="AP225" s="145"/>
      <c r="AQ225" s="146"/>
      <c r="AT225" s="146"/>
      <c r="AU225" s="146"/>
    </row>
    <row r="226" spans="1:47">
      <c r="A226" s="12"/>
      <c r="B226" s="12"/>
      <c r="C226" s="54"/>
      <c r="D226" s="54"/>
      <c r="E226" s="12"/>
      <c r="F226" s="12"/>
      <c r="I226" s="70"/>
      <c r="J226" s="2"/>
      <c r="K226" s="2"/>
      <c r="L226" s="70"/>
      <c r="M226" s="2"/>
      <c r="N226" s="40"/>
      <c r="O226" s="2"/>
      <c r="P226" s="14"/>
      <c r="R226" s="16"/>
      <c r="S226" s="16"/>
      <c r="T226" s="8"/>
      <c r="U226" s="15"/>
      <c r="V226" s="15"/>
      <c r="W226" s="15"/>
      <c r="X226" s="17"/>
      <c r="Y226" s="47"/>
      <c r="Z226" s="51"/>
      <c r="AA226" s="17"/>
      <c r="AB226" s="17"/>
      <c r="AD226" s="12"/>
      <c r="AE226" s="12"/>
      <c r="AF226" s="45"/>
      <c r="AG226" s="46"/>
      <c r="AM226" s="135"/>
      <c r="AN226" s="45"/>
      <c r="AO226" s="45"/>
      <c r="AP226" s="145"/>
      <c r="AQ226" s="146"/>
      <c r="AT226" s="146"/>
      <c r="AU226" s="146"/>
    </row>
    <row r="227" spans="1:47">
      <c r="A227" s="12"/>
      <c r="B227" s="12"/>
      <c r="C227" s="54"/>
      <c r="D227" s="54"/>
      <c r="E227" s="12" t="s">
        <v>1583</v>
      </c>
      <c r="F227" s="12" t="s">
        <v>1584</v>
      </c>
      <c r="I227" s="70">
        <v>7373.9660000000003</v>
      </c>
      <c r="J227" s="2"/>
      <c r="K227" s="2"/>
      <c r="L227" s="198">
        <f t="shared" si="19"/>
        <v>7373.9660000000003</v>
      </c>
      <c r="M227" s="2"/>
      <c r="N227" s="40"/>
      <c r="O227" s="2"/>
      <c r="P227" s="14"/>
      <c r="R227" s="16"/>
      <c r="S227" s="16"/>
      <c r="T227" s="8"/>
      <c r="U227" s="15"/>
      <c r="V227" s="15"/>
      <c r="W227" s="15"/>
      <c r="X227" s="17"/>
      <c r="Y227" s="47"/>
      <c r="Z227" s="51"/>
      <c r="AA227" s="17"/>
      <c r="AB227" s="17"/>
      <c r="AD227" s="12"/>
      <c r="AE227" s="12"/>
      <c r="AF227" s="45"/>
      <c r="AG227" s="46"/>
      <c r="AM227" s="135"/>
      <c r="AN227" s="45"/>
      <c r="AO227" s="45"/>
      <c r="AP227" s="145"/>
      <c r="AQ227" s="146"/>
      <c r="AT227" s="146"/>
      <c r="AU227" s="146"/>
    </row>
    <row r="228" spans="1:47">
      <c r="A228" s="12"/>
      <c r="B228" s="12"/>
      <c r="C228" s="54"/>
      <c r="D228" s="54"/>
      <c r="E228" s="12" t="s">
        <v>4449</v>
      </c>
      <c r="F228" s="12" t="s">
        <v>4450</v>
      </c>
      <c r="I228" s="70">
        <v>0</v>
      </c>
      <c r="J228" s="2"/>
      <c r="K228" s="2"/>
      <c r="L228" s="198">
        <f t="shared" si="19"/>
        <v>0</v>
      </c>
      <c r="M228" s="2"/>
      <c r="N228" s="40"/>
      <c r="O228" s="2"/>
      <c r="P228" s="14"/>
      <c r="R228" s="16"/>
      <c r="S228" s="16"/>
      <c r="T228" s="8"/>
      <c r="U228" s="15"/>
      <c r="V228" s="15"/>
      <c r="W228" s="15"/>
      <c r="X228" s="17"/>
      <c r="Y228" s="47"/>
      <c r="Z228" s="51"/>
      <c r="AA228" s="17"/>
      <c r="AB228" s="17"/>
      <c r="AD228" s="12"/>
      <c r="AE228" s="12"/>
      <c r="AF228" s="45"/>
      <c r="AG228" s="46"/>
      <c r="AM228" s="135"/>
      <c r="AN228" s="45"/>
      <c r="AO228" s="45"/>
      <c r="AP228" s="145"/>
      <c r="AQ228" s="146"/>
      <c r="AT228" s="146"/>
      <c r="AU228" s="146"/>
    </row>
    <row r="229" spans="1:47">
      <c r="A229" s="12"/>
      <c r="B229" s="12"/>
      <c r="C229" s="54"/>
      <c r="D229" s="54"/>
      <c r="E229" s="12" t="s">
        <v>1585</v>
      </c>
      <c r="F229" s="12" t="s">
        <v>1586</v>
      </c>
      <c r="I229" s="70">
        <v>84772.57</v>
      </c>
      <c r="J229" s="2"/>
      <c r="K229" s="2"/>
      <c r="L229" s="198">
        <f t="shared" si="19"/>
        <v>84772.57</v>
      </c>
      <c r="M229" s="2"/>
      <c r="N229" s="40"/>
      <c r="O229" s="2"/>
      <c r="P229" s="14"/>
      <c r="R229" s="16"/>
      <c r="S229" s="16"/>
      <c r="T229" s="8"/>
      <c r="U229" s="15"/>
      <c r="V229" s="15"/>
      <c r="W229" s="15"/>
      <c r="X229" s="17"/>
      <c r="Y229" s="47"/>
      <c r="Z229" s="51"/>
      <c r="AA229" s="17"/>
      <c r="AB229" s="17"/>
      <c r="AD229" s="12"/>
      <c r="AE229" s="12"/>
      <c r="AF229" s="45"/>
      <c r="AG229" s="46"/>
      <c r="AM229" s="135"/>
      <c r="AN229" s="45"/>
      <c r="AO229" s="45"/>
      <c r="AP229" s="145"/>
      <c r="AQ229" s="146"/>
      <c r="AT229" s="146"/>
      <c r="AU229" s="146"/>
    </row>
    <row r="230" spans="1:47">
      <c r="A230" s="12"/>
      <c r="B230" s="12"/>
      <c r="C230" s="54"/>
      <c r="D230" s="54"/>
      <c r="E230" s="12" t="s">
        <v>4451</v>
      </c>
      <c r="F230" s="12" t="s">
        <v>4452</v>
      </c>
      <c r="I230" s="70">
        <v>591575.37</v>
      </c>
      <c r="J230" s="2">
        <v>5879.1205900000004</v>
      </c>
      <c r="K230" s="2"/>
      <c r="L230" s="198">
        <f t="shared" si="19"/>
        <v>597454.49058999994</v>
      </c>
      <c r="M230" s="2"/>
      <c r="N230" s="40"/>
      <c r="O230" s="2"/>
      <c r="P230" s="14"/>
      <c r="R230" s="16"/>
      <c r="S230" s="16"/>
      <c r="T230" s="8"/>
      <c r="U230" s="15"/>
      <c r="V230" s="15"/>
      <c r="W230" s="15"/>
      <c r="X230" s="17"/>
      <c r="Y230" s="47"/>
      <c r="Z230" s="51"/>
      <c r="AA230" s="17"/>
      <c r="AB230" s="17"/>
      <c r="AD230" s="12"/>
      <c r="AE230" s="12"/>
      <c r="AF230" s="45"/>
      <c r="AG230" s="46"/>
      <c r="AM230" s="135"/>
      <c r="AN230" s="45"/>
      <c r="AO230" s="45"/>
      <c r="AP230" s="145"/>
      <c r="AQ230" s="146"/>
      <c r="AT230" s="146"/>
      <c r="AU230" s="146"/>
    </row>
    <row r="231" spans="1:47">
      <c r="A231" s="12"/>
      <c r="B231" s="12"/>
      <c r="C231" s="54"/>
      <c r="D231" s="54"/>
      <c r="E231" s="12" t="s">
        <v>1589</v>
      </c>
      <c r="F231" s="12" t="s">
        <v>1590</v>
      </c>
      <c r="I231" s="70">
        <v>416606.7</v>
      </c>
      <c r="J231" s="2">
        <v>10288.73583</v>
      </c>
      <c r="K231" s="2"/>
      <c r="L231" s="198">
        <f t="shared" si="19"/>
        <v>426895.43583000003</v>
      </c>
      <c r="M231" s="2"/>
      <c r="N231" s="40"/>
      <c r="O231" s="2"/>
      <c r="P231" s="14"/>
      <c r="R231" s="16"/>
      <c r="S231" s="16"/>
      <c r="T231" s="8"/>
      <c r="U231" s="15"/>
      <c r="V231" s="15"/>
      <c r="W231" s="15"/>
      <c r="X231" s="17"/>
      <c r="Y231" s="47"/>
      <c r="Z231" s="51"/>
      <c r="AA231" s="17"/>
      <c r="AB231" s="17"/>
      <c r="AD231" s="12"/>
      <c r="AE231" s="12"/>
      <c r="AF231" s="45"/>
      <c r="AG231" s="46"/>
      <c r="AM231" s="135"/>
      <c r="AN231" s="45"/>
      <c r="AO231" s="45"/>
      <c r="AP231" s="145"/>
      <c r="AQ231" s="146"/>
      <c r="AT231" s="146"/>
      <c r="AU231" s="146"/>
    </row>
    <row r="232" spans="1:47">
      <c r="A232" s="12"/>
      <c r="B232" s="12"/>
      <c r="C232" s="54"/>
      <c r="D232" s="54"/>
      <c r="E232" s="12" t="s">
        <v>1591</v>
      </c>
      <c r="F232" s="12" t="s">
        <v>4453</v>
      </c>
      <c r="I232" s="70">
        <v>348647.92</v>
      </c>
      <c r="J232" s="2"/>
      <c r="K232" s="2">
        <v>19194.452219999999</v>
      </c>
      <c r="L232" s="198">
        <f t="shared" si="19"/>
        <v>329453.46778000001</v>
      </c>
      <c r="M232" s="2"/>
      <c r="N232" s="40"/>
      <c r="O232" s="2"/>
      <c r="P232" s="14"/>
      <c r="R232" s="16"/>
      <c r="S232" s="16"/>
      <c r="T232" s="8"/>
      <c r="U232" s="15"/>
      <c r="V232" s="15"/>
      <c r="W232" s="15"/>
      <c r="X232" s="17"/>
      <c r="Y232" s="47"/>
      <c r="Z232" s="51"/>
      <c r="AA232" s="17"/>
      <c r="AB232" s="17"/>
      <c r="AD232" s="12"/>
      <c r="AE232" s="12"/>
      <c r="AF232" s="45"/>
      <c r="AG232" s="46"/>
      <c r="AM232" s="135"/>
      <c r="AN232" s="45"/>
      <c r="AO232" s="45"/>
      <c r="AP232" s="145"/>
      <c r="AQ232" s="146"/>
      <c r="AT232" s="146"/>
      <c r="AU232" s="146"/>
    </row>
    <row r="233" spans="1:47">
      <c r="A233" s="12"/>
      <c r="B233" s="12"/>
      <c r="C233" s="54"/>
      <c r="D233" s="54"/>
      <c r="E233" s="12" t="s">
        <v>1593</v>
      </c>
      <c r="F233" s="12" t="s">
        <v>4454</v>
      </c>
      <c r="I233" s="70">
        <v>729609.6</v>
      </c>
      <c r="J233" s="2">
        <v>7536.9665999999997</v>
      </c>
      <c r="K233" s="2"/>
      <c r="L233" s="198">
        <f t="shared" si="19"/>
        <v>737146.56660000002</v>
      </c>
      <c r="M233" s="2"/>
      <c r="N233" s="40"/>
      <c r="O233" s="2"/>
      <c r="P233" s="14"/>
      <c r="R233" s="16"/>
      <c r="S233" s="16"/>
      <c r="T233" s="8"/>
      <c r="U233" s="15"/>
      <c r="V233" s="15"/>
      <c r="W233" s="15"/>
      <c r="X233" s="17"/>
      <c r="Y233" s="47"/>
      <c r="Z233" s="51"/>
      <c r="AA233" s="17"/>
      <c r="AB233" s="17"/>
      <c r="AD233" s="12"/>
      <c r="AE233" s="12"/>
      <c r="AF233" s="45"/>
      <c r="AG233" s="46"/>
      <c r="AM233" s="135"/>
      <c r="AN233" s="45"/>
      <c r="AO233" s="45"/>
      <c r="AP233" s="145"/>
      <c r="AQ233" s="146"/>
      <c r="AT233" s="146"/>
      <c r="AU233" s="146"/>
    </row>
    <row r="234" spans="1:47">
      <c r="A234" s="12"/>
      <c r="B234" s="12"/>
      <c r="C234" s="54"/>
      <c r="D234" s="54"/>
      <c r="E234" s="12" t="s">
        <v>1595</v>
      </c>
      <c r="F234" s="12" t="s">
        <v>1596</v>
      </c>
      <c r="I234" s="70">
        <v>1028805.56</v>
      </c>
      <c r="J234" s="2">
        <v>3475.6942300000001</v>
      </c>
      <c r="K234" s="2"/>
      <c r="L234" s="198">
        <f t="shared" si="19"/>
        <v>1032281.2542300001</v>
      </c>
      <c r="M234" s="2"/>
      <c r="N234" s="40"/>
      <c r="O234" s="2"/>
      <c r="P234" s="14"/>
      <c r="R234" s="16"/>
      <c r="S234" s="16"/>
      <c r="T234" s="8"/>
      <c r="U234" s="15"/>
      <c r="V234" s="15"/>
      <c r="W234" s="15"/>
      <c r="X234" s="17"/>
      <c r="Y234" s="47"/>
      <c r="Z234" s="51"/>
      <c r="AA234" s="17"/>
      <c r="AB234" s="17"/>
      <c r="AD234" s="12"/>
      <c r="AE234" s="12"/>
      <c r="AF234" s="45"/>
      <c r="AG234" s="46"/>
      <c r="AM234" s="135"/>
      <c r="AN234" s="45"/>
      <c r="AO234" s="45"/>
      <c r="AP234" s="145"/>
      <c r="AQ234" s="146"/>
      <c r="AT234" s="146"/>
      <c r="AU234" s="146"/>
    </row>
    <row r="235" spans="1:47">
      <c r="A235" s="12"/>
      <c r="B235" s="12"/>
      <c r="C235" s="54"/>
      <c r="D235" s="54"/>
      <c r="E235" s="12" t="s">
        <v>1597</v>
      </c>
      <c r="F235" s="12" t="s">
        <v>1598</v>
      </c>
      <c r="I235" s="70">
        <v>319954.09999999998</v>
      </c>
      <c r="J235" s="2"/>
      <c r="K235" s="2"/>
      <c r="L235" s="198">
        <f t="shared" si="19"/>
        <v>319954.09999999998</v>
      </c>
      <c r="M235" s="2"/>
      <c r="N235" s="40"/>
      <c r="O235" s="2"/>
      <c r="P235" s="14"/>
      <c r="R235" s="16"/>
      <c r="S235" s="16"/>
      <c r="T235" s="8"/>
      <c r="U235" s="15"/>
      <c r="V235" s="15"/>
      <c r="W235" s="15"/>
      <c r="X235" s="17"/>
      <c r="Y235" s="47"/>
      <c r="Z235" s="51"/>
      <c r="AA235" s="17"/>
      <c r="AB235" s="17"/>
      <c r="AD235" s="12"/>
      <c r="AE235" s="12"/>
      <c r="AF235" s="45"/>
      <c r="AG235" s="46"/>
      <c r="AM235" s="135"/>
      <c r="AN235" s="45"/>
      <c r="AO235" s="45"/>
      <c r="AP235" s="145"/>
      <c r="AQ235" s="146"/>
      <c r="AT235" s="146"/>
      <c r="AU235" s="146"/>
    </row>
    <row r="236" spans="1:47">
      <c r="A236" s="12"/>
      <c r="B236" s="12"/>
      <c r="C236" s="54"/>
      <c r="D236" s="54"/>
      <c r="E236" s="12" t="s">
        <v>4455</v>
      </c>
      <c r="F236" s="12" t="s">
        <v>1600</v>
      </c>
      <c r="I236" s="70">
        <v>95155.45</v>
      </c>
      <c r="J236" s="2"/>
      <c r="K236" s="2">
        <v>12258.10425</v>
      </c>
      <c r="L236" s="198">
        <f t="shared" si="19"/>
        <v>82897.345749999993</v>
      </c>
      <c r="M236" s="2"/>
      <c r="N236" s="40"/>
      <c r="O236" s="2"/>
      <c r="P236" s="14"/>
      <c r="R236" s="16"/>
      <c r="S236" s="16"/>
      <c r="T236" s="8"/>
      <c r="U236" s="15"/>
      <c r="V236" s="15"/>
      <c r="W236" s="15"/>
      <c r="X236" s="17"/>
      <c r="Y236" s="47"/>
      <c r="Z236" s="51"/>
      <c r="AA236" s="17"/>
      <c r="AB236" s="17"/>
      <c r="AD236" s="12"/>
      <c r="AE236" s="12"/>
      <c r="AF236" s="45"/>
      <c r="AG236" s="46"/>
      <c r="AM236" s="135"/>
      <c r="AN236" s="45"/>
      <c r="AO236" s="45"/>
      <c r="AP236" s="145"/>
      <c r="AQ236" s="146"/>
      <c r="AT236" s="146"/>
      <c r="AU236" s="146"/>
    </row>
    <row r="237" spans="1:47">
      <c r="A237" s="12"/>
      <c r="B237" s="12"/>
      <c r="C237" s="54"/>
      <c r="D237" s="54"/>
      <c r="E237" s="12" t="s">
        <v>4456</v>
      </c>
      <c r="F237" s="12" t="s">
        <v>4457</v>
      </c>
      <c r="I237" s="70">
        <v>77551.058999999994</v>
      </c>
      <c r="J237" s="2"/>
      <c r="K237" s="2"/>
      <c r="L237" s="70">
        <f t="shared" si="19"/>
        <v>77551.058999999994</v>
      </c>
      <c r="M237" s="2"/>
      <c r="N237" s="40"/>
      <c r="O237" s="2"/>
      <c r="P237" s="14"/>
      <c r="R237" s="16"/>
      <c r="S237" s="16"/>
      <c r="T237" s="8"/>
      <c r="U237" s="15"/>
      <c r="V237" s="15"/>
      <c r="W237" s="15"/>
      <c r="X237" s="17"/>
      <c r="Y237" s="47"/>
      <c r="Z237" s="51"/>
      <c r="AA237" s="17"/>
      <c r="AB237" s="17"/>
      <c r="AD237" s="12"/>
      <c r="AE237" s="12"/>
      <c r="AF237" s="45"/>
      <c r="AG237" s="46"/>
      <c r="AM237" s="135"/>
      <c r="AN237" s="45"/>
      <c r="AO237" s="45"/>
      <c r="AP237" s="145"/>
      <c r="AQ237" s="146"/>
      <c r="AT237" s="146"/>
      <c r="AU237" s="146"/>
    </row>
    <row r="238" spans="1:47">
      <c r="A238" s="12"/>
      <c r="B238" s="12"/>
      <c r="C238" s="54"/>
      <c r="D238" s="54"/>
      <c r="E238" s="12" t="s">
        <v>1620</v>
      </c>
      <c r="F238" s="12">
        <v>0</v>
      </c>
      <c r="I238" s="70">
        <v>0</v>
      </c>
      <c r="J238" s="2"/>
      <c r="K238" s="2"/>
      <c r="L238" s="70">
        <f t="shared" si="19"/>
        <v>0</v>
      </c>
      <c r="M238" s="2"/>
      <c r="N238" s="40"/>
      <c r="O238" s="2"/>
      <c r="P238" s="14"/>
      <c r="R238" s="16"/>
      <c r="S238" s="16"/>
      <c r="T238" s="8"/>
      <c r="U238" s="15"/>
      <c r="V238" s="15"/>
      <c r="W238" s="15"/>
      <c r="X238" s="17"/>
      <c r="Y238" s="47"/>
      <c r="Z238" s="51"/>
      <c r="AA238" s="17"/>
      <c r="AB238" s="17"/>
      <c r="AD238" s="12"/>
      <c r="AE238" s="12"/>
      <c r="AF238" s="45"/>
      <c r="AG238" s="46"/>
      <c r="AM238" s="135"/>
      <c r="AN238" s="45"/>
      <c r="AO238" s="45"/>
      <c r="AP238" s="145"/>
      <c r="AQ238" s="146"/>
      <c r="AT238" s="146"/>
      <c r="AU238" s="146"/>
    </row>
    <row r="239" spans="1:47">
      <c r="A239" s="12"/>
      <c r="B239" s="12"/>
      <c r="C239" s="54"/>
      <c r="D239" s="54"/>
      <c r="E239" s="12" t="s">
        <v>1636</v>
      </c>
      <c r="F239" s="12" t="s">
        <v>1637</v>
      </c>
      <c r="I239" s="70">
        <v>6629243.8710000003</v>
      </c>
      <c r="J239" s="2"/>
      <c r="K239" s="2"/>
      <c r="L239" s="70">
        <f t="shared" si="19"/>
        <v>6629243.8710000003</v>
      </c>
      <c r="M239" s="2"/>
      <c r="N239" s="40"/>
      <c r="O239" s="2"/>
      <c r="P239" s="14"/>
      <c r="R239" s="16"/>
      <c r="S239" s="16"/>
      <c r="T239" s="8"/>
      <c r="U239" s="15"/>
      <c r="V239" s="15"/>
      <c r="W239" s="15"/>
      <c r="X239" s="17"/>
      <c r="Y239" s="47"/>
      <c r="Z239" s="51"/>
      <c r="AA239" s="17"/>
      <c r="AB239" s="17"/>
      <c r="AD239" s="12"/>
      <c r="AE239" s="12"/>
      <c r="AF239" s="45"/>
      <c r="AG239" s="46"/>
      <c r="AM239" s="135"/>
      <c r="AN239" s="45"/>
      <c r="AO239" s="45"/>
      <c r="AP239" s="145"/>
      <c r="AQ239" s="146"/>
      <c r="AT239" s="146"/>
      <c r="AU239" s="146"/>
    </row>
    <row r="240" spans="1:47">
      <c r="A240" s="12"/>
      <c r="B240" s="12"/>
      <c r="C240" s="54"/>
      <c r="D240" s="54"/>
      <c r="E240" s="12" t="s">
        <v>4458</v>
      </c>
      <c r="F240" s="12" t="s">
        <v>4459</v>
      </c>
      <c r="I240" s="70">
        <v>0</v>
      </c>
      <c r="J240" s="2"/>
      <c r="K240" s="2"/>
      <c r="L240" s="70">
        <f t="shared" ref="L240:L289" si="20">I240+J240-K240</f>
        <v>0</v>
      </c>
      <c r="M240" s="2"/>
      <c r="N240" s="40"/>
      <c r="O240" s="2"/>
      <c r="P240" s="14"/>
      <c r="R240" s="16"/>
      <c r="S240" s="16"/>
      <c r="T240" s="8"/>
      <c r="U240" s="15"/>
      <c r="V240" s="15"/>
      <c r="W240" s="15"/>
      <c r="X240" s="17"/>
      <c r="Y240" s="47"/>
      <c r="Z240" s="51"/>
      <c r="AA240" s="17"/>
      <c r="AB240" s="17"/>
      <c r="AD240" s="12"/>
      <c r="AE240" s="12"/>
      <c r="AF240" s="45"/>
      <c r="AG240" s="46"/>
      <c r="AM240" s="135"/>
      <c r="AN240" s="45"/>
      <c r="AO240" s="45"/>
      <c r="AP240" s="145"/>
      <c r="AQ240" s="146"/>
      <c r="AT240" s="146"/>
      <c r="AU240" s="146"/>
    </row>
    <row r="241" spans="1:47">
      <c r="A241" s="12"/>
      <c r="B241" s="12"/>
      <c r="C241" s="54"/>
      <c r="D241" s="54"/>
      <c r="E241" s="12" t="s">
        <v>1638</v>
      </c>
      <c r="F241" s="12" t="s">
        <v>1639</v>
      </c>
      <c r="I241" s="70">
        <v>1062744.49</v>
      </c>
      <c r="J241" s="2"/>
      <c r="K241" s="2"/>
      <c r="L241" s="70">
        <f t="shared" si="20"/>
        <v>1062744.49</v>
      </c>
      <c r="M241" s="2"/>
      <c r="N241" s="40"/>
      <c r="O241" s="2"/>
      <c r="P241" s="14"/>
      <c r="R241" s="16"/>
      <c r="S241" s="16"/>
      <c r="T241" s="8"/>
      <c r="U241" s="15"/>
      <c r="V241" s="15"/>
      <c r="W241" s="15"/>
      <c r="X241" s="17"/>
      <c r="Y241" s="47"/>
      <c r="Z241" s="51"/>
      <c r="AA241" s="17"/>
      <c r="AB241" s="17"/>
      <c r="AD241" s="12"/>
      <c r="AE241" s="12"/>
      <c r="AF241" s="45"/>
      <c r="AG241" s="46"/>
      <c r="AM241" s="135"/>
      <c r="AN241" s="45"/>
      <c r="AO241" s="45"/>
      <c r="AP241" s="145"/>
      <c r="AQ241" s="146"/>
      <c r="AT241" s="146"/>
      <c r="AU241" s="146"/>
    </row>
    <row r="242" spans="1:47">
      <c r="A242" s="12"/>
      <c r="B242" s="12"/>
      <c r="C242" s="54"/>
      <c r="D242" s="54"/>
      <c r="E242" s="12" t="s">
        <v>1640</v>
      </c>
      <c r="F242" s="12" t="s">
        <v>1641</v>
      </c>
      <c r="I242" s="70">
        <v>1843.2919999999999</v>
      </c>
      <c r="J242" s="2"/>
      <c r="K242" s="2"/>
      <c r="L242" s="70">
        <f t="shared" si="20"/>
        <v>1843.2919999999999</v>
      </c>
      <c r="M242" s="2"/>
      <c r="N242" s="40"/>
      <c r="O242" s="2"/>
      <c r="P242" s="14"/>
      <c r="R242" s="16"/>
      <c r="S242" s="16"/>
      <c r="T242" s="8"/>
      <c r="U242" s="15"/>
      <c r="V242" s="15"/>
      <c r="W242" s="15"/>
      <c r="X242" s="17"/>
      <c r="Y242" s="47"/>
      <c r="Z242" s="51"/>
      <c r="AA242" s="17"/>
      <c r="AB242" s="17"/>
      <c r="AD242" s="12"/>
      <c r="AE242" s="12"/>
      <c r="AF242" s="45"/>
      <c r="AG242" s="46"/>
      <c r="AM242" s="135"/>
      <c r="AN242" s="45"/>
      <c r="AO242" s="45"/>
      <c r="AP242" s="145"/>
      <c r="AQ242" s="146"/>
      <c r="AT242" s="146"/>
      <c r="AU242" s="146"/>
    </row>
    <row r="243" spans="1:47">
      <c r="A243" s="12"/>
      <c r="B243" s="12"/>
      <c r="C243" s="54"/>
      <c r="D243" s="54"/>
      <c r="E243" s="12" t="s">
        <v>1644</v>
      </c>
      <c r="F243" s="12" t="s">
        <v>1645</v>
      </c>
      <c r="I243" s="70">
        <v>416896.924</v>
      </c>
      <c r="J243" s="2"/>
      <c r="K243" s="2"/>
      <c r="L243" s="70">
        <f t="shared" si="20"/>
        <v>416896.924</v>
      </c>
      <c r="M243" s="2"/>
      <c r="N243" s="40"/>
      <c r="O243" s="2"/>
      <c r="P243" s="14"/>
      <c r="R243" s="16"/>
      <c r="S243" s="16"/>
      <c r="T243" s="8"/>
      <c r="U243" s="15"/>
      <c r="V243" s="15"/>
      <c r="W243" s="15"/>
      <c r="X243" s="17"/>
      <c r="Y243" s="47"/>
      <c r="Z243" s="51"/>
      <c r="AA243" s="17"/>
      <c r="AB243" s="17"/>
      <c r="AD243" s="12"/>
      <c r="AE243" s="12"/>
      <c r="AF243" s="45"/>
      <c r="AG243" s="46"/>
      <c r="AM243" s="135"/>
      <c r="AN243" s="45"/>
      <c r="AO243" s="45"/>
      <c r="AP243" s="145"/>
      <c r="AQ243" s="146"/>
      <c r="AT243" s="146"/>
      <c r="AU243" s="146"/>
    </row>
    <row r="244" spans="1:47">
      <c r="A244" s="12"/>
      <c r="B244" s="12"/>
      <c r="C244" s="54"/>
      <c r="D244" s="54"/>
      <c r="E244" s="12" t="s">
        <v>1646</v>
      </c>
      <c r="F244" s="12" t="s">
        <v>1647</v>
      </c>
      <c r="I244" s="70">
        <v>848.3</v>
      </c>
      <c r="J244" s="2"/>
      <c r="K244" s="2"/>
      <c r="L244" s="70">
        <f t="shared" si="20"/>
        <v>848.3</v>
      </c>
      <c r="M244" s="2"/>
      <c r="N244" s="40"/>
      <c r="O244" s="2"/>
      <c r="P244" s="14"/>
      <c r="R244" s="16"/>
      <c r="S244" s="16"/>
      <c r="T244" s="8"/>
      <c r="U244" s="15"/>
      <c r="V244" s="15"/>
      <c r="W244" s="15"/>
      <c r="X244" s="17"/>
      <c r="Y244" s="47"/>
      <c r="Z244" s="51"/>
      <c r="AA244" s="17"/>
      <c r="AB244" s="17"/>
      <c r="AD244" s="12"/>
      <c r="AE244" s="12"/>
      <c r="AF244" s="45"/>
      <c r="AG244" s="46"/>
      <c r="AM244" s="135"/>
      <c r="AN244" s="45"/>
      <c r="AO244" s="45"/>
      <c r="AP244" s="145"/>
      <c r="AQ244" s="146"/>
      <c r="AT244" s="146"/>
      <c r="AU244" s="146"/>
    </row>
    <row r="245" spans="1:47">
      <c r="A245" s="12"/>
      <c r="B245" s="12"/>
      <c r="C245" s="54"/>
      <c r="D245" s="54"/>
      <c r="E245" s="12" t="s">
        <v>1648</v>
      </c>
      <c r="F245" s="12" t="s">
        <v>1649</v>
      </c>
      <c r="I245" s="70">
        <v>300268.071</v>
      </c>
      <c r="J245" s="2"/>
      <c r="K245" s="2"/>
      <c r="L245" s="70">
        <f t="shared" si="20"/>
        <v>300268.071</v>
      </c>
      <c r="M245" s="2"/>
      <c r="N245" s="40"/>
      <c r="O245" s="2"/>
      <c r="P245" s="14"/>
      <c r="R245" s="16"/>
      <c r="S245" s="16"/>
      <c r="T245" s="8"/>
      <c r="U245" s="15"/>
      <c r="V245" s="15"/>
      <c r="W245" s="15"/>
      <c r="X245" s="17"/>
      <c r="Y245" s="47"/>
      <c r="Z245" s="51"/>
      <c r="AA245" s="17"/>
      <c r="AB245" s="17"/>
      <c r="AD245" s="12"/>
      <c r="AE245" s="12"/>
      <c r="AF245" s="45"/>
      <c r="AG245" s="46"/>
      <c r="AM245" s="135"/>
      <c r="AN245" s="45"/>
      <c r="AO245" s="45"/>
      <c r="AP245" s="145"/>
      <c r="AQ245" s="146"/>
      <c r="AT245" s="146"/>
      <c r="AU245" s="146"/>
    </row>
    <row r="246" spans="1:47">
      <c r="A246" s="12"/>
      <c r="B246" s="12"/>
      <c r="C246" s="54"/>
      <c r="D246" s="54"/>
      <c r="E246" s="12" t="s">
        <v>4460</v>
      </c>
      <c r="F246" s="12" t="s">
        <v>4461</v>
      </c>
      <c r="I246" s="70">
        <v>4000</v>
      </c>
      <c r="J246" s="2"/>
      <c r="K246" s="2"/>
      <c r="L246" s="70">
        <f t="shared" si="20"/>
        <v>4000</v>
      </c>
      <c r="M246" s="2"/>
      <c r="N246" s="40"/>
      <c r="O246" s="2"/>
      <c r="P246" s="14"/>
      <c r="R246" s="16"/>
      <c r="S246" s="16"/>
      <c r="T246" s="8"/>
      <c r="U246" s="15"/>
      <c r="V246" s="15"/>
      <c r="W246" s="15"/>
      <c r="X246" s="17"/>
      <c r="Y246" s="47"/>
      <c r="Z246" s="51"/>
      <c r="AA246" s="17"/>
      <c r="AB246" s="17"/>
      <c r="AD246" s="12"/>
      <c r="AE246" s="12"/>
      <c r="AF246" s="45"/>
      <c r="AG246" s="46"/>
      <c r="AM246" s="135"/>
      <c r="AN246" s="45"/>
      <c r="AO246" s="45"/>
      <c r="AP246" s="145"/>
      <c r="AQ246" s="146"/>
      <c r="AT246" s="146"/>
      <c r="AU246" s="146"/>
    </row>
    <row r="247" spans="1:47">
      <c r="A247" s="12"/>
      <c r="B247" s="12"/>
      <c r="C247" s="54"/>
      <c r="D247" s="54"/>
      <c r="E247" s="12" t="s">
        <v>1650</v>
      </c>
      <c r="F247" s="12" t="s">
        <v>1651</v>
      </c>
      <c r="I247" s="70">
        <v>1381458.2</v>
      </c>
      <c r="J247" s="2"/>
      <c r="K247" s="2"/>
      <c r="L247" s="70">
        <f t="shared" si="20"/>
        <v>1381458.2</v>
      </c>
      <c r="M247" s="2"/>
      <c r="N247" s="40"/>
      <c r="O247" s="2"/>
      <c r="P247" s="14"/>
      <c r="R247" s="16"/>
      <c r="S247" s="16"/>
      <c r="T247" s="8"/>
      <c r="U247" s="15"/>
      <c r="V247" s="15"/>
      <c r="W247" s="15"/>
      <c r="X247" s="17"/>
      <c r="Y247" s="47"/>
      <c r="Z247" s="51"/>
      <c r="AA247" s="17"/>
      <c r="AB247" s="17"/>
      <c r="AD247" s="12"/>
      <c r="AE247" s="12"/>
      <c r="AF247" s="45"/>
      <c r="AG247" s="46"/>
      <c r="AM247" s="135"/>
      <c r="AN247" s="45"/>
      <c r="AO247" s="45"/>
      <c r="AP247" s="145"/>
      <c r="AQ247" s="146"/>
      <c r="AT247" s="146"/>
      <c r="AU247" s="146"/>
    </row>
    <row r="248" spans="1:47">
      <c r="A248" s="12"/>
      <c r="B248" s="12"/>
      <c r="C248" s="54"/>
      <c r="D248" s="54"/>
      <c r="E248" s="12" t="s">
        <v>4462</v>
      </c>
      <c r="F248" s="12" t="s">
        <v>4463</v>
      </c>
      <c r="I248" s="70">
        <v>0</v>
      </c>
      <c r="J248" s="2"/>
      <c r="K248" s="2"/>
      <c r="L248" s="70">
        <f t="shared" si="20"/>
        <v>0</v>
      </c>
      <c r="M248" s="2"/>
      <c r="N248" s="40"/>
      <c r="O248" s="2"/>
      <c r="P248" s="14"/>
      <c r="R248" s="16"/>
      <c r="S248" s="16"/>
      <c r="T248" s="8"/>
      <c r="U248" s="15"/>
      <c r="V248" s="15"/>
      <c r="W248" s="15"/>
      <c r="X248" s="17"/>
      <c r="Y248" s="47"/>
      <c r="Z248" s="51"/>
      <c r="AA248" s="17"/>
      <c r="AB248" s="17"/>
      <c r="AD248" s="12"/>
      <c r="AE248" s="12"/>
      <c r="AF248" s="45"/>
      <c r="AG248" s="46"/>
      <c r="AM248" s="135"/>
      <c r="AN248" s="45"/>
      <c r="AO248" s="45"/>
      <c r="AP248" s="145"/>
      <c r="AQ248" s="146"/>
      <c r="AT248" s="146"/>
      <c r="AU248" s="146"/>
    </row>
    <row r="249" spans="1:47">
      <c r="A249" s="12"/>
      <c r="B249" s="12"/>
      <c r="C249" s="54"/>
      <c r="D249" s="54"/>
      <c r="E249" s="12" t="s">
        <v>1654</v>
      </c>
      <c r="F249" s="12" t="s">
        <v>1655</v>
      </c>
      <c r="I249" s="70">
        <v>2936.95</v>
      </c>
      <c r="J249" s="2"/>
      <c r="K249" s="2"/>
      <c r="L249" s="70">
        <f t="shared" si="20"/>
        <v>2936.95</v>
      </c>
      <c r="M249" s="2"/>
      <c r="N249" s="40"/>
      <c r="O249" s="2"/>
      <c r="P249" s="14"/>
      <c r="R249" s="16"/>
      <c r="S249" s="16"/>
      <c r="T249" s="8"/>
      <c r="U249" s="15"/>
      <c r="V249" s="15"/>
      <c r="W249" s="15"/>
      <c r="X249" s="17"/>
      <c r="Y249" s="47"/>
      <c r="Z249" s="51"/>
      <c r="AA249" s="17"/>
      <c r="AB249" s="17"/>
      <c r="AD249" s="12"/>
      <c r="AE249" s="12"/>
      <c r="AF249" s="45"/>
      <c r="AG249" s="46"/>
      <c r="AM249" s="135"/>
      <c r="AN249" s="45"/>
      <c r="AO249" s="45"/>
      <c r="AP249" s="145"/>
      <c r="AQ249" s="146"/>
      <c r="AT249" s="146"/>
      <c r="AU249" s="146"/>
    </row>
    <row r="250" spans="1:47">
      <c r="A250" s="12"/>
      <c r="B250" s="12"/>
      <c r="C250" s="54"/>
      <c r="D250" s="54"/>
      <c r="E250" s="12" t="s">
        <v>1656</v>
      </c>
      <c r="F250" s="12" t="s">
        <v>1657</v>
      </c>
      <c r="I250" s="70">
        <v>27106.400000000001</v>
      </c>
      <c r="J250" s="2"/>
      <c r="K250" s="2"/>
      <c r="L250" s="70">
        <f t="shared" si="20"/>
        <v>27106.400000000001</v>
      </c>
      <c r="M250" s="2"/>
      <c r="N250" s="40"/>
      <c r="O250" s="2"/>
      <c r="P250" s="14"/>
      <c r="R250" s="16"/>
      <c r="S250" s="16"/>
      <c r="T250" s="8"/>
      <c r="U250" s="15"/>
      <c r="V250" s="15"/>
      <c r="W250" s="15"/>
      <c r="X250" s="17"/>
      <c r="Y250" s="47"/>
      <c r="Z250" s="51"/>
      <c r="AA250" s="17"/>
      <c r="AB250" s="17"/>
      <c r="AD250" s="12"/>
      <c r="AE250" s="12"/>
      <c r="AF250" s="45"/>
      <c r="AG250" s="46"/>
      <c r="AM250" s="135"/>
      <c r="AN250" s="45"/>
      <c r="AO250" s="45"/>
      <c r="AP250" s="145"/>
      <c r="AQ250" s="146"/>
      <c r="AT250" s="146"/>
      <c r="AU250" s="146"/>
    </row>
    <row r="251" spans="1:47">
      <c r="A251" s="12"/>
      <c r="B251" s="12"/>
      <c r="C251" s="54"/>
      <c r="D251" s="54"/>
      <c r="E251" s="12" t="s">
        <v>1658</v>
      </c>
      <c r="F251" s="12" t="s">
        <v>1659</v>
      </c>
      <c r="I251" s="70">
        <v>125</v>
      </c>
      <c r="J251" s="2"/>
      <c r="K251" s="2"/>
      <c r="L251" s="70">
        <f t="shared" si="20"/>
        <v>125</v>
      </c>
      <c r="M251" s="2"/>
      <c r="N251" s="40"/>
      <c r="O251" s="2"/>
      <c r="P251" s="14"/>
      <c r="R251" s="16"/>
      <c r="S251" s="16"/>
      <c r="T251" s="8"/>
      <c r="U251" s="15"/>
      <c r="V251" s="15"/>
      <c r="W251" s="15"/>
      <c r="X251" s="17"/>
      <c r="Y251" s="47"/>
      <c r="Z251" s="51"/>
      <c r="AA251" s="17"/>
      <c r="AB251" s="17"/>
      <c r="AD251" s="12"/>
      <c r="AE251" s="12"/>
      <c r="AF251" s="45"/>
      <c r="AG251" s="46"/>
      <c r="AM251" s="135"/>
      <c r="AN251" s="45"/>
      <c r="AO251" s="45"/>
      <c r="AP251" s="145"/>
      <c r="AQ251" s="146"/>
      <c r="AT251" s="146"/>
      <c r="AU251" s="146"/>
    </row>
    <row r="252" spans="1:47">
      <c r="A252" s="12"/>
      <c r="B252" s="12"/>
      <c r="C252" s="54"/>
      <c r="D252" s="54"/>
      <c r="E252" s="12" t="s">
        <v>4464</v>
      </c>
      <c r="F252" s="12" t="s">
        <v>4465</v>
      </c>
      <c r="I252" s="70">
        <v>0</v>
      </c>
      <c r="J252" s="2"/>
      <c r="K252" s="2"/>
      <c r="L252" s="70">
        <f t="shared" si="20"/>
        <v>0</v>
      </c>
      <c r="M252" s="2"/>
      <c r="N252" s="40"/>
      <c r="O252" s="2"/>
      <c r="P252" s="14"/>
      <c r="R252" s="16"/>
      <c r="S252" s="16"/>
      <c r="T252" s="8"/>
      <c r="U252" s="15"/>
      <c r="V252" s="15"/>
      <c r="W252" s="15"/>
      <c r="X252" s="17"/>
      <c r="Y252" s="47"/>
      <c r="Z252" s="51"/>
      <c r="AA252" s="17"/>
      <c r="AB252" s="17"/>
      <c r="AD252" s="12"/>
      <c r="AE252" s="12"/>
      <c r="AF252" s="45"/>
      <c r="AG252" s="46"/>
      <c r="AM252" s="135"/>
      <c r="AN252" s="45"/>
      <c r="AO252" s="45"/>
      <c r="AP252" s="145"/>
      <c r="AQ252" s="146"/>
      <c r="AT252" s="146"/>
      <c r="AU252" s="146"/>
    </row>
    <row r="253" spans="1:47">
      <c r="A253" s="12"/>
      <c r="B253" s="12"/>
      <c r="C253" s="54"/>
      <c r="D253" s="54"/>
      <c r="E253" s="12" t="s">
        <v>1660</v>
      </c>
      <c r="F253" s="12" t="s">
        <v>1661</v>
      </c>
      <c r="I253" s="70">
        <v>1027389.907</v>
      </c>
      <c r="J253" s="2"/>
      <c r="K253" s="2"/>
      <c r="L253" s="70">
        <f t="shared" si="20"/>
        <v>1027389.907</v>
      </c>
      <c r="M253" s="2"/>
      <c r="N253" s="40"/>
      <c r="O253" s="2"/>
      <c r="P253" s="14"/>
      <c r="R253" s="16"/>
      <c r="S253" s="16"/>
      <c r="T253" s="8"/>
      <c r="U253" s="15"/>
      <c r="V253" s="15"/>
      <c r="W253" s="15"/>
      <c r="X253" s="17"/>
      <c r="Y253" s="47"/>
      <c r="Z253" s="51"/>
      <c r="AA253" s="17"/>
      <c r="AB253" s="17"/>
      <c r="AD253" s="12"/>
      <c r="AE253" s="12"/>
      <c r="AF253" s="45"/>
      <c r="AG253" s="46"/>
      <c r="AM253" s="135"/>
      <c r="AN253" s="45"/>
      <c r="AO253" s="45"/>
      <c r="AP253" s="145"/>
      <c r="AQ253" s="146"/>
      <c r="AT253" s="146"/>
      <c r="AU253" s="146"/>
    </row>
    <row r="254" spans="1:47">
      <c r="A254" s="12"/>
      <c r="B254" s="12"/>
      <c r="C254" s="54"/>
      <c r="D254" s="54"/>
      <c r="E254" s="12" t="s">
        <v>1662</v>
      </c>
      <c r="F254" s="12" t="s">
        <v>1663</v>
      </c>
      <c r="I254" s="70">
        <v>12214</v>
      </c>
      <c r="J254" s="2"/>
      <c r="K254" s="2"/>
      <c r="L254" s="70">
        <f t="shared" si="20"/>
        <v>12214</v>
      </c>
      <c r="M254" s="2"/>
      <c r="N254" s="40"/>
      <c r="O254" s="2"/>
      <c r="P254" s="14"/>
      <c r="R254" s="16"/>
      <c r="S254" s="16"/>
      <c r="T254" s="8"/>
      <c r="U254" s="15"/>
      <c r="V254" s="15"/>
      <c r="W254" s="15"/>
      <c r="X254" s="17"/>
      <c r="Y254" s="47"/>
      <c r="Z254" s="51"/>
      <c r="AA254" s="17"/>
      <c r="AB254" s="17"/>
      <c r="AD254" s="12"/>
      <c r="AE254" s="12"/>
      <c r="AF254" s="45"/>
      <c r="AG254" s="46"/>
      <c r="AM254" s="135"/>
      <c r="AN254" s="45"/>
      <c r="AO254" s="45"/>
      <c r="AP254" s="145"/>
      <c r="AQ254" s="146"/>
      <c r="AT254" s="146"/>
      <c r="AU254" s="146"/>
    </row>
    <row r="255" spans="1:47">
      <c r="A255" s="12"/>
      <c r="B255" s="12"/>
      <c r="C255" s="54"/>
      <c r="D255" s="54"/>
      <c r="E255" s="12" t="s">
        <v>1664</v>
      </c>
      <c r="F255" s="12" t="s">
        <v>1665</v>
      </c>
      <c r="I255" s="70">
        <v>141165</v>
      </c>
      <c r="J255" s="2"/>
      <c r="K255" s="2"/>
      <c r="L255" s="70">
        <f t="shared" si="20"/>
        <v>141165</v>
      </c>
      <c r="M255" s="2"/>
      <c r="N255" s="40"/>
      <c r="O255" s="2"/>
      <c r="P255" s="14"/>
      <c r="R255" s="16"/>
      <c r="S255" s="16"/>
      <c r="T255" s="8"/>
      <c r="U255" s="15"/>
      <c r="V255" s="15"/>
      <c r="W255" s="15"/>
      <c r="X255" s="17"/>
      <c r="Y255" s="47"/>
      <c r="Z255" s="51"/>
      <c r="AA255" s="17"/>
      <c r="AB255" s="17"/>
      <c r="AD255" s="12"/>
      <c r="AE255" s="12"/>
      <c r="AF255" s="45"/>
      <c r="AG255" s="46"/>
      <c r="AM255" s="135"/>
      <c r="AN255" s="45"/>
      <c r="AO255" s="45"/>
      <c r="AP255" s="145"/>
      <c r="AQ255" s="146"/>
      <c r="AT255" s="146"/>
      <c r="AU255" s="146"/>
    </row>
    <row r="256" spans="1:47">
      <c r="A256" s="12"/>
      <c r="B256" s="12"/>
      <c r="C256" s="54"/>
      <c r="D256" s="54"/>
      <c r="E256" s="12" t="s">
        <v>4466</v>
      </c>
      <c r="F256" s="12" t="s">
        <v>4467</v>
      </c>
      <c r="I256" s="70">
        <v>0</v>
      </c>
      <c r="J256" s="2"/>
      <c r="K256" s="2"/>
      <c r="L256" s="70">
        <f t="shared" si="20"/>
        <v>0</v>
      </c>
      <c r="M256" s="2"/>
      <c r="N256" s="40"/>
      <c r="O256" s="2"/>
      <c r="P256" s="14"/>
      <c r="R256" s="16"/>
      <c r="S256" s="16"/>
      <c r="T256" s="8"/>
      <c r="U256" s="15"/>
      <c r="V256" s="15"/>
      <c r="W256" s="15"/>
      <c r="X256" s="17"/>
      <c r="Y256" s="47"/>
      <c r="Z256" s="51"/>
      <c r="AA256" s="17"/>
      <c r="AB256" s="17"/>
      <c r="AD256" s="12"/>
      <c r="AE256" s="12"/>
      <c r="AF256" s="45"/>
      <c r="AG256" s="46"/>
      <c r="AM256" s="135"/>
      <c r="AN256" s="45"/>
      <c r="AO256" s="45"/>
      <c r="AP256" s="145"/>
      <c r="AQ256" s="146"/>
      <c r="AT256" s="146"/>
      <c r="AU256" s="146"/>
    </row>
    <row r="257" spans="1:47">
      <c r="A257" s="12"/>
      <c r="B257" s="12"/>
      <c r="C257" s="54"/>
      <c r="D257" s="54"/>
      <c r="E257" s="12" t="s">
        <v>4468</v>
      </c>
      <c r="F257" s="12" t="s">
        <v>4469</v>
      </c>
      <c r="I257" s="70">
        <v>0</v>
      </c>
      <c r="J257" s="2"/>
      <c r="K257" s="2"/>
      <c r="L257" s="70">
        <f t="shared" si="20"/>
        <v>0</v>
      </c>
      <c r="M257" s="2"/>
      <c r="N257" s="40"/>
      <c r="O257" s="2"/>
      <c r="P257" s="14"/>
      <c r="R257" s="16"/>
      <c r="S257" s="16"/>
      <c r="T257" s="8"/>
      <c r="U257" s="15"/>
      <c r="V257" s="15"/>
      <c r="W257" s="15"/>
      <c r="X257" s="17"/>
      <c r="Y257" s="47"/>
      <c r="Z257" s="51"/>
      <c r="AA257" s="17"/>
      <c r="AB257" s="17"/>
      <c r="AD257" s="12"/>
      <c r="AE257" s="12"/>
      <c r="AF257" s="45"/>
      <c r="AG257" s="46"/>
      <c r="AM257" s="135"/>
      <c r="AN257" s="45"/>
      <c r="AO257" s="45"/>
      <c r="AP257" s="145"/>
      <c r="AQ257" s="146"/>
      <c r="AT257" s="146"/>
      <c r="AU257" s="146"/>
    </row>
    <row r="258" spans="1:47">
      <c r="A258" s="12"/>
      <c r="B258" s="12"/>
      <c r="C258" s="54"/>
      <c r="D258" s="54"/>
      <c r="E258" s="12" t="s">
        <v>1668</v>
      </c>
      <c r="F258" s="12" t="s">
        <v>1669</v>
      </c>
      <c r="I258" s="70">
        <v>400</v>
      </c>
      <c r="J258" s="2"/>
      <c r="K258" s="2"/>
      <c r="L258" s="70">
        <f t="shared" si="20"/>
        <v>400</v>
      </c>
      <c r="M258" s="2"/>
      <c r="N258" s="40"/>
      <c r="O258" s="2"/>
      <c r="P258" s="14"/>
      <c r="R258" s="16"/>
      <c r="S258" s="16"/>
      <c r="T258" s="8"/>
      <c r="U258" s="15"/>
      <c r="V258" s="15"/>
      <c r="W258" s="15"/>
      <c r="X258" s="17"/>
      <c r="Y258" s="47"/>
      <c r="Z258" s="51"/>
      <c r="AA258" s="17"/>
      <c r="AB258" s="17"/>
      <c r="AD258" s="12"/>
      <c r="AE258" s="12"/>
      <c r="AF258" s="45"/>
      <c r="AG258" s="46"/>
      <c r="AM258" s="135"/>
      <c r="AN258" s="45"/>
      <c r="AO258" s="45"/>
      <c r="AP258" s="145"/>
      <c r="AQ258" s="146"/>
      <c r="AT258" s="146"/>
      <c r="AU258" s="146"/>
    </row>
    <row r="259" spans="1:47">
      <c r="A259" s="12"/>
      <c r="B259" s="12"/>
      <c r="C259" s="54"/>
      <c r="D259" s="54"/>
      <c r="E259" s="12" t="s">
        <v>1670</v>
      </c>
      <c r="F259" s="12" t="s">
        <v>1671</v>
      </c>
      <c r="I259" s="70">
        <v>1402.6</v>
      </c>
      <c r="J259" s="2"/>
      <c r="K259" s="2"/>
      <c r="L259" s="70">
        <f t="shared" si="20"/>
        <v>1402.6</v>
      </c>
      <c r="M259" s="2"/>
      <c r="N259" s="40"/>
      <c r="O259" s="2"/>
      <c r="P259" s="14"/>
      <c r="R259" s="16"/>
      <c r="S259" s="16"/>
      <c r="T259" s="8"/>
      <c r="U259" s="15"/>
      <c r="V259" s="15"/>
      <c r="W259" s="15"/>
      <c r="X259" s="17"/>
      <c r="Y259" s="47"/>
      <c r="Z259" s="51"/>
      <c r="AA259" s="17"/>
      <c r="AB259" s="17"/>
      <c r="AD259" s="12"/>
      <c r="AE259" s="12"/>
      <c r="AF259" s="45"/>
      <c r="AG259" s="46"/>
      <c r="AM259" s="135"/>
      <c r="AN259" s="45"/>
      <c r="AO259" s="45"/>
      <c r="AP259" s="145"/>
      <c r="AQ259" s="146"/>
      <c r="AT259" s="146"/>
      <c r="AU259" s="146"/>
    </row>
    <row r="260" spans="1:47">
      <c r="A260" s="12"/>
      <c r="B260" s="12"/>
      <c r="C260" s="54"/>
      <c r="D260" s="54"/>
      <c r="E260" s="12" t="s">
        <v>4470</v>
      </c>
      <c r="F260" s="12" t="s">
        <v>4471</v>
      </c>
      <c r="I260" s="70">
        <v>0</v>
      </c>
      <c r="J260" s="2"/>
      <c r="K260" s="2"/>
      <c r="L260" s="70">
        <f t="shared" si="20"/>
        <v>0</v>
      </c>
      <c r="M260" s="2"/>
      <c r="N260" s="40"/>
      <c r="O260" s="2"/>
      <c r="P260" s="14"/>
      <c r="R260" s="16"/>
      <c r="S260" s="16"/>
      <c r="T260" s="8"/>
      <c r="U260" s="15"/>
      <c r="V260" s="15"/>
      <c r="W260" s="15"/>
      <c r="X260" s="17"/>
      <c r="Y260" s="47"/>
      <c r="Z260" s="51"/>
      <c r="AA260" s="17"/>
      <c r="AB260" s="17"/>
      <c r="AD260" s="12"/>
      <c r="AE260" s="12"/>
      <c r="AF260" s="45"/>
      <c r="AG260" s="46"/>
      <c r="AM260" s="135"/>
      <c r="AN260" s="45"/>
      <c r="AO260" s="45"/>
      <c r="AP260" s="145"/>
      <c r="AQ260" s="146"/>
      <c r="AT260" s="146"/>
      <c r="AU260" s="146"/>
    </row>
    <row r="261" spans="1:47">
      <c r="A261" s="12"/>
      <c r="B261" s="12"/>
      <c r="C261" s="54"/>
      <c r="D261" s="54"/>
      <c r="E261" s="12" t="s">
        <v>4472</v>
      </c>
      <c r="F261" s="12" t="s">
        <v>4473</v>
      </c>
      <c r="I261" s="70">
        <v>0</v>
      </c>
      <c r="J261" s="2"/>
      <c r="K261" s="2"/>
      <c r="L261" s="70">
        <f t="shared" si="20"/>
        <v>0</v>
      </c>
      <c r="M261" s="2"/>
      <c r="N261" s="40"/>
      <c r="O261" s="2"/>
      <c r="P261" s="14"/>
      <c r="R261" s="16"/>
      <c r="S261" s="16"/>
      <c r="T261" s="8"/>
      <c r="U261" s="15"/>
      <c r="V261" s="15"/>
      <c r="W261" s="15"/>
      <c r="X261" s="17"/>
      <c r="Y261" s="47"/>
      <c r="Z261" s="51"/>
      <c r="AA261" s="17"/>
      <c r="AB261" s="17"/>
      <c r="AD261" s="12"/>
      <c r="AE261" s="12"/>
      <c r="AF261" s="45"/>
      <c r="AG261" s="46"/>
      <c r="AM261" s="135"/>
      <c r="AN261" s="45"/>
      <c r="AO261" s="45"/>
      <c r="AP261" s="145"/>
      <c r="AQ261" s="146"/>
      <c r="AT261" s="146"/>
      <c r="AU261" s="146"/>
    </row>
    <row r="262" spans="1:47">
      <c r="A262" s="12"/>
      <c r="B262" s="12"/>
      <c r="C262" s="54"/>
      <c r="D262" s="54"/>
      <c r="E262" s="12" t="s">
        <v>4474</v>
      </c>
      <c r="F262" s="12" t="s">
        <v>4475</v>
      </c>
      <c r="I262" s="70">
        <v>15</v>
      </c>
      <c r="J262" s="2"/>
      <c r="K262" s="2"/>
      <c r="L262" s="70">
        <f t="shared" si="20"/>
        <v>15</v>
      </c>
      <c r="M262" s="2"/>
      <c r="N262" s="40"/>
      <c r="O262" s="2"/>
      <c r="P262" s="14"/>
      <c r="R262" s="16"/>
      <c r="S262" s="16"/>
      <c r="T262" s="8"/>
      <c r="U262" s="15"/>
      <c r="V262" s="15"/>
      <c r="W262" s="15"/>
      <c r="X262" s="17"/>
      <c r="Y262" s="47"/>
      <c r="Z262" s="51"/>
      <c r="AA262" s="17"/>
      <c r="AB262" s="17"/>
      <c r="AD262" s="12"/>
      <c r="AE262" s="12"/>
      <c r="AF262" s="45"/>
      <c r="AG262" s="46"/>
      <c r="AM262" s="135"/>
      <c r="AN262" s="45"/>
      <c r="AO262" s="45"/>
      <c r="AP262" s="145"/>
      <c r="AQ262" s="146"/>
      <c r="AT262" s="146"/>
      <c r="AU262" s="146"/>
    </row>
    <row r="263" spans="1:47">
      <c r="A263" s="12"/>
      <c r="B263" s="12"/>
      <c r="C263" s="54"/>
      <c r="D263" s="54"/>
      <c r="E263" s="12" t="s">
        <v>1672</v>
      </c>
      <c r="F263" s="12" t="s">
        <v>1673</v>
      </c>
      <c r="I263" s="70">
        <v>0</v>
      </c>
      <c r="J263" s="2"/>
      <c r="K263" s="2"/>
      <c r="L263" s="70">
        <f t="shared" si="20"/>
        <v>0</v>
      </c>
      <c r="M263" s="2"/>
      <c r="N263" s="40"/>
      <c r="O263" s="2"/>
      <c r="P263" s="14"/>
      <c r="R263" s="16"/>
      <c r="S263" s="16"/>
      <c r="T263" s="8"/>
      <c r="U263" s="15"/>
      <c r="V263" s="15"/>
      <c r="W263" s="15"/>
      <c r="X263" s="17"/>
      <c r="Y263" s="47"/>
      <c r="Z263" s="51"/>
      <c r="AA263" s="17"/>
      <c r="AB263" s="17"/>
      <c r="AD263" s="12"/>
      <c r="AE263" s="12"/>
      <c r="AF263" s="45"/>
      <c r="AG263" s="46"/>
      <c r="AM263" s="135"/>
      <c r="AN263" s="45"/>
      <c r="AO263" s="45"/>
      <c r="AP263" s="145"/>
      <c r="AQ263" s="146"/>
      <c r="AT263" s="146"/>
      <c r="AU263" s="146"/>
    </row>
    <row r="264" spans="1:47">
      <c r="A264" s="12"/>
      <c r="B264" s="12"/>
      <c r="C264" s="54"/>
      <c r="D264" s="54"/>
      <c r="E264" s="12" t="s">
        <v>1674</v>
      </c>
      <c r="F264" s="12" t="s">
        <v>1675</v>
      </c>
      <c r="I264" s="70">
        <v>0</v>
      </c>
      <c r="J264" s="2"/>
      <c r="K264" s="2"/>
      <c r="L264" s="70">
        <f t="shared" si="20"/>
        <v>0</v>
      </c>
      <c r="M264" s="2"/>
      <c r="N264" s="40"/>
      <c r="O264" s="2"/>
      <c r="P264" s="14"/>
      <c r="R264" s="16"/>
      <c r="S264" s="16"/>
      <c r="T264" s="8"/>
      <c r="U264" s="15"/>
      <c r="V264" s="15"/>
      <c r="W264" s="15"/>
      <c r="X264" s="17"/>
      <c r="Y264" s="47"/>
      <c r="Z264" s="51"/>
      <c r="AA264" s="17"/>
      <c r="AB264" s="17"/>
      <c r="AD264" s="12"/>
      <c r="AE264" s="12"/>
      <c r="AF264" s="45"/>
      <c r="AG264" s="46"/>
      <c r="AM264" s="135"/>
      <c r="AN264" s="45"/>
      <c r="AO264" s="45"/>
      <c r="AP264" s="145"/>
      <c r="AQ264" s="146"/>
      <c r="AT264" s="146"/>
      <c r="AU264" s="146"/>
    </row>
    <row r="265" spans="1:47">
      <c r="A265" s="12"/>
      <c r="B265" s="12"/>
      <c r="C265" s="54"/>
      <c r="D265" s="54"/>
      <c r="E265" s="12" t="s">
        <v>4476</v>
      </c>
      <c r="F265" s="12" t="s">
        <v>4477</v>
      </c>
      <c r="I265" s="70">
        <v>0</v>
      </c>
      <c r="J265" s="2"/>
      <c r="K265" s="2"/>
      <c r="L265" s="70">
        <f t="shared" si="20"/>
        <v>0</v>
      </c>
      <c r="M265" s="2"/>
      <c r="N265" s="40"/>
      <c r="O265" s="2"/>
      <c r="P265" s="14"/>
      <c r="R265" s="16"/>
      <c r="S265" s="16"/>
      <c r="T265" s="8"/>
      <c r="U265" s="15"/>
      <c r="V265" s="15"/>
      <c r="W265" s="15"/>
      <c r="X265" s="17"/>
      <c r="Y265" s="47"/>
      <c r="Z265" s="51"/>
      <c r="AA265" s="17"/>
      <c r="AB265" s="17"/>
      <c r="AD265" s="12"/>
      <c r="AE265" s="12"/>
      <c r="AF265" s="45"/>
      <c r="AG265" s="46"/>
      <c r="AM265" s="135"/>
      <c r="AN265" s="45"/>
      <c r="AO265" s="45"/>
      <c r="AP265" s="145"/>
      <c r="AQ265" s="146"/>
      <c r="AT265" s="146"/>
      <c r="AU265" s="146"/>
    </row>
    <row r="266" spans="1:47">
      <c r="A266" s="12"/>
      <c r="B266" s="12"/>
      <c r="C266" s="54"/>
      <c r="D266" s="54"/>
      <c r="E266" s="12" t="s">
        <v>1678</v>
      </c>
      <c r="F266" s="12" t="s">
        <v>1679</v>
      </c>
      <c r="I266" s="70">
        <v>0</v>
      </c>
      <c r="J266" s="2"/>
      <c r="K266" s="2"/>
      <c r="L266" s="70">
        <f t="shared" si="20"/>
        <v>0</v>
      </c>
      <c r="M266" s="2"/>
      <c r="N266" s="40"/>
      <c r="O266" s="2"/>
      <c r="P266" s="14"/>
      <c r="R266" s="16"/>
      <c r="S266" s="16"/>
      <c r="T266" s="8"/>
      <c r="U266" s="15"/>
      <c r="V266" s="15"/>
      <c r="W266" s="15"/>
      <c r="X266" s="17"/>
      <c r="Y266" s="47"/>
      <c r="Z266" s="51"/>
      <c r="AA266" s="17"/>
      <c r="AB266" s="17"/>
      <c r="AD266" s="12"/>
      <c r="AE266" s="12"/>
      <c r="AF266" s="45"/>
      <c r="AG266" s="46"/>
      <c r="AM266" s="135"/>
      <c r="AN266" s="45"/>
      <c r="AO266" s="45"/>
      <c r="AP266" s="145"/>
      <c r="AQ266" s="146"/>
      <c r="AT266" s="146"/>
      <c r="AU266" s="146"/>
    </row>
    <row r="267" spans="1:47">
      <c r="A267" s="12"/>
      <c r="B267" s="12"/>
      <c r="C267" s="54"/>
      <c r="D267" s="54"/>
      <c r="E267" s="12" t="s">
        <v>4478</v>
      </c>
      <c r="F267" s="12" t="s">
        <v>4479</v>
      </c>
      <c r="I267" s="70">
        <v>0</v>
      </c>
      <c r="J267" s="2"/>
      <c r="K267" s="2"/>
      <c r="L267" s="70">
        <f t="shared" si="20"/>
        <v>0</v>
      </c>
      <c r="M267" s="2"/>
      <c r="N267" s="40"/>
      <c r="O267" s="2"/>
      <c r="P267" s="14"/>
      <c r="R267" s="16"/>
      <c r="S267" s="16"/>
      <c r="T267" s="8"/>
      <c r="U267" s="15"/>
      <c r="V267" s="15"/>
      <c r="W267" s="15"/>
      <c r="X267" s="17"/>
      <c r="Y267" s="47"/>
      <c r="Z267" s="51"/>
      <c r="AA267" s="17"/>
      <c r="AB267" s="17"/>
      <c r="AD267" s="12"/>
      <c r="AE267" s="12"/>
      <c r="AF267" s="45"/>
      <c r="AG267" s="46"/>
      <c r="AM267" s="135"/>
      <c r="AN267" s="45"/>
      <c r="AO267" s="45"/>
      <c r="AP267" s="145"/>
      <c r="AQ267" s="146"/>
      <c r="AT267" s="146"/>
      <c r="AU267" s="146"/>
    </row>
    <row r="268" spans="1:47">
      <c r="A268" s="12"/>
      <c r="B268" s="12"/>
      <c r="C268" s="54"/>
      <c r="D268" s="54"/>
      <c r="E268" s="12" t="s">
        <v>1682</v>
      </c>
      <c r="F268" s="12" t="s">
        <v>1683</v>
      </c>
      <c r="I268" s="70">
        <v>19409.62</v>
      </c>
      <c r="J268" s="2"/>
      <c r="K268" s="2"/>
      <c r="L268" s="70">
        <f t="shared" si="20"/>
        <v>19409.62</v>
      </c>
      <c r="M268" s="2"/>
      <c r="N268" s="40"/>
      <c r="O268" s="2"/>
      <c r="P268" s="14"/>
      <c r="R268" s="16"/>
      <c r="S268" s="16"/>
      <c r="T268" s="8"/>
      <c r="U268" s="15"/>
      <c r="V268" s="15"/>
      <c r="W268" s="15"/>
      <c r="X268" s="17"/>
      <c r="Y268" s="47"/>
      <c r="Z268" s="51"/>
      <c r="AA268" s="17"/>
      <c r="AB268" s="17"/>
      <c r="AD268" s="12"/>
      <c r="AE268" s="12"/>
      <c r="AF268" s="45"/>
      <c r="AG268" s="46"/>
      <c r="AM268" s="135"/>
      <c r="AN268" s="45"/>
      <c r="AO268" s="45"/>
      <c r="AP268" s="145"/>
      <c r="AQ268" s="146"/>
      <c r="AT268" s="146"/>
      <c r="AU268" s="146"/>
    </row>
    <row r="269" spans="1:47">
      <c r="A269" s="12"/>
      <c r="B269" s="12"/>
      <c r="C269" s="54"/>
      <c r="D269" s="54"/>
      <c r="E269" s="12" t="s">
        <v>4480</v>
      </c>
      <c r="F269" s="12" t="s">
        <v>1788</v>
      </c>
      <c r="I269" s="70">
        <v>0</v>
      </c>
      <c r="J269" s="2"/>
      <c r="K269" s="2"/>
      <c r="L269" s="70">
        <f t="shared" si="20"/>
        <v>0</v>
      </c>
      <c r="M269" s="2"/>
      <c r="N269" s="40"/>
      <c r="O269" s="2"/>
      <c r="P269" s="14"/>
      <c r="R269" s="16"/>
      <c r="S269" s="16"/>
      <c r="T269" s="8"/>
      <c r="U269" s="15"/>
      <c r="V269" s="15"/>
      <c r="W269" s="15"/>
      <c r="X269" s="17"/>
      <c r="Y269" s="47"/>
      <c r="Z269" s="51"/>
      <c r="AA269" s="17"/>
      <c r="AB269" s="17"/>
      <c r="AD269" s="12"/>
      <c r="AE269" s="12"/>
      <c r="AF269" s="45"/>
      <c r="AG269" s="46"/>
      <c r="AM269" s="135"/>
      <c r="AN269" s="45"/>
      <c r="AO269" s="45"/>
      <c r="AP269" s="145"/>
      <c r="AQ269" s="146"/>
      <c r="AT269" s="146"/>
      <c r="AU269" s="146"/>
    </row>
    <row r="270" spans="1:47">
      <c r="A270" s="12"/>
      <c r="B270" s="12"/>
      <c r="C270" s="54"/>
      <c r="D270" s="54"/>
      <c r="E270" s="12" t="s">
        <v>1684</v>
      </c>
      <c r="F270" s="12" t="s">
        <v>1685</v>
      </c>
      <c r="I270" s="70">
        <v>4494.9480000000003</v>
      </c>
      <c r="J270" s="2"/>
      <c r="K270" s="2"/>
      <c r="L270" s="70">
        <f t="shared" si="20"/>
        <v>4494.9480000000003</v>
      </c>
      <c r="M270" s="2"/>
      <c r="N270" s="40"/>
      <c r="O270" s="2"/>
      <c r="P270" s="14"/>
      <c r="R270" s="16"/>
      <c r="S270" s="16"/>
      <c r="T270" s="8"/>
      <c r="U270" s="15"/>
      <c r="V270" s="15"/>
      <c r="W270" s="15"/>
      <c r="X270" s="17"/>
      <c r="Y270" s="47"/>
      <c r="Z270" s="51"/>
      <c r="AA270" s="17"/>
      <c r="AB270" s="17"/>
      <c r="AD270" s="12"/>
      <c r="AE270" s="12"/>
      <c r="AF270" s="45"/>
      <c r="AG270" s="46"/>
      <c r="AM270" s="135"/>
      <c r="AN270" s="45"/>
      <c r="AO270" s="45"/>
      <c r="AP270" s="145"/>
      <c r="AQ270" s="146"/>
      <c r="AT270" s="146"/>
      <c r="AU270" s="146"/>
    </row>
    <row r="271" spans="1:47">
      <c r="A271" s="12"/>
      <c r="B271" s="12"/>
      <c r="C271" s="54"/>
      <c r="D271" s="54"/>
      <c r="E271" s="12" t="s">
        <v>4481</v>
      </c>
      <c r="F271" s="12" t="s">
        <v>1792</v>
      </c>
      <c r="I271" s="70">
        <v>0</v>
      </c>
      <c r="J271" s="2"/>
      <c r="K271" s="2"/>
      <c r="L271" s="70">
        <f t="shared" si="20"/>
        <v>0</v>
      </c>
      <c r="M271" s="2"/>
      <c r="N271" s="40"/>
      <c r="O271" s="2"/>
      <c r="P271" s="14"/>
      <c r="R271" s="16"/>
      <c r="S271" s="16"/>
      <c r="T271" s="8"/>
      <c r="U271" s="15"/>
      <c r="V271" s="15"/>
      <c r="W271" s="15"/>
      <c r="X271" s="17"/>
      <c r="Y271" s="47"/>
      <c r="Z271" s="51"/>
      <c r="AA271" s="17"/>
      <c r="AB271" s="17"/>
      <c r="AD271" s="12"/>
      <c r="AE271" s="12"/>
      <c r="AF271" s="45"/>
      <c r="AG271" s="46"/>
      <c r="AM271" s="135"/>
      <c r="AN271" s="45"/>
      <c r="AO271" s="45"/>
      <c r="AP271" s="145"/>
      <c r="AQ271" s="146"/>
      <c r="AT271" s="146"/>
      <c r="AU271" s="146"/>
    </row>
    <row r="272" spans="1:47">
      <c r="A272" s="12"/>
      <c r="B272" s="12"/>
      <c r="C272" s="54"/>
      <c r="D272" s="54"/>
      <c r="E272" s="12" t="s">
        <v>1688</v>
      </c>
      <c r="F272" s="12" t="s">
        <v>1689</v>
      </c>
      <c r="I272" s="70">
        <v>41309.328999999998</v>
      </c>
      <c r="J272" s="2"/>
      <c r="K272" s="2"/>
      <c r="L272" s="70">
        <f t="shared" si="20"/>
        <v>41309.328999999998</v>
      </c>
      <c r="M272" s="2"/>
      <c r="N272" s="40"/>
      <c r="O272" s="2"/>
      <c r="P272" s="14"/>
      <c r="R272" s="16"/>
      <c r="S272" s="16"/>
      <c r="T272" s="8"/>
      <c r="U272" s="15"/>
      <c r="V272" s="15"/>
      <c r="W272" s="15"/>
      <c r="X272" s="17"/>
      <c r="Y272" s="47"/>
      <c r="Z272" s="51"/>
      <c r="AA272" s="17"/>
      <c r="AB272" s="17"/>
      <c r="AD272" s="12"/>
      <c r="AE272" s="12"/>
      <c r="AF272" s="45"/>
      <c r="AG272" s="46"/>
      <c r="AM272" s="135"/>
      <c r="AN272" s="45"/>
      <c r="AO272" s="45"/>
      <c r="AP272" s="145"/>
      <c r="AQ272" s="146"/>
      <c r="AT272" s="146"/>
      <c r="AU272" s="146"/>
    </row>
    <row r="273" spans="1:47">
      <c r="A273" s="12"/>
      <c r="B273" s="12"/>
      <c r="C273" s="54"/>
      <c r="D273" s="54"/>
      <c r="E273" s="12" t="s">
        <v>4482</v>
      </c>
      <c r="F273" s="12" t="s">
        <v>4483</v>
      </c>
      <c r="I273" s="70">
        <v>1400.35</v>
      </c>
      <c r="J273" s="2"/>
      <c r="K273" s="2"/>
      <c r="L273" s="70">
        <f t="shared" si="20"/>
        <v>1400.35</v>
      </c>
      <c r="M273" s="2"/>
      <c r="N273" s="40"/>
      <c r="O273" s="2"/>
      <c r="P273" s="14"/>
      <c r="R273" s="16"/>
      <c r="S273" s="16"/>
      <c r="T273" s="8"/>
      <c r="U273" s="15"/>
      <c r="V273" s="15"/>
      <c r="W273" s="15"/>
      <c r="X273" s="17"/>
      <c r="Y273" s="47"/>
      <c r="Z273" s="51"/>
      <c r="AA273" s="17"/>
      <c r="AB273" s="17"/>
      <c r="AD273" s="12"/>
      <c r="AE273" s="12"/>
      <c r="AF273" s="45"/>
      <c r="AG273" s="46"/>
      <c r="AM273" s="135"/>
      <c r="AN273" s="45"/>
      <c r="AO273" s="45"/>
      <c r="AP273" s="145"/>
      <c r="AQ273" s="146"/>
      <c r="AT273" s="146"/>
      <c r="AU273" s="146"/>
    </row>
    <row r="274" spans="1:47">
      <c r="A274" s="12"/>
      <c r="B274" s="12"/>
      <c r="C274" s="54"/>
      <c r="D274" s="54"/>
      <c r="E274" s="12" t="s">
        <v>1690</v>
      </c>
      <c r="F274" s="12" t="s">
        <v>1691</v>
      </c>
      <c r="I274" s="70">
        <v>61360.959000000003</v>
      </c>
      <c r="J274" s="2"/>
      <c r="K274" s="2"/>
      <c r="L274" s="70">
        <f t="shared" si="20"/>
        <v>61360.959000000003</v>
      </c>
      <c r="M274" s="2"/>
      <c r="N274" s="40"/>
      <c r="O274" s="2"/>
      <c r="P274" s="14"/>
      <c r="R274" s="16"/>
      <c r="S274" s="16"/>
      <c r="T274" s="8"/>
      <c r="U274" s="15"/>
      <c r="V274" s="15"/>
      <c r="W274" s="15"/>
      <c r="X274" s="17"/>
      <c r="Y274" s="47"/>
      <c r="Z274" s="51"/>
      <c r="AA274" s="17"/>
      <c r="AB274" s="17"/>
      <c r="AD274" s="12"/>
      <c r="AE274" s="12"/>
      <c r="AF274" s="45"/>
      <c r="AG274" s="46"/>
      <c r="AM274" s="135"/>
      <c r="AN274" s="45"/>
      <c r="AO274" s="45"/>
      <c r="AP274" s="145"/>
      <c r="AQ274" s="146"/>
      <c r="AT274" s="146"/>
      <c r="AU274" s="146"/>
    </row>
    <row r="275" spans="1:47">
      <c r="A275" s="12"/>
      <c r="B275" s="12"/>
      <c r="C275" s="54"/>
      <c r="D275" s="54"/>
      <c r="E275" s="12" t="s">
        <v>1694</v>
      </c>
      <c r="F275" s="12" t="s">
        <v>1695</v>
      </c>
      <c r="I275" s="70">
        <v>-750</v>
      </c>
      <c r="J275" s="2"/>
      <c r="K275" s="2"/>
      <c r="L275" s="70">
        <f t="shared" si="20"/>
        <v>-750</v>
      </c>
      <c r="M275" s="2"/>
      <c r="N275" s="40"/>
      <c r="O275" s="2"/>
      <c r="P275" s="14"/>
      <c r="R275" s="16"/>
      <c r="S275" s="16"/>
      <c r="T275" s="8"/>
      <c r="U275" s="15"/>
      <c r="V275" s="15"/>
      <c r="W275" s="15"/>
      <c r="X275" s="17"/>
      <c r="Y275" s="47"/>
      <c r="Z275" s="51"/>
      <c r="AA275" s="17"/>
      <c r="AB275" s="17"/>
      <c r="AD275" s="12"/>
      <c r="AE275" s="12"/>
      <c r="AF275" s="45"/>
      <c r="AG275" s="46"/>
      <c r="AM275" s="135"/>
      <c r="AN275" s="45"/>
      <c r="AO275" s="45"/>
      <c r="AP275" s="145"/>
      <c r="AQ275" s="146"/>
      <c r="AT275" s="146"/>
      <c r="AU275" s="146"/>
    </row>
    <row r="276" spans="1:47">
      <c r="A276" s="12"/>
      <c r="B276" s="12"/>
      <c r="C276" s="54"/>
      <c r="D276" s="54"/>
      <c r="E276" s="12" t="s">
        <v>4484</v>
      </c>
      <c r="F276" s="12" t="s">
        <v>4485</v>
      </c>
      <c r="I276" s="70">
        <v>0</v>
      </c>
      <c r="J276" s="2"/>
      <c r="K276" s="2"/>
      <c r="L276" s="70">
        <f t="shared" si="20"/>
        <v>0</v>
      </c>
      <c r="M276" s="2"/>
      <c r="N276" s="40"/>
      <c r="O276" s="2"/>
      <c r="P276" s="14"/>
      <c r="R276" s="16"/>
      <c r="S276" s="16"/>
      <c r="T276" s="8"/>
      <c r="U276" s="15"/>
      <c r="V276" s="15"/>
      <c r="W276" s="15"/>
      <c r="X276" s="17"/>
      <c r="Y276" s="47"/>
      <c r="Z276" s="51"/>
      <c r="AA276" s="17"/>
      <c r="AB276" s="17"/>
      <c r="AD276" s="12"/>
      <c r="AE276" s="12"/>
      <c r="AF276" s="45"/>
      <c r="AG276" s="46"/>
      <c r="AM276" s="135"/>
      <c r="AN276" s="45"/>
      <c r="AO276" s="45"/>
      <c r="AP276" s="145"/>
      <c r="AQ276" s="146"/>
      <c r="AT276" s="146"/>
      <c r="AU276" s="146"/>
    </row>
    <row r="277" spans="1:47">
      <c r="A277" s="12"/>
      <c r="B277" s="12"/>
      <c r="C277" s="54"/>
      <c r="D277" s="54"/>
      <c r="E277" s="12" t="s">
        <v>4486</v>
      </c>
      <c r="F277" s="12" t="s">
        <v>4487</v>
      </c>
      <c r="I277" s="70">
        <v>0</v>
      </c>
      <c r="J277" s="2"/>
      <c r="K277" s="2"/>
      <c r="L277" s="70">
        <f t="shared" si="20"/>
        <v>0</v>
      </c>
      <c r="M277" s="2"/>
      <c r="N277" s="40"/>
      <c r="O277" s="2"/>
      <c r="P277" s="14"/>
      <c r="R277" s="16"/>
      <c r="S277" s="16"/>
      <c r="T277" s="8"/>
      <c r="U277" s="15"/>
      <c r="V277" s="15"/>
      <c r="W277" s="15"/>
      <c r="X277" s="17"/>
      <c r="Y277" s="47"/>
      <c r="Z277" s="51"/>
      <c r="AA277" s="17"/>
      <c r="AB277" s="17"/>
      <c r="AD277" s="12"/>
      <c r="AE277" s="12"/>
      <c r="AF277" s="45"/>
      <c r="AG277" s="46"/>
      <c r="AM277" s="135"/>
      <c r="AN277" s="45"/>
      <c r="AO277" s="45"/>
      <c r="AP277" s="145"/>
      <c r="AQ277" s="146"/>
      <c r="AT277" s="146"/>
      <c r="AU277" s="146"/>
    </row>
    <row r="278" spans="1:47">
      <c r="A278" s="12"/>
      <c r="B278" s="12"/>
      <c r="C278" s="54"/>
      <c r="D278" s="54"/>
      <c r="E278" s="12" t="s">
        <v>4488</v>
      </c>
      <c r="F278" s="12" t="s">
        <v>4489</v>
      </c>
      <c r="I278" s="70">
        <v>0</v>
      </c>
      <c r="J278" s="2"/>
      <c r="K278" s="2"/>
      <c r="L278" s="70">
        <f t="shared" si="20"/>
        <v>0</v>
      </c>
      <c r="M278" s="2"/>
      <c r="N278" s="40"/>
      <c r="O278" s="2"/>
      <c r="P278" s="14"/>
      <c r="R278" s="16"/>
      <c r="S278" s="16"/>
      <c r="T278" s="8"/>
      <c r="U278" s="15"/>
      <c r="V278" s="15"/>
      <c r="W278" s="15"/>
      <c r="X278" s="17"/>
      <c r="Y278" s="47"/>
      <c r="Z278" s="51"/>
      <c r="AA278" s="17"/>
      <c r="AB278" s="17"/>
      <c r="AD278" s="12"/>
      <c r="AE278" s="12"/>
      <c r="AF278" s="45"/>
      <c r="AG278" s="46"/>
      <c r="AM278" s="135"/>
      <c r="AN278" s="45"/>
      <c r="AO278" s="45"/>
      <c r="AP278" s="145"/>
      <c r="AQ278" s="146"/>
      <c r="AT278" s="146"/>
      <c r="AU278" s="146"/>
    </row>
    <row r="279" spans="1:47">
      <c r="A279" s="12"/>
      <c r="B279" s="12"/>
      <c r="C279" s="54"/>
      <c r="D279" s="54"/>
      <c r="E279" s="12" t="s">
        <v>1696</v>
      </c>
      <c r="F279" s="12" t="s">
        <v>1697</v>
      </c>
      <c r="I279" s="70">
        <v>96019.591</v>
      </c>
      <c r="J279" s="2"/>
      <c r="K279" s="2"/>
      <c r="L279" s="70">
        <f t="shared" si="20"/>
        <v>96019.591</v>
      </c>
      <c r="M279" s="2"/>
      <c r="N279" s="40"/>
      <c r="O279" s="2"/>
      <c r="P279" s="14"/>
      <c r="R279" s="16"/>
      <c r="S279" s="16"/>
      <c r="T279" s="8"/>
      <c r="U279" s="15"/>
      <c r="V279" s="15"/>
      <c r="W279" s="15"/>
      <c r="X279" s="17"/>
      <c r="Y279" s="47"/>
      <c r="Z279" s="51"/>
      <c r="AA279" s="17"/>
      <c r="AB279" s="17"/>
      <c r="AD279" s="12"/>
      <c r="AE279" s="12"/>
      <c r="AF279" s="45"/>
      <c r="AG279" s="46"/>
      <c r="AM279" s="135"/>
      <c r="AN279" s="45"/>
      <c r="AO279" s="45"/>
      <c r="AP279" s="145"/>
      <c r="AQ279" s="146"/>
      <c r="AT279" s="146"/>
      <c r="AU279" s="146"/>
    </row>
    <row r="280" spans="1:47">
      <c r="A280" s="12"/>
      <c r="B280" s="12"/>
      <c r="C280" s="54"/>
      <c r="D280" s="54"/>
      <c r="E280" s="12" t="s">
        <v>1698</v>
      </c>
      <c r="F280" s="12" t="s">
        <v>1699</v>
      </c>
      <c r="I280" s="70">
        <v>75576.933999999994</v>
      </c>
      <c r="J280" s="2">
        <v>10712.1</v>
      </c>
      <c r="K280" s="2"/>
      <c r="L280" s="70">
        <f t="shared" si="20"/>
        <v>86289.034</v>
      </c>
      <c r="M280" s="2"/>
      <c r="N280" s="40"/>
      <c r="O280" s="2"/>
      <c r="P280" s="14"/>
      <c r="R280" s="16"/>
      <c r="S280" s="16"/>
      <c r="T280" s="8"/>
      <c r="U280" s="15"/>
      <c r="V280" s="15"/>
      <c r="W280" s="15"/>
      <c r="X280" s="17"/>
      <c r="Y280" s="47"/>
      <c r="Z280" s="51"/>
      <c r="AA280" s="17"/>
      <c r="AB280" s="17"/>
      <c r="AD280" s="12"/>
      <c r="AE280" s="12"/>
      <c r="AF280" s="45"/>
      <c r="AG280" s="46"/>
      <c r="AM280" s="135"/>
      <c r="AN280" s="45"/>
      <c r="AO280" s="45"/>
      <c r="AP280" s="145"/>
      <c r="AQ280" s="146"/>
      <c r="AT280" s="146"/>
      <c r="AU280" s="146"/>
    </row>
    <row r="281" spans="1:47">
      <c r="A281" s="12"/>
      <c r="B281" s="12"/>
      <c r="C281" s="54"/>
      <c r="D281" s="54"/>
      <c r="E281" s="12" t="s">
        <v>4490</v>
      </c>
      <c r="F281" s="12" t="s">
        <v>1808</v>
      </c>
      <c r="I281" s="70">
        <v>0</v>
      </c>
      <c r="J281" s="2"/>
      <c r="K281" s="2"/>
      <c r="L281" s="70">
        <f t="shared" si="20"/>
        <v>0</v>
      </c>
      <c r="M281" s="2"/>
      <c r="N281" s="40"/>
      <c r="O281" s="2"/>
      <c r="P281" s="14"/>
      <c r="R281" s="16"/>
      <c r="S281" s="16"/>
      <c r="T281" s="8"/>
      <c r="U281" s="15"/>
      <c r="V281" s="15"/>
      <c r="W281" s="15"/>
      <c r="X281" s="17"/>
      <c r="Y281" s="47"/>
      <c r="Z281" s="51"/>
      <c r="AA281" s="17"/>
      <c r="AB281" s="17"/>
      <c r="AD281" s="12"/>
      <c r="AE281" s="12"/>
      <c r="AF281" s="45"/>
      <c r="AG281" s="46"/>
      <c r="AM281" s="135"/>
      <c r="AN281" s="45"/>
      <c r="AO281" s="45"/>
      <c r="AP281" s="145"/>
      <c r="AQ281" s="146"/>
      <c r="AT281" s="146"/>
      <c r="AU281" s="146"/>
    </row>
    <row r="282" spans="1:47">
      <c r="A282" s="12"/>
      <c r="B282" s="12"/>
      <c r="C282" s="54"/>
      <c r="D282" s="54"/>
      <c r="E282" s="12" t="s">
        <v>1700</v>
      </c>
      <c r="F282" s="12" t="s">
        <v>1701</v>
      </c>
      <c r="I282" s="70">
        <v>180391.92199999999</v>
      </c>
      <c r="J282" s="2"/>
      <c r="K282" s="2"/>
      <c r="L282" s="70">
        <f t="shared" si="20"/>
        <v>180391.92199999999</v>
      </c>
      <c r="M282" s="2"/>
      <c r="N282" s="40"/>
      <c r="O282" s="2"/>
      <c r="P282" s="14"/>
      <c r="R282" s="16"/>
      <c r="S282" s="16"/>
      <c r="T282" s="8"/>
      <c r="U282" s="15"/>
      <c r="V282" s="15"/>
      <c r="W282" s="15"/>
      <c r="X282" s="17"/>
      <c r="Y282" s="47"/>
      <c r="Z282" s="51"/>
      <c r="AA282" s="17"/>
      <c r="AB282" s="17"/>
      <c r="AD282" s="12"/>
      <c r="AE282" s="12"/>
      <c r="AF282" s="45"/>
      <c r="AG282" s="46"/>
      <c r="AM282" s="135"/>
      <c r="AN282" s="45"/>
      <c r="AO282" s="45"/>
      <c r="AP282" s="145"/>
      <c r="AQ282" s="146"/>
      <c r="AT282" s="146"/>
      <c r="AU282" s="146"/>
    </row>
    <row r="283" spans="1:47">
      <c r="A283" s="12"/>
      <c r="B283" s="12"/>
      <c r="C283" s="54"/>
      <c r="D283" s="54"/>
      <c r="E283" s="12" t="s">
        <v>1702</v>
      </c>
      <c r="F283" s="12" t="s">
        <v>1703</v>
      </c>
      <c r="I283" s="70">
        <v>39600</v>
      </c>
      <c r="J283" s="2"/>
      <c r="K283" s="2"/>
      <c r="L283" s="70">
        <f t="shared" si="20"/>
        <v>39600</v>
      </c>
      <c r="M283" s="2"/>
      <c r="N283" s="40"/>
      <c r="O283" s="2"/>
      <c r="P283" s="14"/>
      <c r="R283" s="16"/>
      <c r="S283" s="16"/>
      <c r="T283" s="8"/>
      <c r="U283" s="15"/>
      <c r="V283" s="15"/>
      <c r="W283" s="15"/>
      <c r="X283" s="17"/>
      <c r="Y283" s="47"/>
      <c r="Z283" s="51"/>
      <c r="AA283" s="17"/>
      <c r="AB283" s="17"/>
      <c r="AD283" s="12"/>
      <c r="AE283" s="12"/>
      <c r="AF283" s="45"/>
      <c r="AG283" s="46"/>
      <c r="AM283" s="135"/>
      <c r="AN283" s="45"/>
      <c r="AO283" s="45"/>
      <c r="AP283" s="145"/>
      <c r="AQ283" s="146"/>
      <c r="AT283" s="146"/>
      <c r="AU283" s="146"/>
    </row>
    <row r="284" spans="1:47">
      <c r="A284" s="12"/>
      <c r="B284" s="12"/>
      <c r="C284" s="54"/>
      <c r="D284" s="54"/>
      <c r="E284" s="12" t="s">
        <v>1704</v>
      </c>
      <c r="F284" s="12" t="s">
        <v>1705</v>
      </c>
      <c r="I284" s="70">
        <v>35788.856</v>
      </c>
      <c r="J284" s="2"/>
      <c r="K284" s="2"/>
      <c r="L284" s="70">
        <f t="shared" si="20"/>
        <v>35788.856</v>
      </c>
      <c r="M284" s="2"/>
      <c r="N284" s="40"/>
      <c r="O284" s="2"/>
      <c r="P284" s="14"/>
      <c r="R284" s="16"/>
      <c r="S284" s="16"/>
      <c r="T284" s="8"/>
      <c r="U284" s="15"/>
      <c r="V284" s="15"/>
      <c r="W284" s="15"/>
      <c r="X284" s="17"/>
      <c r="Y284" s="47"/>
      <c r="Z284" s="51"/>
      <c r="AA284" s="17"/>
      <c r="AB284" s="17"/>
      <c r="AD284" s="12"/>
      <c r="AE284" s="12"/>
      <c r="AF284" s="45"/>
      <c r="AG284" s="46"/>
      <c r="AM284" s="135"/>
      <c r="AN284" s="45"/>
      <c r="AO284" s="45"/>
      <c r="AP284" s="145"/>
      <c r="AQ284" s="146"/>
      <c r="AT284" s="146"/>
      <c r="AU284" s="146"/>
    </row>
    <row r="285" spans="1:47">
      <c r="A285" s="12"/>
      <c r="B285" s="12"/>
      <c r="C285" s="54"/>
      <c r="D285" s="54"/>
      <c r="E285" s="12" t="s">
        <v>1706</v>
      </c>
      <c r="F285" s="12" t="s">
        <v>1707</v>
      </c>
      <c r="I285" s="70">
        <v>14524.598</v>
      </c>
      <c r="J285" s="2"/>
      <c r="K285" s="2"/>
      <c r="L285" s="70">
        <f t="shared" si="20"/>
        <v>14524.598</v>
      </c>
      <c r="M285" s="2"/>
      <c r="N285" s="40"/>
      <c r="O285" s="2"/>
      <c r="P285" s="14"/>
      <c r="R285" s="16"/>
      <c r="S285" s="16"/>
      <c r="T285" s="8"/>
      <c r="U285" s="15"/>
      <c r="V285" s="15"/>
      <c r="W285" s="15"/>
      <c r="X285" s="17"/>
      <c r="Y285" s="47"/>
      <c r="Z285" s="51"/>
      <c r="AA285" s="17"/>
      <c r="AB285" s="17"/>
      <c r="AD285" s="12"/>
      <c r="AE285" s="12"/>
      <c r="AF285" s="45"/>
      <c r="AG285" s="46"/>
      <c r="AM285" s="135"/>
      <c r="AN285" s="45"/>
      <c r="AO285" s="45"/>
      <c r="AP285" s="145"/>
      <c r="AQ285" s="146"/>
      <c r="AT285" s="146"/>
      <c r="AU285" s="146"/>
    </row>
    <row r="286" spans="1:47">
      <c r="A286" s="12"/>
      <c r="B286" s="12"/>
      <c r="C286" s="54"/>
      <c r="D286" s="54"/>
      <c r="E286" s="12" t="s">
        <v>1708</v>
      </c>
      <c r="F286" s="12" t="s">
        <v>1709</v>
      </c>
      <c r="I286" s="70">
        <v>394571.42</v>
      </c>
      <c r="J286" s="2"/>
      <c r="K286" s="2"/>
      <c r="L286" s="70">
        <f t="shared" si="20"/>
        <v>394571.42</v>
      </c>
      <c r="M286" s="2"/>
      <c r="N286" s="40"/>
      <c r="O286" s="2"/>
      <c r="P286" s="14"/>
      <c r="R286" s="16"/>
      <c r="S286" s="16"/>
      <c r="T286" s="8"/>
      <c r="U286" s="15"/>
      <c r="V286" s="15"/>
      <c r="W286" s="15"/>
      <c r="X286" s="17"/>
      <c r="Y286" s="47"/>
      <c r="Z286" s="51"/>
      <c r="AA286" s="17"/>
      <c r="AB286" s="17"/>
      <c r="AD286" s="12"/>
      <c r="AE286" s="12"/>
      <c r="AF286" s="45"/>
      <c r="AG286" s="46"/>
      <c r="AM286" s="135"/>
      <c r="AN286" s="45"/>
      <c r="AO286" s="45"/>
      <c r="AP286" s="145"/>
      <c r="AQ286" s="146"/>
      <c r="AT286" s="146"/>
      <c r="AU286" s="146"/>
    </row>
    <row r="287" spans="1:47">
      <c r="A287" s="12"/>
      <c r="B287" s="12"/>
      <c r="C287" s="54"/>
      <c r="D287" s="54"/>
      <c r="E287" s="12" t="s">
        <v>1710</v>
      </c>
      <c r="F287" s="12" t="s">
        <v>1711</v>
      </c>
      <c r="I287" s="70">
        <v>0</v>
      </c>
      <c r="J287" s="2"/>
      <c r="K287" s="2"/>
      <c r="L287" s="70">
        <f t="shared" si="20"/>
        <v>0</v>
      </c>
      <c r="M287" s="2"/>
      <c r="N287" s="40"/>
      <c r="O287" s="2"/>
      <c r="P287" s="14"/>
      <c r="R287" s="16"/>
      <c r="S287" s="16"/>
      <c r="T287" s="8"/>
      <c r="U287" s="15"/>
      <c r="V287" s="15"/>
      <c r="W287" s="15"/>
      <c r="X287" s="17"/>
      <c r="Y287" s="47"/>
      <c r="Z287" s="51"/>
      <c r="AA287" s="17"/>
      <c r="AB287" s="17"/>
      <c r="AD287" s="12"/>
      <c r="AE287" s="12"/>
      <c r="AF287" s="45"/>
      <c r="AG287" s="46"/>
      <c r="AM287" s="135"/>
      <c r="AN287" s="45"/>
      <c r="AO287" s="45"/>
      <c r="AP287" s="145"/>
      <c r="AQ287" s="146"/>
      <c r="AT287" s="146"/>
      <c r="AU287" s="146"/>
    </row>
    <row r="288" spans="1:47">
      <c r="A288" s="12"/>
      <c r="B288" s="12"/>
      <c r="C288" s="54"/>
      <c r="D288" s="54"/>
      <c r="E288" s="12" t="s">
        <v>4491</v>
      </c>
      <c r="F288" s="12" t="s">
        <v>1818</v>
      </c>
      <c r="I288" s="70">
        <v>0</v>
      </c>
      <c r="J288" s="2"/>
      <c r="K288" s="2"/>
      <c r="L288" s="70">
        <f t="shared" si="20"/>
        <v>0</v>
      </c>
      <c r="M288" s="2"/>
      <c r="N288" s="40"/>
      <c r="O288" s="2"/>
      <c r="P288" s="14"/>
      <c r="R288" s="16"/>
      <c r="S288" s="16"/>
      <c r="T288" s="8"/>
      <c r="U288" s="15"/>
      <c r="V288" s="15"/>
      <c r="W288" s="15"/>
      <c r="X288" s="17"/>
      <c r="Y288" s="47"/>
      <c r="Z288" s="51"/>
      <c r="AA288" s="17"/>
      <c r="AB288" s="17"/>
      <c r="AD288" s="12"/>
      <c r="AE288" s="12"/>
      <c r="AF288" s="45"/>
      <c r="AG288" s="46"/>
      <c r="AM288" s="135"/>
      <c r="AN288" s="45"/>
      <c r="AO288" s="45"/>
      <c r="AP288" s="145"/>
      <c r="AQ288" s="146"/>
      <c r="AT288" s="146"/>
      <c r="AU288" s="146"/>
    </row>
    <row r="289" spans="1:47">
      <c r="A289" s="12"/>
      <c r="B289" s="12"/>
      <c r="C289" s="54"/>
      <c r="D289" s="54"/>
      <c r="E289" s="12" t="s">
        <v>1712</v>
      </c>
      <c r="F289" s="12" t="s">
        <v>1713</v>
      </c>
      <c r="I289" s="70">
        <v>128481.5</v>
      </c>
      <c r="J289" s="2"/>
      <c r="K289" s="2"/>
      <c r="L289" s="70">
        <f t="shared" si="20"/>
        <v>128481.5</v>
      </c>
      <c r="M289" s="2"/>
      <c r="N289" s="40"/>
      <c r="O289" s="2"/>
      <c r="P289" s="14"/>
      <c r="R289" s="16"/>
      <c r="S289" s="16"/>
      <c r="T289" s="8"/>
      <c r="U289" s="15"/>
      <c r="V289" s="15"/>
      <c r="W289" s="15"/>
      <c r="X289" s="17"/>
      <c r="Y289" s="47"/>
      <c r="Z289" s="51"/>
      <c r="AA289" s="17"/>
      <c r="AB289" s="17"/>
      <c r="AD289" s="12"/>
      <c r="AE289" s="12"/>
      <c r="AF289" s="45"/>
      <c r="AG289" s="46"/>
      <c r="AM289" s="135"/>
      <c r="AN289" s="45"/>
      <c r="AO289" s="45"/>
      <c r="AP289" s="145"/>
      <c r="AQ289" s="146"/>
      <c r="AT289" s="146"/>
      <c r="AU289" s="146"/>
    </row>
    <row r="290" spans="1:47">
      <c r="A290" s="12"/>
      <c r="B290" s="12"/>
      <c r="C290" s="54"/>
      <c r="D290" s="54"/>
      <c r="E290" s="12" t="s">
        <v>1714</v>
      </c>
      <c r="F290" s="12" t="s">
        <v>1715</v>
      </c>
      <c r="I290" s="70">
        <v>86725.53</v>
      </c>
      <c r="J290" s="2"/>
      <c r="K290" s="2"/>
      <c r="L290" s="70">
        <f t="shared" ref="L290:L295" si="21">I290+J290-K290</f>
        <v>86725.53</v>
      </c>
      <c r="M290" s="2"/>
      <c r="N290" s="40"/>
      <c r="O290" s="2"/>
      <c r="P290" s="14"/>
      <c r="R290" s="16"/>
      <c r="S290" s="16"/>
      <c r="T290" s="8"/>
      <c r="U290" s="15"/>
      <c r="V290" s="15"/>
      <c r="W290" s="15"/>
      <c r="X290" s="17"/>
      <c r="Y290" s="47"/>
      <c r="Z290" s="51"/>
      <c r="AA290" s="17"/>
      <c r="AB290" s="17"/>
      <c r="AD290" s="12"/>
      <c r="AE290" s="12"/>
      <c r="AF290" s="45"/>
      <c r="AG290" s="46"/>
      <c r="AM290" s="135"/>
      <c r="AN290" s="45"/>
      <c r="AO290" s="45"/>
      <c r="AP290" s="145"/>
      <c r="AQ290" s="146"/>
      <c r="AT290" s="146"/>
      <c r="AU290" s="146"/>
    </row>
    <row r="291" spans="1:47">
      <c r="A291" s="12"/>
      <c r="B291" s="12"/>
      <c r="C291" s="54"/>
      <c r="D291" s="54"/>
      <c r="E291" s="12" t="s">
        <v>1716</v>
      </c>
      <c r="F291" s="12" t="s">
        <v>789</v>
      </c>
      <c r="I291" s="70">
        <v>972217.94400000002</v>
      </c>
      <c r="J291" s="2">
        <v>27249.998</v>
      </c>
      <c r="K291" s="2"/>
      <c r="L291" s="70">
        <f t="shared" si="21"/>
        <v>999467.94200000004</v>
      </c>
      <c r="M291" s="2"/>
      <c r="N291" s="40"/>
      <c r="O291" s="2"/>
      <c r="P291" s="14"/>
      <c r="R291" s="16"/>
      <c r="S291" s="16"/>
      <c r="T291" s="8"/>
      <c r="U291" s="15"/>
      <c r="V291" s="15"/>
      <c r="W291" s="15"/>
      <c r="X291" s="17"/>
      <c r="Y291" s="47"/>
      <c r="Z291" s="51"/>
      <c r="AA291" s="17"/>
      <c r="AB291" s="17"/>
      <c r="AD291" s="12"/>
      <c r="AE291" s="12"/>
      <c r="AF291" s="45"/>
      <c r="AG291" s="46"/>
      <c r="AM291" s="135"/>
      <c r="AN291" s="45"/>
      <c r="AO291" s="45"/>
      <c r="AP291" s="145"/>
      <c r="AQ291" s="146"/>
      <c r="AT291" s="146"/>
      <c r="AU291" s="146"/>
    </row>
    <row r="292" spans="1:47">
      <c r="A292" s="12"/>
      <c r="B292" s="12"/>
      <c r="C292" s="54"/>
      <c r="D292" s="54"/>
      <c r="E292" s="12" t="s">
        <v>1717</v>
      </c>
      <c r="F292" s="12" t="s">
        <v>1718</v>
      </c>
      <c r="I292" s="70">
        <v>1571</v>
      </c>
      <c r="J292" s="2"/>
      <c r="K292" s="2"/>
      <c r="L292" s="70">
        <f t="shared" si="21"/>
        <v>1571</v>
      </c>
      <c r="M292" s="2"/>
      <c r="N292" s="40"/>
      <c r="O292" s="2"/>
      <c r="P292" s="14"/>
      <c r="R292" s="16"/>
      <c r="S292" s="16"/>
      <c r="T292" s="8"/>
      <c r="U292" s="15"/>
      <c r="V292" s="15"/>
      <c r="W292" s="15"/>
      <c r="X292" s="17"/>
      <c r="Y292" s="47"/>
      <c r="Z292" s="51"/>
      <c r="AA292" s="17"/>
      <c r="AB292" s="17"/>
      <c r="AD292" s="12"/>
      <c r="AE292" s="12"/>
      <c r="AF292" s="45"/>
      <c r="AG292" s="46"/>
      <c r="AM292" s="135"/>
      <c r="AN292" s="45"/>
      <c r="AO292" s="45"/>
      <c r="AP292" s="145"/>
      <c r="AQ292" s="146"/>
      <c r="AT292" s="146"/>
      <c r="AU292" s="146"/>
    </row>
    <row r="293" spans="1:47">
      <c r="A293" s="12"/>
      <c r="B293" s="12"/>
      <c r="C293" s="54"/>
      <c r="D293" s="54"/>
      <c r="E293" s="12" t="s">
        <v>4492</v>
      </c>
      <c r="F293" s="12" t="s">
        <v>4493</v>
      </c>
      <c r="I293" s="70">
        <v>0</v>
      </c>
      <c r="J293" s="2"/>
      <c r="K293" s="2"/>
      <c r="L293" s="70">
        <f t="shared" si="21"/>
        <v>0</v>
      </c>
      <c r="M293" s="2"/>
      <c r="N293" s="40"/>
      <c r="O293" s="2"/>
      <c r="P293" s="14"/>
      <c r="R293" s="16"/>
      <c r="S293" s="16"/>
      <c r="T293" s="8"/>
      <c r="U293" s="15"/>
      <c r="V293" s="15"/>
      <c r="W293" s="15"/>
      <c r="X293" s="17"/>
      <c r="Y293" s="47"/>
      <c r="Z293" s="51"/>
      <c r="AA293" s="17"/>
      <c r="AB293" s="17"/>
      <c r="AD293" s="12"/>
      <c r="AE293" s="12"/>
      <c r="AF293" s="45"/>
      <c r="AG293" s="46"/>
      <c r="AM293" s="135"/>
      <c r="AN293" s="45"/>
      <c r="AO293" s="45"/>
      <c r="AP293" s="145"/>
      <c r="AQ293" s="146"/>
      <c r="AT293" s="146"/>
      <c r="AU293" s="146"/>
    </row>
    <row r="294" spans="1:47">
      <c r="A294" s="12"/>
      <c r="B294" s="12"/>
      <c r="C294" s="54"/>
      <c r="D294" s="54"/>
      <c r="E294" s="12" t="s">
        <v>1719</v>
      </c>
      <c r="F294" s="12" t="s">
        <v>1720</v>
      </c>
      <c r="I294" s="70">
        <v>0</v>
      </c>
      <c r="J294" s="2"/>
      <c r="K294" s="2"/>
      <c r="L294" s="70">
        <f t="shared" si="21"/>
        <v>0</v>
      </c>
      <c r="M294" s="2"/>
      <c r="N294" s="40"/>
      <c r="O294" s="2"/>
      <c r="P294" s="14"/>
      <c r="R294" s="16"/>
      <c r="S294" s="16"/>
      <c r="T294" s="8"/>
      <c r="U294" s="15"/>
      <c r="V294" s="15"/>
      <c r="W294" s="15"/>
      <c r="X294" s="17"/>
      <c r="Y294" s="47"/>
      <c r="Z294" s="51"/>
      <c r="AA294" s="17"/>
      <c r="AB294" s="17"/>
      <c r="AD294" s="12"/>
      <c r="AE294" s="12"/>
      <c r="AF294" s="45"/>
      <c r="AG294" s="46"/>
      <c r="AM294" s="135"/>
      <c r="AN294" s="45"/>
      <c r="AO294" s="45"/>
      <c r="AP294" s="145"/>
      <c r="AQ294" s="146"/>
      <c r="AT294" s="146"/>
      <c r="AU294" s="146"/>
    </row>
    <row r="295" spans="1:47">
      <c r="A295" s="12"/>
      <c r="B295" s="12"/>
      <c r="C295" s="54"/>
      <c r="D295" s="54"/>
      <c r="E295" s="12" t="s">
        <v>1721</v>
      </c>
      <c r="F295" s="12" t="s">
        <v>1722</v>
      </c>
      <c r="I295" s="70">
        <v>393924.03600000002</v>
      </c>
      <c r="J295" s="2">
        <v>7800</v>
      </c>
      <c r="K295" s="2"/>
      <c r="L295" s="70">
        <f t="shared" si="21"/>
        <v>401724.03600000002</v>
      </c>
      <c r="M295" s="2"/>
      <c r="N295" s="40"/>
      <c r="O295" s="2"/>
      <c r="P295" s="14"/>
      <c r="R295" s="16"/>
      <c r="S295" s="16"/>
      <c r="T295" s="8"/>
      <c r="U295" s="15"/>
      <c r="V295" s="15"/>
      <c r="W295" s="15"/>
      <c r="X295" s="17"/>
      <c r="Y295" s="47"/>
      <c r="Z295" s="51"/>
      <c r="AA295" s="17"/>
      <c r="AB295" s="17"/>
      <c r="AD295" s="12"/>
      <c r="AE295" s="12"/>
      <c r="AF295" s="45"/>
      <c r="AG295" s="46"/>
      <c r="AM295" s="135"/>
      <c r="AN295" s="45"/>
      <c r="AO295" s="45"/>
      <c r="AP295" s="145"/>
      <c r="AQ295" s="146"/>
      <c r="AT295" s="146"/>
      <c r="AU295" s="146"/>
    </row>
    <row r="296" spans="1:47">
      <c r="A296" s="12"/>
      <c r="B296" s="12"/>
      <c r="C296" s="54"/>
      <c r="D296" s="54"/>
      <c r="E296" s="12" t="s">
        <v>1723</v>
      </c>
      <c r="F296" s="12" t="s">
        <v>1724</v>
      </c>
      <c r="I296" s="70">
        <v>38096.22</v>
      </c>
      <c r="J296" s="2"/>
      <c r="K296" s="2"/>
      <c r="L296" s="70">
        <f t="shared" ref="L296:L307" si="22">I296+J296-K296</f>
        <v>38096.22</v>
      </c>
      <c r="M296" s="2"/>
      <c r="N296" s="40"/>
      <c r="O296" s="2"/>
      <c r="P296" s="14"/>
      <c r="R296" s="16"/>
      <c r="S296" s="16"/>
      <c r="T296" s="8"/>
      <c r="U296" s="15"/>
      <c r="V296" s="15"/>
      <c r="W296" s="15"/>
      <c r="X296" s="17"/>
      <c r="Y296" s="47"/>
      <c r="Z296" s="51"/>
      <c r="AA296" s="17"/>
      <c r="AB296" s="17"/>
      <c r="AD296" s="12"/>
      <c r="AE296" s="12"/>
      <c r="AF296" s="45"/>
      <c r="AG296" s="46"/>
      <c r="AM296" s="135"/>
      <c r="AN296" s="45"/>
      <c r="AO296" s="45"/>
      <c r="AP296" s="145"/>
      <c r="AQ296" s="146"/>
      <c r="AT296" s="146"/>
      <c r="AU296" s="146"/>
    </row>
    <row r="297" spans="1:47">
      <c r="A297" s="12"/>
      <c r="B297" s="12"/>
      <c r="C297" s="54"/>
      <c r="D297" s="54"/>
      <c r="E297" s="12" t="s">
        <v>4494</v>
      </c>
      <c r="F297" s="12" t="s">
        <v>4495</v>
      </c>
      <c r="I297" s="70">
        <v>0</v>
      </c>
      <c r="J297" s="2"/>
      <c r="K297" s="2"/>
      <c r="L297" s="70">
        <f t="shared" si="22"/>
        <v>0</v>
      </c>
      <c r="M297" s="2"/>
      <c r="N297" s="40"/>
      <c r="O297" s="2"/>
      <c r="P297" s="14"/>
      <c r="R297" s="16"/>
      <c r="S297" s="16"/>
      <c r="T297" s="8"/>
      <c r="U297" s="15"/>
      <c r="V297" s="15"/>
      <c r="W297" s="15"/>
      <c r="X297" s="17"/>
      <c r="Y297" s="47"/>
      <c r="Z297" s="51"/>
      <c r="AA297" s="17"/>
      <c r="AB297" s="17"/>
      <c r="AD297" s="12"/>
      <c r="AE297" s="12"/>
      <c r="AF297" s="45"/>
      <c r="AG297" s="46"/>
      <c r="AM297" s="135"/>
      <c r="AN297" s="45"/>
      <c r="AO297" s="45"/>
      <c r="AP297" s="145"/>
      <c r="AQ297" s="146"/>
      <c r="AT297" s="146"/>
      <c r="AU297" s="146"/>
    </row>
    <row r="298" spans="1:47">
      <c r="A298" s="12"/>
      <c r="B298" s="12"/>
      <c r="C298" s="54"/>
      <c r="D298" s="54"/>
      <c r="E298" s="12" t="s">
        <v>4496</v>
      </c>
      <c r="F298" s="12" t="s">
        <v>4497</v>
      </c>
      <c r="I298" s="70">
        <v>0</v>
      </c>
      <c r="J298" s="2"/>
      <c r="K298" s="2"/>
      <c r="L298" s="70">
        <f t="shared" si="22"/>
        <v>0</v>
      </c>
      <c r="M298" s="2"/>
      <c r="N298" s="40"/>
      <c r="O298" s="2"/>
      <c r="P298" s="14"/>
      <c r="R298" s="16"/>
      <c r="S298" s="16"/>
      <c r="T298" s="8"/>
      <c r="U298" s="15"/>
      <c r="V298" s="15"/>
      <c r="W298" s="15"/>
      <c r="X298" s="17"/>
      <c r="Y298" s="47"/>
      <c r="Z298" s="51"/>
      <c r="AA298" s="17"/>
      <c r="AB298" s="17"/>
      <c r="AD298" s="12"/>
      <c r="AE298" s="12"/>
      <c r="AF298" s="45"/>
      <c r="AG298" s="46"/>
      <c r="AM298" s="135"/>
      <c r="AN298" s="45"/>
      <c r="AO298" s="45"/>
      <c r="AP298" s="145"/>
      <c r="AQ298" s="146"/>
      <c r="AT298" s="146"/>
      <c r="AU298" s="146"/>
    </row>
    <row r="299" spans="1:47">
      <c r="A299" s="12"/>
      <c r="B299" s="12"/>
      <c r="C299" s="54"/>
      <c r="D299" s="54"/>
      <c r="E299" s="12" t="s">
        <v>1725</v>
      </c>
      <c r="F299" s="12" t="s">
        <v>1726</v>
      </c>
      <c r="I299" s="70">
        <v>42405.868000000002</v>
      </c>
      <c r="J299" s="2">
        <v>20274.114000000001</v>
      </c>
      <c r="K299" s="2"/>
      <c r="L299" s="70">
        <f t="shared" si="22"/>
        <v>62679.982000000004</v>
      </c>
      <c r="M299" s="2"/>
      <c r="N299" s="40"/>
      <c r="O299" s="2"/>
      <c r="P299" s="14"/>
      <c r="R299" s="16"/>
      <c r="S299" s="16"/>
      <c r="T299" s="8"/>
      <c r="U299" s="15"/>
      <c r="V299" s="15"/>
      <c r="W299" s="15"/>
      <c r="X299" s="17"/>
      <c r="Y299" s="47"/>
      <c r="Z299" s="51"/>
      <c r="AA299" s="17"/>
      <c r="AB299" s="17"/>
      <c r="AD299" s="12"/>
      <c r="AE299" s="12"/>
      <c r="AF299" s="45"/>
      <c r="AG299" s="46"/>
      <c r="AM299" s="135"/>
      <c r="AN299" s="45"/>
      <c r="AO299" s="45"/>
      <c r="AP299" s="145"/>
      <c r="AQ299" s="146"/>
      <c r="AT299" s="146"/>
      <c r="AU299" s="146"/>
    </row>
    <row r="300" spans="1:47">
      <c r="A300" s="12"/>
      <c r="B300" s="12"/>
      <c r="C300" s="54"/>
      <c r="D300" s="54"/>
      <c r="E300" s="12" t="s">
        <v>1727</v>
      </c>
      <c r="F300" s="12" t="s">
        <v>1726</v>
      </c>
      <c r="I300" s="70">
        <v>35695.404000000002</v>
      </c>
      <c r="J300" s="2">
        <v>20274.114000000001</v>
      </c>
      <c r="K300" s="2"/>
      <c r="L300" s="70">
        <f t="shared" si="22"/>
        <v>55969.518000000004</v>
      </c>
      <c r="M300" s="2"/>
      <c r="N300" s="40"/>
      <c r="O300" s="2"/>
      <c r="P300" s="14"/>
      <c r="R300" s="16"/>
      <c r="S300" s="16"/>
      <c r="T300" s="8"/>
      <c r="U300" s="15"/>
      <c r="V300" s="15"/>
      <c r="W300" s="15"/>
      <c r="X300" s="17"/>
      <c r="Y300" s="47"/>
      <c r="Z300" s="51"/>
      <c r="AA300" s="17"/>
      <c r="AB300" s="17"/>
      <c r="AD300" s="12"/>
      <c r="AE300" s="12"/>
      <c r="AF300" s="45"/>
      <c r="AG300" s="46"/>
      <c r="AM300" s="135"/>
      <c r="AN300" s="45"/>
      <c r="AO300" s="45"/>
      <c r="AP300" s="145"/>
      <c r="AQ300" s="146"/>
      <c r="AT300" s="146"/>
      <c r="AU300" s="146"/>
    </row>
    <row r="301" spans="1:47" s="291" customFormat="1">
      <c r="A301" s="282"/>
      <c r="B301" s="282"/>
      <c r="C301" s="283"/>
      <c r="D301" s="283"/>
      <c r="E301" s="296" t="s">
        <v>1730</v>
      </c>
      <c r="F301" s="296" t="s">
        <v>1731</v>
      </c>
      <c r="G301" s="297"/>
      <c r="H301" s="298"/>
      <c r="I301" s="299">
        <v>780144.38</v>
      </c>
      <c r="J301" s="300">
        <v>118664.12</v>
      </c>
      <c r="K301" s="300">
        <v>49673</v>
      </c>
      <c r="L301" s="299">
        <f t="shared" si="22"/>
        <v>849135.5</v>
      </c>
      <c r="M301" s="300"/>
      <c r="N301" s="302"/>
      <c r="O301" s="300"/>
      <c r="P301" s="303"/>
      <c r="Q301" s="298"/>
      <c r="R301" s="304"/>
      <c r="S301" s="304"/>
      <c r="T301" s="298"/>
      <c r="U301" s="304"/>
      <c r="V301" s="304"/>
      <c r="W301" s="304"/>
      <c r="X301" s="304"/>
      <c r="Y301" s="304"/>
      <c r="Z301" s="307"/>
      <c r="AA301" s="304"/>
      <c r="AB301" s="304"/>
      <c r="AC301" s="298"/>
      <c r="AD301" s="296"/>
      <c r="AE301" s="296"/>
      <c r="AF301" s="308"/>
      <c r="AG301" s="305"/>
      <c r="AH301" s="298"/>
      <c r="AI301" s="298"/>
      <c r="AJ301" s="136"/>
      <c r="AK301" s="136"/>
      <c r="AL301" s="136"/>
      <c r="AM301" s="284"/>
      <c r="AN301" s="145"/>
      <c r="AO301" s="145"/>
      <c r="AP301" s="145"/>
      <c r="AQ301" s="146"/>
      <c r="AR301" s="143"/>
      <c r="AS301" s="143"/>
      <c r="AT301" s="146"/>
      <c r="AU301" s="146"/>
    </row>
    <row r="302" spans="1:47">
      <c r="A302" s="12"/>
      <c r="B302" s="12"/>
      <c r="C302" s="54"/>
      <c r="D302" s="54"/>
      <c r="E302" s="12" t="s">
        <v>1734</v>
      </c>
      <c r="F302" s="12" t="s">
        <v>4498</v>
      </c>
      <c r="I302" s="70">
        <v>222597.50700000001</v>
      </c>
      <c r="J302" s="2"/>
      <c r="K302" s="2"/>
      <c r="L302" s="70">
        <f t="shared" si="22"/>
        <v>222597.50700000001</v>
      </c>
      <c r="M302" s="2"/>
      <c r="N302" s="40"/>
      <c r="O302" s="2"/>
      <c r="P302" s="14"/>
      <c r="R302" s="16"/>
      <c r="S302" s="16"/>
      <c r="T302" s="8"/>
      <c r="U302" s="15"/>
      <c r="V302" s="15"/>
      <c r="W302" s="15"/>
      <c r="X302" s="17"/>
      <c r="Y302" s="47"/>
      <c r="Z302" s="51"/>
      <c r="AA302" s="17"/>
      <c r="AB302" s="17"/>
      <c r="AD302" s="12"/>
      <c r="AE302" s="12"/>
      <c r="AF302" s="45"/>
      <c r="AG302" s="46"/>
      <c r="AM302" s="135"/>
      <c r="AN302" s="45"/>
      <c r="AO302" s="45"/>
      <c r="AP302" s="145"/>
      <c r="AQ302" s="146"/>
      <c r="AT302" s="146"/>
      <c r="AU302" s="146"/>
    </row>
    <row r="303" spans="1:47">
      <c r="A303" s="12"/>
      <c r="B303" s="12"/>
      <c r="C303" s="54"/>
      <c r="D303" s="54"/>
      <c r="E303" s="12" t="s">
        <v>4499</v>
      </c>
      <c r="F303" s="12" t="s">
        <v>1737</v>
      </c>
      <c r="I303" s="70">
        <v>122662.022</v>
      </c>
      <c r="J303" s="2"/>
      <c r="K303" s="2"/>
      <c r="L303" s="70">
        <f t="shared" si="22"/>
        <v>122662.022</v>
      </c>
      <c r="M303" s="2"/>
      <c r="N303" s="40"/>
      <c r="O303" s="2"/>
      <c r="P303" s="14"/>
      <c r="R303" s="16"/>
      <c r="S303" s="16"/>
      <c r="T303" s="8"/>
      <c r="U303" s="15"/>
      <c r="V303" s="15"/>
      <c r="W303" s="15"/>
      <c r="X303" s="17"/>
      <c r="Y303" s="47"/>
      <c r="Z303" s="51"/>
      <c r="AA303" s="17"/>
      <c r="AB303" s="17"/>
      <c r="AD303" s="12"/>
      <c r="AE303" s="12"/>
      <c r="AF303" s="45"/>
      <c r="AG303" s="46"/>
      <c r="AM303" s="135"/>
      <c r="AN303" s="45"/>
      <c r="AO303" s="45"/>
      <c r="AP303" s="145"/>
      <c r="AQ303" s="146"/>
      <c r="AT303" s="146"/>
      <c r="AU303" s="146"/>
    </row>
    <row r="304" spans="1:47">
      <c r="A304" s="12"/>
      <c r="B304" s="12"/>
      <c r="C304" s="54"/>
      <c r="D304" s="54"/>
      <c r="E304" s="12" t="s">
        <v>4500</v>
      </c>
      <c r="F304" s="12" t="s">
        <v>4501</v>
      </c>
      <c r="I304" s="70">
        <v>0</v>
      </c>
      <c r="J304" s="2"/>
      <c r="K304" s="2"/>
      <c r="L304" s="70">
        <f t="shared" si="22"/>
        <v>0</v>
      </c>
      <c r="M304" s="2"/>
      <c r="N304" s="40"/>
      <c r="O304" s="2"/>
      <c r="P304" s="14"/>
      <c r="R304" s="16"/>
      <c r="S304" s="16"/>
      <c r="T304" s="8"/>
      <c r="U304" s="15"/>
      <c r="V304" s="15"/>
      <c r="W304" s="15"/>
      <c r="X304" s="17"/>
      <c r="Y304" s="47"/>
      <c r="Z304" s="51"/>
      <c r="AA304" s="17"/>
      <c r="AB304" s="17"/>
      <c r="AD304" s="12"/>
      <c r="AE304" s="12"/>
      <c r="AF304" s="45"/>
      <c r="AG304" s="46"/>
      <c r="AM304" s="135"/>
      <c r="AN304" s="45"/>
      <c r="AO304" s="45"/>
      <c r="AP304" s="145"/>
      <c r="AQ304" s="146"/>
      <c r="AT304" s="146"/>
      <c r="AU304" s="146"/>
    </row>
    <row r="305" spans="1:47">
      <c r="A305" s="12"/>
      <c r="B305" s="12"/>
      <c r="C305" s="54"/>
      <c r="D305" s="54"/>
      <c r="E305" s="12" t="s">
        <v>1738</v>
      </c>
      <c r="F305" s="12" t="s">
        <v>1739</v>
      </c>
      <c r="I305" s="70">
        <v>0</v>
      </c>
      <c r="J305" s="2"/>
      <c r="K305" s="2"/>
      <c r="L305" s="70">
        <f t="shared" si="22"/>
        <v>0</v>
      </c>
      <c r="M305" s="2"/>
      <c r="N305" s="40"/>
      <c r="O305" s="2"/>
      <c r="P305" s="14"/>
      <c r="R305" s="16"/>
      <c r="S305" s="16"/>
      <c r="T305" s="8"/>
      <c r="U305" s="15"/>
      <c r="V305" s="15"/>
      <c r="W305" s="15"/>
      <c r="X305" s="17"/>
      <c r="Y305" s="47"/>
      <c r="Z305" s="51"/>
      <c r="AA305" s="17"/>
      <c r="AB305" s="17"/>
      <c r="AD305" s="12"/>
      <c r="AE305" s="12"/>
      <c r="AF305" s="45"/>
      <c r="AG305" s="46"/>
      <c r="AM305" s="135"/>
      <c r="AN305" s="45"/>
      <c r="AO305" s="45"/>
      <c r="AP305" s="145"/>
      <c r="AQ305" s="146"/>
      <c r="AT305" s="146"/>
      <c r="AU305" s="146"/>
    </row>
    <row r="306" spans="1:47">
      <c r="A306" s="12"/>
      <c r="B306" s="12"/>
      <c r="C306" s="54"/>
      <c r="D306" s="54"/>
      <c r="E306" s="12" t="s">
        <v>1740</v>
      </c>
      <c r="F306" s="12" t="s">
        <v>1741</v>
      </c>
      <c r="I306" s="70">
        <v>47503.777999999998</v>
      </c>
      <c r="J306" s="2"/>
      <c r="K306" s="2"/>
      <c r="L306" s="70">
        <f t="shared" si="22"/>
        <v>47503.777999999998</v>
      </c>
      <c r="M306" s="2"/>
      <c r="N306" s="40"/>
      <c r="O306" s="2"/>
      <c r="P306" s="14"/>
      <c r="R306" s="16"/>
      <c r="S306" s="16"/>
      <c r="T306" s="8"/>
      <c r="U306" s="15"/>
      <c r="V306" s="15"/>
      <c r="W306" s="15"/>
      <c r="X306" s="17"/>
      <c r="Y306" s="47"/>
      <c r="Z306" s="51"/>
      <c r="AA306" s="17"/>
      <c r="AB306" s="17"/>
      <c r="AD306" s="12"/>
      <c r="AE306" s="12"/>
      <c r="AF306" s="45"/>
      <c r="AG306" s="46"/>
      <c r="AM306" s="135"/>
      <c r="AN306" s="45"/>
      <c r="AO306" s="45"/>
      <c r="AP306" s="145"/>
      <c r="AQ306" s="146"/>
      <c r="AT306" s="146"/>
      <c r="AU306" s="146"/>
    </row>
    <row r="307" spans="1:47">
      <c r="A307" s="12"/>
      <c r="B307" s="12"/>
      <c r="C307" s="54"/>
      <c r="D307" s="54"/>
      <c r="E307" s="12" t="s">
        <v>1742</v>
      </c>
      <c r="F307" s="12" t="s">
        <v>1743</v>
      </c>
      <c r="I307" s="70">
        <v>213742.77900000001</v>
      </c>
      <c r="J307" s="2"/>
      <c r="K307" s="2"/>
      <c r="L307" s="70">
        <f t="shared" si="22"/>
        <v>213742.77900000001</v>
      </c>
      <c r="M307" s="2"/>
      <c r="N307" s="40"/>
      <c r="O307" s="2"/>
      <c r="P307" s="14"/>
      <c r="R307" s="16"/>
      <c r="S307" s="16"/>
      <c r="T307" s="8"/>
      <c r="U307" s="15"/>
      <c r="V307" s="15"/>
      <c r="W307" s="15"/>
      <c r="X307" s="17"/>
      <c r="Y307" s="47"/>
      <c r="Z307" s="51"/>
      <c r="AA307" s="17"/>
      <c r="AB307" s="17"/>
      <c r="AD307" s="12"/>
      <c r="AE307" s="12"/>
      <c r="AF307" s="45"/>
      <c r="AG307" s="46"/>
      <c r="AM307" s="135"/>
      <c r="AN307" s="45"/>
      <c r="AO307" s="45"/>
      <c r="AP307" s="145"/>
      <c r="AQ307" s="146"/>
      <c r="AT307" s="146"/>
      <c r="AU307" s="146"/>
    </row>
    <row r="308" spans="1:47">
      <c r="A308" s="12"/>
      <c r="B308" s="12"/>
      <c r="C308" s="54"/>
      <c r="D308" s="54"/>
      <c r="E308" s="12" t="s">
        <v>1748</v>
      </c>
      <c r="F308" s="12" t="s">
        <v>1637</v>
      </c>
      <c r="I308" s="70">
        <v>4455384.4539999999</v>
      </c>
      <c r="J308" s="2">
        <v>309420.00199999998</v>
      </c>
      <c r="K308" s="2"/>
      <c r="L308" s="70">
        <f>I308+J308-K308</f>
        <v>4764804.4560000002</v>
      </c>
      <c r="M308" s="2"/>
      <c r="N308" s="40"/>
      <c r="O308" s="2"/>
      <c r="P308" s="14"/>
      <c r="R308" s="16"/>
      <c r="S308" s="16"/>
      <c r="T308" s="8"/>
      <c r="U308" s="15"/>
      <c r="V308" s="15"/>
      <c r="W308" s="15"/>
      <c r="X308" s="17"/>
      <c r="Y308" s="47"/>
      <c r="Z308" s="51"/>
      <c r="AA308" s="17"/>
      <c r="AB308" s="17"/>
      <c r="AD308" s="12"/>
      <c r="AE308" s="12"/>
      <c r="AF308" s="45"/>
      <c r="AG308" s="46"/>
      <c r="AM308" s="135"/>
      <c r="AN308" s="45"/>
      <c r="AO308" s="45"/>
      <c r="AP308" s="145"/>
      <c r="AQ308" s="146"/>
      <c r="AT308" s="146"/>
      <c r="AU308" s="146"/>
    </row>
    <row r="309" spans="1:47">
      <c r="A309" s="12"/>
      <c r="B309" s="12"/>
      <c r="C309" s="54"/>
      <c r="D309" s="54"/>
      <c r="E309" s="12" t="s">
        <v>1749</v>
      </c>
      <c r="F309" s="12" t="s">
        <v>1750</v>
      </c>
      <c r="I309" s="70">
        <v>238558.29500000001</v>
      </c>
      <c r="J309" s="2"/>
      <c r="K309" s="2"/>
      <c r="L309" s="70">
        <f>I309+J309-K309</f>
        <v>238558.29500000001</v>
      </c>
      <c r="M309" s="2"/>
      <c r="N309" s="40"/>
      <c r="O309" s="2"/>
      <c r="P309" s="14"/>
      <c r="R309" s="16"/>
      <c r="S309" s="16"/>
      <c r="T309" s="8"/>
      <c r="U309" s="15"/>
      <c r="V309" s="15"/>
      <c r="W309" s="15"/>
      <c r="X309" s="17"/>
      <c r="Y309" s="47"/>
      <c r="Z309" s="51"/>
      <c r="AA309" s="17"/>
      <c r="AB309" s="17"/>
      <c r="AD309" s="12"/>
      <c r="AE309" s="12"/>
      <c r="AF309" s="45"/>
      <c r="AG309" s="46"/>
      <c r="AM309" s="135"/>
      <c r="AN309" s="45"/>
      <c r="AO309" s="45"/>
      <c r="AP309" s="145"/>
      <c r="AQ309" s="146"/>
      <c r="AT309" s="146"/>
      <c r="AU309" s="146"/>
    </row>
    <row r="310" spans="1:47">
      <c r="A310" s="12"/>
      <c r="B310" s="12"/>
      <c r="C310" s="54"/>
      <c r="D310" s="54"/>
      <c r="E310" s="12" t="s">
        <v>1751</v>
      </c>
      <c r="F310" s="12" t="s">
        <v>1752</v>
      </c>
      <c r="I310" s="70">
        <v>20600.427</v>
      </c>
      <c r="J310" s="2"/>
      <c r="K310" s="2"/>
      <c r="L310" s="70">
        <f>I310+J310-K310</f>
        <v>20600.427</v>
      </c>
      <c r="M310" s="2"/>
      <c r="N310" s="40"/>
      <c r="O310" s="2"/>
      <c r="P310" s="14"/>
      <c r="R310" s="16"/>
      <c r="S310" s="16"/>
      <c r="T310" s="8"/>
      <c r="U310" s="15"/>
      <c r="V310" s="15"/>
      <c r="W310" s="15"/>
      <c r="X310" s="17"/>
      <c r="Y310" s="47"/>
      <c r="Z310" s="51"/>
      <c r="AA310" s="17"/>
      <c r="AB310" s="17"/>
      <c r="AD310" s="12"/>
      <c r="AE310" s="12"/>
      <c r="AF310" s="45"/>
      <c r="AG310" s="46"/>
      <c r="AM310" s="135"/>
      <c r="AN310" s="45"/>
      <c r="AO310" s="45"/>
      <c r="AP310" s="145"/>
      <c r="AQ310" s="146"/>
      <c r="AT310" s="146"/>
      <c r="AU310" s="146"/>
    </row>
    <row r="311" spans="1:47">
      <c r="A311" s="12"/>
      <c r="B311" s="12"/>
      <c r="C311" s="54"/>
      <c r="D311" s="54"/>
      <c r="E311" s="12" t="s">
        <v>1755</v>
      </c>
      <c r="F311" s="12" t="s">
        <v>1756</v>
      </c>
      <c r="I311" s="70">
        <v>100497.932</v>
      </c>
      <c r="J311" s="2"/>
      <c r="K311" s="2"/>
      <c r="L311" s="70">
        <f t="shared" ref="L311:L339" si="23">I311+J311-K311</f>
        <v>100497.932</v>
      </c>
      <c r="M311" s="2"/>
      <c r="N311" s="40"/>
      <c r="O311" s="2"/>
      <c r="P311" s="14"/>
      <c r="R311" s="16"/>
      <c r="S311" s="16"/>
      <c r="T311" s="8"/>
      <c r="U311" s="15"/>
      <c r="V311" s="15"/>
      <c r="W311" s="15"/>
      <c r="X311" s="17"/>
      <c r="Y311" s="47"/>
      <c r="Z311" s="51"/>
      <c r="AA311" s="17"/>
      <c r="AB311" s="17"/>
      <c r="AD311" s="12"/>
      <c r="AE311" s="12"/>
      <c r="AF311" s="45"/>
      <c r="AG311" s="46"/>
      <c r="AM311" s="135"/>
      <c r="AN311" s="45"/>
      <c r="AO311" s="45"/>
      <c r="AP311" s="145"/>
      <c r="AQ311" s="146"/>
      <c r="AT311" s="146"/>
      <c r="AU311" s="146"/>
    </row>
    <row r="312" spans="1:47">
      <c r="A312" s="12"/>
      <c r="B312" s="12"/>
      <c r="C312" s="54"/>
      <c r="D312" s="54"/>
      <c r="E312" s="12" t="s">
        <v>4502</v>
      </c>
      <c r="F312" s="12" t="s">
        <v>1647</v>
      </c>
      <c r="I312" s="70">
        <v>0</v>
      </c>
      <c r="J312" s="2"/>
      <c r="K312" s="2"/>
      <c r="L312" s="70">
        <f t="shared" si="23"/>
        <v>0</v>
      </c>
      <c r="M312" s="2"/>
      <c r="N312" s="40"/>
      <c r="O312" s="2"/>
      <c r="P312" s="14"/>
      <c r="R312" s="16"/>
      <c r="S312" s="16"/>
      <c r="T312" s="8"/>
      <c r="U312" s="15"/>
      <c r="V312" s="15"/>
      <c r="W312" s="15"/>
      <c r="X312" s="17"/>
      <c r="Y312" s="47"/>
      <c r="Z312" s="51"/>
      <c r="AA312" s="17"/>
      <c r="AB312" s="17"/>
      <c r="AD312" s="12"/>
      <c r="AE312" s="12"/>
      <c r="AF312" s="45"/>
      <c r="AG312" s="46"/>
      <c r="AM312" s="135"/>
      <c r="AN312" s="45"/>
      <c r="AO312" s="45"/>
      <c r="AP312" s="145"/>
      <c r="AQ312" s="146"/>
      <c r="AT312" s="146"/>
      <c r="AU312" s="146"/>
    </row>
    <row r="313" spans="1:47">
      <c r="A313" s="12"/>
      <c r="B313" s="12"/>
      <c r="C313" s="54"/>
      <c r="D313" s="54"/>
      <c r="E313" s="12" t="s">
        <v>1757</v>
      </c>
      <c r="F313" s="12" t="s">
        <v>1649</v>
      </c>
      <c r="I313" s="70">
        <v>142148.353</v>
      </c>
      <c r="J313" s="2"/>
      <c r="K313" s="2"/>
      <c r="L313" s="70">
        <f t="shared" si="23"/>
        <v>142148.353</v>
      </c>
      <c r="M313" s="2"/>
      <c r="N313" s="40"/>
      <c r="O313" s="2"/>
      <c r="P313" s="14"/>
      <c r="R313" s="16"/>
      <c r="S313" s="16"/>
      <c r="T313" s="8"/>
      <c r="U313" s="15"/>
      <c r="V313" s="15"/>
      <c r="W313" s="15"/>
      <c r="X313" s="17"/>
      <c r="Y313" s="47"/>
      <c r="Z313" s="51"/>
      <c r="AA313" s="17"/>
      <c r="AB313" s="17"/>
      <c r="AD313" s="12"/>
      <c r="AE313" s="12"/>
      <c r="AF313" s="45"/>
      <c r="AG313" s="46"/>
      <c r="AM313" s="135"/>
      <c r="AN313" s="45"/>
      <c r="AO313" s="45"/>
      <c r="AP313" s="145"/>
      <c r="AQ313" s="146"/>
      <c r="AT313" s="146"/>
      <c r="AU313" s="146"/>
    </row>
    <row r="314" spans="1:47">
      <c r="A314" s="12"/>
      <c r="B314" s="12"/>
      <c r="C314" s="54"/>
      <c r="D314" s="54"/>
      <c r="E314" s="12" t="s">
        <v>4503</v>
      </c>
      <c r="F314" s="12" t="s">
        <v>4504</v>
      </c>
      <c r="I314" s="70">
        <v>0</v>
      </c>
      <c r="J314" s="2"/>
      <c r="K314" s="2"/>
      <c r="L314" s="70">
        <f t="shared" si="23"/>
        <v>0</v>
      </c>
      <c r="M314" s="2"/>
      <c r="N314" s="40"/>
      <c r="O314" s="2"/>
      <c r="P314" s="14"/>
      <c r="R314" s="16"/>
      <c r="S314" s="16"/>
      <c r="T314" s="8"/>
      <c r="U314" s="15"/>
      <c r="V314" s="15"/>
      <c r="W314" s="15"/>
      <c r="X314" s="17"/>
      <c r="Y314" s="47"/>
      <c r="Z314" s="51"/>
      <c r="AA314" s="17"/>
      <c r="AB314" s="17"/>
      <c r="AD314" s="12"/>
      <c r="AE314" s="12"/>
      <c r="AF314" s="45"/>
      <c r="AG314" s="46"/>
      <c r="AM314" s="135"/>
      <c r="AN314" s="45"/>
      <c r="AO314" s="45"/>
      <c r="AP314" s="145"/>
      <c r="AQ314" s="146"/>
      <c r="AT314" s="146"/>
      <c r="AU314" s="146"/>
    </row>
    <row r="315" spans="1:47">
      <c r="A315" s="12"/>
      <c r="B315" s="12"/>
      <c r="C315" s="54"/>
      <c r="D315" s="54"/>
      <c r="E315" s="12" t="s">
        <v>1758</v>
      </c>
      <c r="F315" s="12" t="s">
        <v>1651</v>
      </c>
      <c r="I315" s="70">
        <v>515011.91800000001</v>
      </c>
      <c r="J315" s="2">
        <v>88522.92</v>
      </c>
      <c r="K315" s="2"/>
      <c r="L315" s="70">
        <f t="shared" si="23"/>
        <v>603534.83799999999</v>
      </c>
      <c r="M315" s="2"/>
      <c r="N315" s="40"/>
      <c r="O315" s="2"/>
      <c r="P315" s="14"/>
      <c r="R315" s="16"/>
      <c r="S315" s="16"/>
      <c r="T315" s="8"/>
      <c r="U315" s="15"/>
      <c r="V315" s="15"/>
      <c r="W315" s="15"/>
      <c r="X315" s="17"/>
      <c r="Y315" s="47"/>
      <c r="Z315" s="51"/>
      <c r="AA315" s="17"/>
      <c r="AB315" s="17"/>
      <c r="AD315" s="12"/>
      <c r="AE315" s="12"/>
      <c r="AF315" s="45"/>
      <c r="AG315" s="46"/>
      <c r="AM315" s="135"/>
      <c r="AN315" s="45"/>
      <c r="AO315" s="45"/>
      <c r="AP315" s="145"/>
      <c r="AQ315" s="146"/>
      <c r="AT315" s="146"/>
      <c r="AU315" s="146"/>
    </row>
    <row r="316" spans="1:47">
      <c r="A316" s="12"/>
      <c r="B316" s="12"/>
      <c r="C316" s="54"/>
      <c r="D316" s="54"/>
      <c r="E316" s="12" t="s">
        <v>4505</v>
      </c>
      <c r="F316" s="12" t="s">
        <v>4365</v>
      </c>
      <c r="I316" s="70">
        <v>0</v>
      </c>
      <c r="J316" s="2"/>
      <c r="K316" s="2"/>
      <c r="L316" s="70">
        <f t="shared" si="23"/>
        <v>0</v>
      </c>
      <c r="M316" s="2"/>
      <c r="N316" s="40"/>
      <c r="O316" s="2"/>
      <c r="P316" s="14"/>
      <c r="R316" s="16"/>
      <c r="S316" s="16"/>
      <c r="T316" s="8"/>
      <c r="U316" s="15"/>
      <c r="V316" s="15"/>
      <c r="W316" s="15"/>
      <c r="X316" s="17"/>
      <c r="Y316" s="47"/>
      <c r="Z316" s="51"/>
      <c r="AA316" s="17"/>
      <c r="AB316" s="17"/>
      <c r="AD316" s="12"/>
      <c r="AE316" s="12"/>
      <c r="AF316" s="45"/>
      <c r="AG316" s="46"/>
      <c r="AM316" s="135"/>
      <c r="AN316" s="45"/>
      <c r="AO316" s="45"/>
      <c r="AP316" s="145"/>
      <c r="AQ316" s="146"/>
      <c r="AT316" s="146"/>
      <c r="AU316" s="146"/>
    </row>
    <row r="317" spans="1:47">
      <c r="A317" s="12"/>
      <c r="B317" s="12"/>
      <c r="C317" s="54"/>
      <c r="D317" s="54"/>
      <c r="E317" s="12" t="s">
        <v>4506</v>
      </c>
      <c r="F317" s="12" t="s">
        <v>4507</v>
      </c>
      <c r="I317" s="70">
        <v>0</v>
      </c>
      <c r="J317" s="2"/>
      <c r="K317" s="2"/>
      <c r="L317" s="70">
        <f t="shared" si="23"/>
        <v>0</v>
      </c>
      <c r="M317" s="2"/>
      <c r="N317" s="40"/>
      <c r="O317" s="2"/>
      <c r="P317" s="14"/>
      <c r="R317" s="16"/>
      <c r="S317" s="16"/>
      <c r="T317" s="8"/>
      <c r="U317" s="15"/>
      <c r="V317" s="15"/>
      <c r="W317" s="15"/>
      <c r="X317" s="17"/>
      <c r="Y317" s="47"/>
      <c r="Z317" s="51"/>
      <c r="AA317" s="17"/>
      <c r="AB317" s="17"/>
      <c r="AD317" s="12"/>
      <c r="AE317" s="12"/>
      <c r="AF317" s="45"/>
      <c r="AG317" s="46"/>
      <c r="AM317" s="135"/>
      <c r="AN317" s="45"/>
      <c r="AO317" s="45"/>
      <c r="AP317" s="145"/>
      <c r="AQ317" s="146"/>
      <c r="AT317" s="146"/>
      <c r="AU317" s="146"/>
    </row>
    <row r="318" spans="1:47">
      <c r="A318" s="12"/>
      <c r="B318" s="12"/>
      <c r="C318" s="54"/>
      <c r="D318" s="54"/>
      <c r="E318" s="12" t="s">
        <v>1761</v>
      </c>
      <c r="F318" s="12" t="s">
        <v>1762</v>
      </c>
      <c r="I318" s="70">
        <v>78150.520999999993</v>
      </c>
      <c r="J318" s="2"/>
      <c r="K318" s="2"/>
      <c r="L318" s="70">
        <f t="shared" si="23"/>
        <v>78150.520999999993</v>
      </c>
      <c r="M318" s="2"/>
      <c r="N318" s="40"/>
      <c r="O318" s="2"/>
      <c r="P318" s="14"/>
      <c r="R318" s="16"/>
      <c r="S318" s="16"/>
      <c r="T318" s="8"/>
      <c r="U318" s="15"/>
      <c r="V318" s="15"/>
      <c r="W318" s="15"/>
      <c r="X318" s="17"/>
      <c r="Y318" s="47"/>
      <c r="Z318" s="51"/>
      <c r="AA318" s="17"/>
      <c r="AB318" s="17"/>
      <c r="AD318" s="12"/>
      <c r="AE318" s="12"/>
      <c r="AF318" s="45"/>
      <c r="AG318" s="46"/>
      <c r="AM318" s="135"/>
      <c r="AN318" s="45"/>
      <c r="AO318" s="45"/>
      <c r="AP318" s="145"/>
      <c r="AQ318" s="146"/>
      <c r="AT318" s="146"/>
      <c r="AU318" s="146"/>
    </row>
    <row r="319" spans="1:47">
      <c r="A319" s="12"/>
      <c r="B319" s="12"/>
      <c r="C319" s="54"/>
      <c r="D319" s="54"/>
      <c r="E319" s="12" t="s">
        <v>1763</v>
      </c>
      <c r="F319" s="12" t="s">
        <v>1764</v>
      </c>
      <c r="I319" s="70">
        <v>9839.75</v>
      </c>
      <c r="J319" s="2"/>
      <c r="K319" s="2"/>
      <c r="L319" s="70">
        <f t="shared" si="23"/>
        <v>9839.75</v>
      </c>
      <c r="M319" s="2"/>
      <c r="N319" s="40"/>
      <c r="O319" s="2"/>
      <c r="P319" s="14"/>
      <c r="R319" s="16"/>
      <c r="S319" s="16"/>
      <c r="T319" s="8"/>
      <c r="U319" s="15"/>
      <c r="V319" s="15"/>
      <c r="W319" s="15"/>
      <c r="X319" s="17"/>
      <c r="Y319" s="47"/>
      <c r="Z319" s="51"/>
      <c r="AA319" s="17"/>
      <c r="AB319" s="17"/>
      <c r="AD319" s="12"/>
      <c r="AE319" s="12"/>
      <c r="AF319" s="45"/>
      <c r="AG319" s="46"/>
      <c r="AM319" s="135"/>
      <c r="AN319" s="45"/>
      <c r="AO319" s="45"/>
      <c r="AP319" s="145"/>
      <c r="AQ319" s="146"/>
      <c r="AT319" s="146"/>
      <c r="AU319" s="146"/>
    </row>
    <row r="320" spans="1:47">
      <c r="A320" s="12"/>
      <c r="B320" s="12"/>
      <c r="C320" s="54"/>
      <c r="D320" s="54"/>
      <c r="E320" s="12" t="s">
        <v>1765</v>
      </c>
      <c r="F320" s="12" t="s">
        <v>1659</v>
      </c>
      <c r="I320" s="70">
        <v>11965</v>
      </c>
      <c r="J320" s="2"/>
      <c r="K320" s="2"/>
      <c r="L320" s="70">
        <f t="shared" si="23"/>
        <v>11965</v>
      </c>
      <c r="M320" s="2"/>
      <c r="N320" s="40"/>
      <c r="O320" s="2"/>
      <c r="P320" s="14"/>
      <c r="R320" s="16"/>
      <c r="S320" s="16"/>
      <c r="T320" s="8"/>
      <c r="U320" s="15"/>
      <c r="V320" s="15"/>
      <c r="W320" s="15"/>
      <c r="X320" s="17"/>
      <c r="Y320" s="47"/>
      <c r="Z320" s="51"/>
      <c r="AA320" s="17"/>
      <c r="AB320" s="17"/>
      <c r="AD320" s="12"/>
      <c r="AE320" s="12"/>
      <c r="AF320" s="45"/>
      <c r="AG320" s="46"/>
      <c r="AM320" s="135"/>
      <c r="AN320" s="45"/>
      <c r="AO320" s="45"/>
      <c r="AP320" s="145"/>
      <c r="AQ320" s="146"/>
      <c r="AT320" s="146"/>
      <c r="AU320" s="146"/>
    </row>
    <row r="321" spans="1:47">
      <c r="A321" s="12"/>
      <c r="B321" s="12"/>
      <c r="C321" s="54"/>
      <c r="D321" s="54"/>
      <c r="E321" s="12" t="s">
        <v>1766</v>
      </c>
      <c r="F321" s="12" t="s">
        <v>1661</v>
      </c>
      <c r="I321" s="70">
        <v>72682.763999999996</v>
      </c>
      <c r="J321" s="2"/>
      <c r="K321" s="2"/>
      <c r="L321" s="70">
        <f t="shared" si="23"/>
        <v>72682.763999999996</v>
      </c>
      <c r="M321" s="2"/>
      <c r="N321" s="40"/>
      <c r="O321" s="2"/>
      <c r="P321" s="14"/>
      <c r="R321" s="16"/>
      <c r="S321" s="16"/>
      <c r="T321" s="8"/>
      <c r="U321" s="15"/>
      <c r="V321" s="15"/>
      <c r="W321" s="15"/>
      <c r="X321" s="17"/>
      <c r="Y321" s="47"/>
      <c r="Z321" s="51"/>
      <c r="AA321" s="17"/>
      <c r="AB321" s="17"/>
      <c r="AD321" s="12"/>
      <c r="AE321" s="12"/>
      <c r="AF321" s="45"/>
      <c r="AG321" s="46"/>
      <c r="AM321" s="135"/>
      <c r="AN321" s="45"/>
      <c r="AO321" s="45"/>
      <c r="AP321" s="145"/>
      <c r="AQ321" s="146"/>
      <c r="AT321" s="146"/>
      <c r="AU321" s="146"/>
    </row>
    <row r="322" spans="1:47">
      <c r="A322" s="12"/>
      <c r="B322" s="12"/>
      <c r="C322" s="54"/>
      <c r="D322" s="54"/>
      <c r="E322" s="12" t="s">
        <v>1767</v>
      </c>
      <c r="F322" s="12" t="s">
        <v>1663</v>
      </c>
      <c r="I322" s="70">
        <v>262688.61</v>
      </c>
      <c r="J322" s="2">
        <v>2850</v>
      </c>
      <c r="K322" s="2"/>
      <c r="L322" s="70">
        <f t="shared" si="23"/>
        <v>265538.61</v>
      </c>
      <c r="M322" s="2"/>
      <c r="N322" s="40"/>
      <c r="O322" s="2"/>
      <c r="P322" s="14"/>
      <c r="R322" s="16"/>
      <c r="S322" s="16"/>
      <c r="T322" s="8"/>
      <c r="U322" s="15"/>
      <c r="V322" s="15"/>
      <c r="W322" s="15"/>
      <c r="X322" s="17"/>
      <c r="Y322" s="47"/>
      <c r="Z322" s="51"/>
      <c r="AA322" s="17"/>
      <c r="AB322" s="17"/>
      <c r="AD322" s="12"/>
      <c r="AE322" s="12"/>
      <c r="AF322" s="45"/>
      <c r="AG322" s="46"/>
      <c r="AM322" s="135"/>
      <c r="AN322" s="45"/>
      <c r="AO322" s="45"/>
      <c r="AP322" s="145"/>
      <c r="AQ322" s="146"/>
      <c r="AT322" s="146"/>
      <c r="AU322" s="146"/>
    </row>
    <row r="323" spans="1:47">
      <c r="A323" s="12"/>
      <c r="B323" s="12"/>
      <c r="C323" s="54"/>
      <c r="D323" s="54"/>
      <c r="E323" s="12" t="s">
        <v>1768</v>
      </c>
      <c r="F323" s="12" t="s">
        <v>1665</v>
      </c>
      <c r="I323" s="70">
        <v>2820</v>
      </c>
      <c r="J323" s="2"/>
      <c r="K323" s="2"/>
      <c r="L323" s="70">
        <f t="shared" si="23"/>
        <v>2820</v>
      </c>
      <c r="M323" s="2"/>
      <c r="N323" s="40"/>
      <c r="O323" s="2"/>
      <c r="P323" s="14"/>
      <c r="R323" s="16"/>
      <c r="S323" s="16"/>
      <c r="T323" s="8"/>
      <c r="U323" s="15"/>
      <c r="V323" s="15"/>
      <c r="W323" s="15"/>
      <c r="X323" s="17"/>
      <c r="Y323" s="47"/>
      <c r="Z323" s="51"/>
      <c r="AA323" s="17"/>
      <c r="AB323" s="17"/>
      <c r="AD323" s="12"/>
      <c r="AE323" s="12"/>
      <c r="AF323" s="45"/>
      <c r="AG323" s="46"/>
      <c r="AM323" s="135"/>
      <c r="AN323" s="45"/>
      <c r="AO323" s="45"/>
      <c r="AP323" s="145"/>
      <c r="AQ323" s="146"/>
      <c r="AT323" s="146"/>
      <c r="AU323" s="146"/>
    </row>
    <row r="324" spans="1:47">
      <c r="A324" s="12"/>
      <c r="B324" s="12"/>
      <c r="C324" s="54"/>
      <c r="D324" s="54"/>
      <c r="E324" s="12" t="s">
        <v>4508</v>
      </c>
      <c r="F324" s="12" t="s">
        <v>4495</v>
      </c>
      <c r="I324" s="70">
        <v>0</v>
      </c>
      <c r="J324" s="2"/>
      <c r="K324" s="2"/>
      <c r="L324" s="70">
        <f t="shared" si="23"/>
        <v>0</v>
      </c>
      <c r="M324" s="2"/>
      <c r="N324" s="40"/>
      <c r="O324" s="2"/>
      <c r="P324" s="14"/>
      <c r="R324" s="16"/>
      <c r="S324" s="16"/>
      <c r="T324" s="8"/>
      <c r="U324" s="15"/>
      <c r="V324" s="15"/>
      <c r="W324" s="15"/>
      <c r="X324" s="17"/>
      <c r="Y324" s="47"/>
      <c r="Z324" s="51"/>
      <c r="AA324" s="17"/>
      <c r="AB324" s="17"/>
      <c r="AD324" s="12"/>
      <c r="AE324" s="12"/>
      <c r="AF324" s="45"/>
      <c r="AG324" s="46"/>
      <c r="AM324" s="135"/>
      <c r="AN324" s="45"/>
      <c r="AO324" s="45"/>
      <c r="AP324" s="145"/>
      <c r="AQ324" s="146"/>
      <c r="AT324" s="146"/>
      <c r="AU324" s="146"/>
    </row>
    <row r="325" spans="1:47">
      <c r="A325" s="12"/>
      <c r="B325" s="12"/>
      <c r="C325" s="54"/>
      <c r="D325" s="54"/>
      <c r="E325" s="12" t="s">
        <v>4509</v>
      </c>
      <c r="F325" s="12" t="s">
        <v>4510</v>
      </c>
      <c r="I325" s="70">
        <v>0</v>
      </c>
      <c r="J325" s="2"/>
      <c r="K325" s="2"/>
      <c r="L325" s="70">
        <f t="shared" si="23"/>
        <v>0</v>
      </c>
      <c r="M325" s="2"/>
      <c r="N325" s="40"/>
      <c r="O325" s="2"/>
      <c r="P325" s="14"/>
      <c r="R325" s="16"/>
      <c r="S325" s="16"/>
      <c r="T325" s="8"/>
      <c r="U325" s="15"/>
      <c r="V325" s="15"/>
      <c r="W325" s="15"/>
      <c r="X325" s="17"/>
      <c r="Y325" s="47"/>
      <c r="Z325" s="51"/>
      <c r="AA325" s="17"/>
      <c r="AB325" s="17"/>
      <c r="AD325" s="12"/>
      <c r="AE325" s="12"/>
      <c r="AF325" s="45"/>
      <c r="AG325" s="46"/>
      <c r="AM325" s="135"/>
      <c r="AN325" s="45"/>
      <c r="AO325" s="45"/>
      <c r="AP325" s="145"/>
      <c r="AQ325" s="146"/>
      <c r="AT325" s="146"/>
      <c r="AU325" s="146"/>
    </row>
    <row r="326" spans="1:47">
      <c r="A326" s="12"/>
      <c r="B326" s="12"/>
      <c r="C326" s="54"/>
      <c r="D326" s="54"/>
      <c r="E326" s="12" t="s">
        <v>1771</v>
      </c>
      <c r="F326" s="12" t="s">
        <v>1669</v>
      </c>
      <c r="I326" s="70">
        <v>2958.14</v>
      </c>
      <c r="J326" s="2"/>
      <c r="K326" s="2"/>
      <c r="L326" s="70">
        <f t="shared" si="23"/>
        <v>2958.14</v>
      </c>
      <c r="M326" s="2"/>
      <c r="N326" s="40"/>
      <c r="O326" s="2"/>
      <c r="P326" s="14"/>
      <c r="R326" s="16"/>
      <c r="S326" s="16"/>
      <c r="T326" s="8"/>
      <c r="U326" s="15"/>
      <c r="V326" s="15"/>
      <c r="W326" s="15"/>
      <c r="X326" s="17"/>
      <c r="Y326" s="47"/>
      <c r="Z326" s="51"/>
      <c r="AA326" s="17"/>
      <c r="AB326" s="17"/>
      <c r="AD326" s="12"/>
      <c r="AE326" s="12"/>
      <c r="AF326" s="45"/>
      <c r="AG326" s="46"/>
      <c r="AM326" s="135"/>
      <c r="AN326" s="45"/>
      <c r="AO326" s="45"/>
      <c r="AP326" s="145"/>
      <c r="AQ326" s="146"/>
      <c r="AT326" s="146"/>
      <c r="AU326" s="146"/>
    </row>
    <row r="327" spans="1:47">
      <c r="A327" s="12"/>
      <c r="B327" s="12"/>
      <c r="C327" s="54"/>
      <c r="D327" s="54"/>
      <c r="E327" s="12" t="s">
        <v>4511</v>
      </c>
      <c r="F327" s="12" t="s">
        <v>4512</v>
      </c>
      <c r="I327" s="70">
        <v>0</v>
      </c>
      <c r="J327" s="2"/>
      <c r="K327" s="2"/>
      <c r="L327" s="70">
        <f t="shared" si="23"/>
        <v>0</v>
      </c>
      <c r="M327" s="2"/>
      <c r="N327" s="40"/>
      <c r="O327" s="2"/>
      <c r="P327" s="14"/>
      <c r="R327" s="16"/>
      <c r="S327" s="16"/>
      <c r="T327" s="8"/>
      <c r="U327" s="15"/>
      <c r="V327" s="15"/>
      <c r="W327" s="15"/>
      <c r="X327" s="17"/>
      <c r="Y327" s="47"/>
      <c r="Z327" s="51"/>
      <c r="AA327" s="17"/>
      <c r="AB327" s="17"/>
      <c r="AD327" s="12"/>
      <c r="AE327" s="12"/>
      <c r="AF327" s="45"/>
      <c r="AG327" s="46"/>
      <c r="AM327" s="135"/>
      <c r="AN327" s="45"/>
      <c r="AO327" s="45"/>
      <c r="AP327" s="145"/>
      <c r="AQ327" s="146"/>
      <c r="AT327" s="146"/>
      <c r="AU327" s="146"/>
    </row>
    <row r="328" spans="1:47">
      <c r="A328" s="12"/>
      <c r="B328" s="12"/>
      <c r="C328" s="54"/>
      <c r="D328" s="54"/>
      <c r="E328" s="12" t="s">
        <v>4513</v>
      </c>
      <c r="F328" s="12" t="s">
        <v>4514</v>
      </c>
      <c r="I328" s="70">
        <v>0</v>
      </c>
      <c r="J328" s="2"/>
      <c r="K328" s="2"/>
      <c r="L328" s="70">
        <f t="shared" si="23"/>
        <v>0</v>
      </c>
      <c r="M328" s="2"/>
      <c r="N328" s="40"/>
      <c r="O328" s="2"/>
      <c r="P328" s="14"/>
      <c r="R328" s="16"/>
      <c r="S328" s="16"/>
      <c r="T328" s="8"/>
      <c r="U328" s="15"/>
      <c r="V328" s="15"/>
      <c r="W328" s="15"/>
      <c r="X328" s="17"/>
      <c r="Y328" s="47"/>
      <c r="Z328" s="51"/>
      <c r="AA328" s="17"/>
      <c r="AB328" s="17"/>
      <c r="AD328" s="12"/>
      <c r="AE328" s="12"/>
      <c r="AF328" s="45"/>
      <c r="AG328" s="46"/>
      <c r="AM328" s="135"/>
      <c r="AN328" s="45"/>
      <c r="AO328" s="45"/>
      <c r="AP328" s="145"/>
      <c r="AQ328" s="146"/>
      <c r="AT328" s="146"/>
      <c r="AU328" s="146"/>
    </row>
    <row r="329" spans="1:47">
      <c r="A329" s="12"/>
      <c r="B329" s="12"/>
      <c r="C329" s="54"/>
      <c r="D329" s="54"/>
      <c r="E329" s="12" t="s">
        <v>1774</v>
      </c>
      <c r="F329" s="12" t="s">
        <v>1775</v>
      </c>
      <c r="I329" s="70">
        <v>67163.020999999993</v>
      </c>
      <c r="J329" s="2"/>
      <c r="K329" s="2"/>
      <c r="L329" s="70">
        <f t="shared" si="23"/>
        <v>67163.020999999993</v>
      </c>
      <c r="M329" s="2"/>
      <c r="N329" s="40"/>
      <c r="O329" s="2"/>
      <c r="P329" s="14"/>
      <c r="R329" s="16"/>
      <c r="S329" s="16"/>
      <c r="T329" s="8"/>
      <c r="U329" s="15"/>
      <c r="V329" s="15"/>
      <c r="W329" s="15"/>
      <c r="X329" s="17"/>
      <c r="Y329" s="47"/>
      <c r="Z329" s="51"/>
      <c r="AA329" s="17"/>
      <c r="AB329" s="17"/>
      <c r="AD329" s="12"/>
      <c r="AE329" s="12"/>
      <c r="AF329" s="45"/>
      <c r="AG329" s="46"/>
      <c r="AM329" s="135"/>
      <c r="AN329" s="45"/>
      <c r="AO329" s="45"/>
      <c r="AP329" s="145"/>
      <c r="AQ329" s="146"/>
      <c r="AT329" s="146"/>
      <c r="AU329" s="146"/>
    </row>
    <row r="330" spans="1:47">
      <c r="A330" s="12"/>
      <c r="B330" s="12"/>
      <c r="C330" s="54"/>
      <c r="D330" s="54"/>
      <c r="E330" s="12" t="s">
        <v>1776</v>
      </c>
      <c r="F330" s="12" t="s">
        <v>1673</v>
      </c>
      <c r="I330" s="70">
        <v>21637.552</v>
      </c>
      <c r="J330" s="2"/>
      <c r="K330" s="2"/>
      <c r="L330" s="70">
        <f t="shared" si="23"/>
        <v>21637.552</v>
      </c>
      <c r="M330" s="2"/>
      <c r="N330" s="40"/>
      <c r="O330" s="2"/>
      <c r="P330" s="14"/>
      <c r="R330" s="16"/>
      <c r="S330" s="16"/>
      <c r="T330" s="8"/>
      <c r="U330" s="15"/>
      <c r="V330" s="15"/>
      <c r="W330" s="15"/>
      <c r="X330" s="17"/>
      <c r="Y330" s="47"/>
      <c r="Z330" s="51"/>
      <c r="AA330" s="17"/>
      <c r="AB330" s="17"/>
      <c r="AD330" s="12"/>
      <c r="AE330" s="12"/>
      <c r="AF330" s="45"/>
      <c r="AG330" s="46"/>
      <c r="AM330" s="135"/>
      <c r="AN330" s="45"/>
      <c r="AO330" s="45"/>
      <c r="AP330" s="145"/>
      <c r="AQ330" s="146"/>
      <c r="AT330" s="146"/>
      <c r="AU330" s="146"/>
    </row>
    <row r="331" spans="1:47">
      <c r="A331" s="12"/>
      <c r="B331" s="12"/>
      <c r="C331" s="54"/>
      <c r="D331" s="54"/>
      <c r="E331" s="12" t="s">
        <v>1777</v>
      </c>
      <c r="F331" s="12" t="s">
        <v>1778</v>
      </c>
      <c r="I331" s="70">
        <v>20575</v>
      </c>
      <c r="J331" s="2"/>
      <c r="K331" s="2"/>
      <c r="L331" s="70">
        <f t="shared" si="23"/>
        <v>20575</v>
      </c>
      <c r="M331" s="2"/>
      <c r="N331" s="40"/>
      <c r="O331" s="2"/>
      <c r="P331" s="14"/>
      <c r="R331" s="16"/>
      <c r="S331" s="16"/>
      <c r="T331" s="8"/>
      <c r="U331" s="15"/>
      <c r="V331" s="15"/>
      <c r="W331" s="15"/>
      <c r="X331" s="17"/>
      <c r="Y331" s="47"/>
      <c r="Z331" s="51"/>
      <c r="AA331" s="17"/>
      <c r="AB331" s="17"/>
      <c r="AD331" s="12"/>
      <c r="AE331" s="12"/>
      <c r="AF331" s="45"/>
      <c r="AG331" s="46"/>
      <c r="AM331" s="135"/>
      <c r="AN331" s="45"/>
      <c r="AO331" s="45"/>
      <c r="AP331" s="145"/>
      <c r="AQ331" s="146"/>
      <c r="AT331" s="146"/>
      <c r="AU331" s="146"/>
    </row>
    <row r="332" spans="1:47">
      <c r="A332" s="12"/>
      <c r="B332" s="12"/>
      <c r="C332" s="54"/>
      <c r="D332" s="54"/>
      <c r="E332" s="12" t="s">
        <v>1779</v>
      </c>
      <c r="F332" s="12" t="s">
        <v>4515</v>
      </c>
      <c r="I332" s="70">
        <v>1500</v>
      </c>
      <c r="J332" s="2"/>
      <c r="K332" s="2"/>
      <c r="L332" s="70">
        <f t="shared" si="23"/>
        <v>1500</v>
      </c>
      <c r="M332" s="2"/>
      <c r="N332" s="40"/>
      <c r="O332" s="2"/>
      <c r="P332" s="14"/>
      <c r="R332" s="16"/>
      <c r="S332" s="16"/>
      <c r="T332" s="8"/>
      <c r="U332" s="15"/>
      <c r="V332" s="15"/>
      <c r="W332" s="15"/>
      <c r="X332" s="17"/>
      <c r="Y332" s="47"/>
      <c r="Z332" s="51"/>
      <c r="AA332" s="17"/>
      <c r="AB332" s="17"/>
      <c r="AD332" s="12"/>
      <c r="AE332" s="12"/>
      <c r="AF332" s="45"/>
      <c r="AG332" s="46"/>
      <c r="AM332" s="135"/>
      <c r="AN332" s="45"/>
      <c r="AO332" s="45"/>
      <c r="AP332" s="145"/>
      <c r="AQ332" s="146"/>
      <c r="AT332" s="146"/>
      <c r="AU332" s="146"/>
    </row>
    <row r="333" spans="1:47">
      <c r="A333" s="12"/>
      <c r="B333" s="12"/>
      <c r="C333" s="54"/>
      <c r="D333" s="54"/>
      <c r="E333" s="12" t="s">
        <v>1783</v>
      </c>
      <c r="F333" s="12" t="s">
        <v>1784</v>
      </c>
      <c r="I333" s="70">
        <v>498073.75699999998</v>
      </c>
      <c r="J333" s="2"/>
      <c r="K333" s="2"/>
      <c r="L333" s="70">
        <f t="shared" si="23"/>
        <v>498073.75699999998</v>
      </c>
      <c r="M333" s="2"/>
      <c r="N333" s="40"/>
      <c r="O333" s="2"/>
      <c r="P333" s="14"/>
      <c r="R333" s="16"/>
      <c r="S333" s="16"/>
      <c r="T333" s="8"/>
      <c r="U333" s="15"/>
      <c r="V333" s="15"/>
      <c r="W333" s="15"/>
      <c r="X333" s="17"/>
      <c r="Y333" s="47"/>
      <c r="Z333" s="51"/>
      <c r="AA333" s="17"/>
      <c r="AB333" s="17"/>
      <c r="AD333" s="12"/>
      <c r="AE333" s="12"/>
      <c r="AF333" s="45"/>
      <c r="AG333" s="46"/>
      <c r="AM333" s="135"/>
      <c r="AN333" s="45"/>
      <c r="AO333" s="45"/>
      <c r="AP333" s="145"/>
      <c r="AQ333" s="146"/>
      <c r="AT333" s="146"/>
      <c r="AU333" s="146"/>
    </row>
    <row r="334" spans="1:47">
      <c r="A334" s="12"/>
      <c r="B334" s="12"/>
      <c r="C334" s="54"/>
      <c r="D334" s="54"/>
      <c r="E334" s="12" t="s">
        <v>4516</v>
      </c>
      <c r="F334" s="12" t="s">
        <v>4517</v>
      </c>
      <c r="I334" s="70">
        <v>0</v>
      </c>
      <c r="J334" s="2"/>
      <c r="K334" s="2"/>
      <c r="L334" s="70">
        <f t="shared" si="23"/>
        <v>0</v>
      </c>
      <c r="M334" s="2"/>
      <c r="N334" s="40"/>
      <c r="O334" s="2"/>
      <c r="P334" s="14"/>
      <c r="R334" s="16"/>
      <c r="S334" s="16"/>
      <c r="T334" s="8"/>
      <c r="U334" s="15"/>
      <c r="V334" s="15"/>
      <c r="W334" s="15"/>
      <c r="X334" s="17"/>
      <c r="Y334" s="47"/>
      <c r="Z334" s="51"/>
      <c r="AA334" s="17"/>
      <c r="AB334" s="17"/>
      <c r="AD334" s="12"/>
      <c r="AE334" s="12"/>
      <c r="AF334" s="45"/>
      <c r="AG334" s="46"/>
      <c r="AM334" s="135"/>
      <c r="AN334" s="45"/>
      <c r="AO334" s="45"/>
      <c r="AP334" s="145"/>
      <c r="AQ334" s="146"/>
      <c r="AT334" s="146"/>
      <c r="AU334" s="146"/>
    </row>
    <row r="335" spans="1:47">
      <c r="A335" s="12"/>
      <c r="B335" s="12"/>
      <c r="C335" s="54"/>
      <c r="D335" s="54"/>
      <c r="E335" s="12" t="s">
        <v>1786</v>
      </c>
      <c r="F335" s="12" t="s">
        <v>1683</v>
      </c>
      <c r="I335" s="70">
        <v>7689.41</v>
      </c>
      <c r="J335" s="2"/>
      <c r="K335" s="2"/>
      <c r="L335" s="70">
        <f t="shared" si="23"/>
        <v>7689.41</v>
      </c>
      <c r="M335" s="2"/>
      <c r="N335" s="40"/>
      <c r="O335" s="2"/>
      <c r="P335" s="14"/>
      <c r="R335" s="16"/>
      <c r="S335" s="16"/>
      <c r="T335" s="8"/>
      <c r="U335" s="15"/>
      <c r="V335" s="15"/>
      <c r="W335" s="15"/>
      <c r="X335" s="17"/>
      <c r="Y335" s="47"/>
      <c r="Z335" s="51"/>
      <c r="AA335" s="17"/>
      <c r="AB335" s="17"/>
      <c r="AD335" s="12"/>
      <c r="AE335" s="12"/>
      <c r="AF335" s="45"/>
      <c r="AG335" s="46"/>
      <c r="AM335" s="135"/>
      <c r="AN335" s="45"/>
      <c r="AO335" s="45"/>
      <c r="AP335" s="145"/>
      <c r="AQ335" s="146"/>
      <c r="AT335" s="146"/>
      <c r="AU335" s="146"/>
    </row>
    <row r="336" spans="1:47">
      <c r="A336" s="12"/>
      <c r="B336" s="12"/>
      <c r="C336" s="54"/>
      <c r="D336" s="54"/>
      <c r="E336" s="12" t="s">
        <v>1787</v>
      </c>
      <c r="F336" s="12" t="s">
        <v>4518</v>
      </c>
      <c r="I336" s="70">
        <v>8612.9989999999998</v>
      </c>
      <c r="J336" s="2"/>
      <c r="K336" s="2"/>
      <c r="L336" s="70">
        <f t="shared" si="23"/>
        <v>8612.9989999999998</v>
      </c>
      <c r="M336" s="2"/>
      <c r="N336" s="40"/>
      <c r="O336" s="2"/>
      <c r="P336" s="14"/>
      <c r="R336" s="16"/>
      <c r="S336" s="16"/>
      <c r="T336" s="8"/>
      <c r="U336" s="15"/>
      <c r="V336" s="15"/>
      <c r="W336" s="15"/>
      <c r="X336" s="17"/>
      <c r="Y336" s="47"/>
      <c r="Z336" s="51"/>
      <c r="AA336" s="17"/>
      <c r="AB336" s="17"/>
      <c r="AD336" s="12"/>
      <c r="AE336" s="12"/>
      <c r="AF336" s="45"/>
      <c r="AG336" s="46"/>
      <c r="AM336" s="135"/>
      <c r="AN336" s="45"/>
      <c r="AO336" s="45"/>
      <c r="AP336" s="145"/>
      <c r="AQ336" s="146"/>
      <c r="AT336" s="146"/>
      <c r="AU336" s="146"/>
    </row>
    <row r="337" spans="1:47">
      <c r="A337" s="12"/>
      <c r="B337" s="12"/>
      <c r="C337" s="54"/>
      <c r="D337" s="54"/>
      <c r="E337" s="12" t="s">
        <v>1789</v>
      </c>
      <c r="F337" s="12" t="s">
        <v>1790</v>
      </c>
      <c r="I337" s="70">
        <v>4494.9480000000003</v>
      </c>
      <c r="J337" s="2"/>
      <c r="K337" s="2"/>
      <c r="L337" s="70">
        <f t="shared" si="23"/>
        <v>4494.9480000000003</v>
      </c>
      <c r="M337" s="2"/>
      <c r="N337" s="40"/>
      <c r="O337" s="2"/>
      <c r="P337" s="14"/>
      <c r="R337" s="16"/>
      <c r="S337" s="16"/>
      <c r="T337" s="8"/>
      <c r="U337" s="15"/>
      <c r="V337" s="15"/>
      <c r="W337" s="15"/>
      <c r="X337" s="17"/>
      <c r="Y337" s="47"/>
      <c r="Z337" s="51"/>
      <c r="AA337" s="17"/>
      <c r="AB337" s="17"/>
      <c r="AD337" s="12"/>
      <c r="AE337" s="12"/>
      <c r="AF337" s="45"/>
      <c r="AG337" s="46"/>
      <c r="AM337" s="135"/>
      <c r="AN337" s="45"/>
      <c r="AO337" s="45"/>
      <c r="AP337" s="145"/>
      <c r="AQ337" s="146"/>
      <c r="AT337" s="146"/>
      <c r="AU337" s="146"/>
    </row>
    <row r="338" spans="1:47">
      <c r="A338" s="12"/>
      <c r="B338" s="12"/>
      <c r="C338" s="54"/>
      <c r="D338" s="54"/>
      <c r="E338" s="12" t="s">
        <v>1791</v>
      </c>
      <c r="F338" s="12" t="s">
        <v>1792</v>
      </c>
      <c r="I338" s="70">
        <v>4211.1570000000002</v>
      </c>
      <c r="J338" s="2"/>
      <c r="K338" s="2"/>
      <c r="L338" s="70">
        <f t="shared" si="23"/>
        <v>4211.1570000000002</v>
      </c>
      <c r="M338" s="2"/>
      <c r="N338" s="40"/>
      <c r="O338" s="2"/>
      <c r="P338" s="14"/>
      <c r="R338" s="16"/>
      <c r="S338" s="16"/>
      <c r="T338" s="8"/>
      <c r="U338" s="15"/>
      <c r="V338" s="15"/>
      <c r="W338" s="15"/>
      <c r="X338" s="17"/>
      <c r="Y338" s="47"/>
      <c r="Z338" s="51"/>
      <c r="AA338" s="17"/>
      <c r="AB338" s="17"/>
      <c r="AD338" s="12"/>
      <c r="AE338" s="12"/>
      <c r="AF338" s="45"/>
      <c r="AG338" s="46"/>
      <c r="AM338" s="135"/>
      <c r="AN338" s="45"/>
      <c r="AO338" s="45"/>
      <c r="AP338" s="145"/>
      <c r="AQ338" s="146"/>
      <c r="AT338" s="146"/>
      <c r="AU338" s="146"/>
    </row>
    <row r="339" spans="1:47">
      <c r="A339" s="12"/>
      <c r="B339" s="12"/>
      <c r="C339" s="54"/>
      <c r="D339" s="54"/>
      <c r="E339" s="12" t="s">
        <v>4519</v>
      </c>
      <c r="F339" s="12" t="s">
        <v>4520</v>
      </c>
      <c r="I339" s="70">
        <v>0</v>
      </c>
      <c r="J339" s="2"/>
      <c r="K339" s="2"/>
      <c r="L339" s="70">
        <f t="shared" si="23"/>
        <v>0</v>
      </c>
      <c r="M339" s="2"/>
      <c r="N339" s="40"/>
      <c r="O339" s="2"/>
      <c r="P339" s="14"/>
      <c r="R339" s="16"/>
      <c r="S339" s="16"/>
      <c r="T339" s="8"/>
      <c r="U339" s="15"/>
      <c r="V339" s="15"/>
      <c r="W339" s="15"/>
      <c r="X339" s="17"/>
      <c r="Y339" s="47"/>
      <c r="Z339" s="51"/>
      <c r="AA339" s="17"/>
      <c r="AB339" s="17"/>
      <c r="AD339" s="12"/>
      <c r="AE339" s="12"/>
      <c r="AF339" s="45"/>
      <c r="AG339" s="46"/>
      <c r="AM339" s="135"/>
      <c r="AN339" s="45"/>
      <c r="AO339" s="45"/>
      <c r="AP339" s="145"/>
      <c r="AQ339" s="146"/>
      <c r="AT339" s="146"/>
      <c r="AU339" s="146"/>
    </row>
    <row r="340" spans="1:47">
      <c r="A340" s="12"/>
      <c r="B340" s="12"/>
      <c r="C340" s="54"/>
      <c r="D340" s="54"/>
      <c r="E340" s="12" t="s">
        <v>1794</v>
      </c>
      <c r="F340" s="12" t="s">
        <v>1795</v>
      </c>
      <c r="I340" s="70">
        <v>14115.093999999999</v>
      </c>
      <c r="J340" s="2"/>
      <c r="K340" s="2"/>
      <c r="L340" s="70">
        <f t="shared" ref="L340:L355" si="24">I340+J340-K340</f>
        <v>14115.093999999999</v>
      </c>
      <c r="M340" s="2"/>
      <c r="N340" s="40"/>
      <c r="O340" s="2"/>
      <c r="P340" s="14"/>
      <c r="R340" s="16"/>
      <c r="S340" s="16"/>
      <c r="T340" s="8"/>
      <c r="U340" s="15"/>
      <c r="V340" s="15"/>
      <c r="W340" s="15"/>
      <c r="X340" s="17"/>
      <c r="Y340" s="47"/>
      <c r="Z340" s="51"/>
      <c r="AA340" s="17"/>
      <c r="AB340" s="17"/>
      <c r="AD340" s="12"/>
      <c r="AE340" s="12"/>
      <c r="AF340" s="45"/>
      <c r="AG340" s="46"/>
      <c r="AM340" s="135"/>
      <c r="AN340" s="45"/>
      <c r="AO340" s="45"/>
      <c r="AP340" s="145"/>
      <c r="AQ340" s="146"/>
      <c r="AT340" s="146"/>
      <c r="AU340" s="146"/>
    </row>
    <row r="341" spans="1:47">
      <c r="A341" s="12"/>
      <c r="B341" s="12"/>
      <c r="C341" s="54"/>
      <c r="D341" s="54"/>
      <c r="E341" s="12" t="s">
        <v>4521</v>
      </c>
      <c r="F341" s="12" t="s">
        <v>4483</v>
      </c>
      <c r="I341" s="70">
        <v>0</v>
      </c>
      <c r="J341" s="2"/>
      <c r="K341" s="2"/>
      <c r="L341" s="70">
        <f t="shared" si="24"/>
        <v>0</v>
      </c>
      <c r="M341" s="2"/>
      <c r="N341" s="40"/>
      <c r="O341" s="2"/>
      <c r="P341" s="14"/>
      <c r="R341" s="16"/>
      <c r="S341" s="16"/>
      <c r="T341" s="8"/>
      <c r="U341" s="15"/>
      <c r="V341" s="15"/>
      <c r="W341" s="15"/>
      <c r="X341" s="17"/>
      <c r="Y341" s="47"/>
      <c r="Z341" s="51"/>
      <c r="AA341" s="17"/>
      <c r="AB341" s="17"/>
      <c r="AD341" s="12"/>
      <c r="AE341" s="12"/>
      <c r="AF341" s="45"/>
      <c r="AG341" s="46"/>
      <c r="AM341" s="135"/>
      <c r="AN341" s="45"/>
      <c r="AO341" s="45"/>
      <c r="AP341" s="145"/>
      <c r="AQ341" s="146"/>
      <c r="AT341" s="146"/>
      <c r="AU341" s="146"/>
    </row>
    <row r="342" spans="1:47">
      <c r="A342" s="12"/>
      <c r="B342" s="12"/>
      <c r="C342" s="54"/>
      <c r="D342" s="54"/>
      <c r="E342" s="12" t="s">
        <v>4522</v>
      </c>
      <c r="F342" s="12" t="s">
        <v>4523</v>
      </c>
      <c r="I342" s="70">
        <v>0</v>
      </c>
      <c r="J342" s="2"/>
      <c r="K342" s="2"/>
      <c r="L342" s="70">
        <f t="shared" si="24"/>
        <v>0</v>
      </c>
      <c r="M342" s="2"/>
      <c r="N342" s="40"/>
      <c r="O342" s="2"/>
      <c r="P342" s="14"/>
      <c r="R342" s="16"/>
      <c r="S342" s="16"/>
      <c r="T342" s="8"/>
      <c r="U342" s="15"/>
      <c r="V342" s="15"/>
      <c r="W342" s="15"/>
      <c r="X342" s="17"/>
      <c r="Y342" s="47"/>
      <c r="Z342" s="51"/>
      <c r="AA342" s="17"/>
      <c r="AB342" s="17"/>
      <c r="AD342" s="12"/>
      <c r="AE342" s="12"/>
      <c r="AF342" s="45"/>
      <c r="AG342" s="46"/>
      <c r="AM342" s="135"/>
      <c r="AN342" s="45"/>
      <c r="AO342" s="45"/>
      <c r="AP342" s="145"/>
      <c r="AQ342" s="146"/>
      <c r="AT342" s="146"/>
      <c r="AU342" s="146"/>
    </row>
    <row r="343" spans="1:47">
      <c r="A343" s="12"/>
      <c r="B343" s="12"/>
      <c r="C343" s="54"/>
      <c r="D343" s="54"/>
      <c r="E343" s="12" t="s">
        <v>1796</v>
      </c>
      <c r="F343" s="12" t="s">
        <v>1797</v>
      </c>
      <c r="I343" s="70">
        <v>44443.442000000003</v>
      </c>
      <c r="J343" s="2"/>
      <c r="K343" s="2"/>
      <c r="L343" s="70">
        <f t="shared" si="24"/>
        <v>44443.442000000003</v>
      </c>
      <c r="M343" s="2"/>
      <c r="N343" s="40"/>
      <c r="O343" s="2"/>
      <c r="P343" s="14"/>
      <c r="R343" s="16"/>
      <c r="S343" s="16"/>
      <c r="T343" s="8"/>
      <c r="U343" s="15"/>
      <c r="V343" s="15"/>
      <c r="W343" s="15"/>
      <c r="X343" s="17"/>
      <c r="Y343" s="47"/>
      <c r="Z343" s="51"/>
      <c r="AA343" s="17"/>
      <c r="AB343" s="17"/>
      <c r="AD343" s="12"/>
      <c r="AE343" s="12"/>
      <c r="AF343" s="45"/>
      <c r="AG343" s="46"/>
      <c r="AM343" s="135"/>
      <c r="AN343" s="45"/>
      <c r="AO343" s="45"/>
      <c r="AP343" s="145"/>
      <c r="AQ343" s="146"/>
      <c r="AT343" s="146"/>
      <c r="AU343" s="146"/>
    </row>
    <row r="344" spans="1:47">
      <c r="A344" s="12"/>
      <c r="B344" s="12"/>
      <c r="C344" s="54"/>
      <c r="D344" s="54"/>
      <c r="E344" s="12" t="s">
        <v>1798</v>
      </c>
      <c r="F344" s="12" t="s">
        <v>1691</v>
      </c>
      <c r="I344" s="70">
        <v>4234</v>
      </c>
      <c r="J344" s="2"/>
      <c r="K344" s="2"/>
      <c r="L344" s="70">
        <f t="shared" si="24"/>
        <v>4234</v>
      </c>
      <c r="M344" s="2"/>
      <c r="N344" s="40"/>
      <c r="O344" s="2"/>
      <c r="P344" s="14"/>
      <c r="R344" s="16"/>
      <c r="S344" s="16"/>
      <c r="T344" s="8"/>
      <c r="U344" s="15"/>
      <c r="V344" s="15"/>
      <c r="W344" s="15"/>
      <c r="X344" s="17"/>
      <c r="Y344" s="47"/>
      <c r="Z344" s="51"/>
      <c r="AA344" s="17"/>
      <c r="AB344" s="17"/>
      <c r="AD344" s="12"/>
      <c r="AE344" s="12"/>
      <c r="AF344" s="45"/>
      <c r="AG344" s="46"/>
      <c r="AM344" s="135"/>
      <c r="AN344" s="45"/>
      <c r="AO344" s="45"/>
      <c r="AP344" s="145"/>
      <c r="AQ344" s="146"/>
      <c r="AT344" s="146"/>
      <c r="AU344" s="146"/>
    </row>
    <row r="345" spans="1:47">
      <c r="A345" s="12"/>
      <c r="B345" s="12"/>
      <c r="C345" s="54"/>
      <c r="D345" s="54"/>
      <c r="E345" s="12" t="s">
        <v>4524</v>
      </c>
      <c r="F345" s="12" t="s">
        <v>1695</v>
      </c>
      <c r="I345" s="70">
        <v>0</v>
      </c>
      <c r="J345" s="2"/>
      <c r="K345" s="2"/>
      <c r="L345" s="70">
        <f t="shared" si="24"/>
        <v>0</v>
      </c>
      <c r="M345" s="2"/>
      <c r="N345" s="40"/>
      <c r="O345" s="2"/>
      <c r="P345" s="14"/>
      <c r="R345" s="16"/>
      <c r="S345" s="16"/>
      <c r="T345" s="8"/>
      <c r="U345" s="15"/>
      <c r="V345" s="15"/>
      <c r="W345" s="15"/>
      <c r="X345" s="17"/>
      <c r="Y345" s="47"/>
      <c r="Z345" s="51"/>
      <c r="AA345" s="17"/>
      <c r="AB345" s="17"/>
      <c r="AD345" s="12"/>
      <c r="AE345" s="12"/>
      <c r="AF345" s="45"/>
      <c r="AG345" s="46"/>
      <c r="AM345" s="135"/>
      <c r="AN345" s="45"/>
      <c r="AO345" s="45"/>
      <c r="AP345" s="145"/>
      <c r="AQ345" s="146"/>
      <c r="AT345" s="146"/>
      <c r="AU345" s="146"/>
    </row>
    <row r="346" spans="1:47">
      <c r="A346" s="12"/>
      <c r="B346" s="12"/>
      <c r="C346" s="54"/>
      <c r="D346" s="54"/>
      <c r="E346" s="12" t="s">
        <v>1801</v>
      </c>
      <c r="F346" s="12" t="s">
        <v>1802</v>
      </c>
      <c r="I346" s="70">
        <v>133768.79999999999</v>
      </c>
      <c r="J346" s="2"/>
      <c r="K346" s="2"/>
      <c r="L346" s="70">
        <f t="shared" si="24"/>
        <v>133768.79999999999</v>
      </c>
      <c r="M346" s="2"/>
      <c r="N346" s="40"/>
      <c r="O346" s="2"/>
      <c r="P346" s="14"/>
      <c r="R346" s="16"/>
      <c r="S346" s="16"/>
      <c r="T346" s="8"/>
      <c r="U346" s="15"/>
      <c r="V346" s="15"/>
      <c r="W346" s="15"/>
      <c r="X346" s="17"/>
      <c r="Y346" s="47"/>
      <c r="Z346" s="51"/>
      <c r="AA346" s="17"/>
      <c r="AB346" s="17"/>
      <c r="AD346" s="12"/>
      <c r="AE346" s="12"/>
      <c r="AF346" s="45"/>
      <c r="AG346" s="46"/>
      <c r="AM346" s="135"/>
      <c r="AN346" s="45"/>
      <c r="AO346" s="45"/>
      <c r="AP346" s="145"/>
      <c r="AQ346" s="146"/>
      <c r="AT346" s="146"/>
      <c r="AU346" s="146"/>
    </row>
    <row r="347" spans="1:47">
      <c r="A347" s="12"/>
      <c r="B347" s="12"/>
      <c r="C347" s="54"/>
      <c r="D347" s="54"/>
      <c r="E347" s="12" t="s">
        <v>1803</v>
      </c>
      <c r="F347" s="12" t="s">
        <v>1804</v>
      </c>
      <c r="I347" s="70">
        <v>1044668.959</v>
      </c>
      <c r="J347" s="2">
        <v>3603.91</v>
      </c>
      <c r="K347" s="2">
        <v>158479.71</v>
      </c>
      <c r="L347" s="70">
        <f t="shared" si="24"/>
        <v>889793.1590000001</v>
      </c>
      <c r="M347" s="2"/>
      <c r="N347" s="40"/>
      <c r="O347" s="2"/>
      <c r="P347" s="14"/>
      <c r="R347" s="16"/>
      <c r="S347" s="16"/>
      <c r="T347" s="8"/>
      <c r="U347" s="15"/>
      <c r="V347" s="15"/>
      <c r="W347" s="15"/>
      <c r="X347" s="17"/>
      <c r="Y347" s="47"/>
      <c r="Z347" s="51"/>
      <c r="AA347" s="17"/>
      <c r="AB347" s="17"/>
      <c r="AD347" s="12"/>
      <c r="AE347" s="12"/>
      <c r="AF347" s="45"/>
      <c r="AG347" s="46"/>
      <c r="AM347" s="135"/>
      <c r="AN347" s="45"/>
      <c r="AO347" s="45"/>
      <c r="AP347" s="145"/>
      <c r="AQ347" s="146"/>
      <c r="AT347" s="146"/>
      <c r="AU347" s="146"/>
    </row>
    <row r="348" spans="1:47">
      <c r="A348" s="12"/>
      <c r="B348" s="12"/>
      <c r="C348" s="54"/>
      <c r="D348" s="54"/>
      <c r="E348" s="12" t="s">
        <v>4525</v>
      </c>
      <c r="F348" s="12" t="s">
        <v>4526</v>
      </c>
      <c r="I348" s="70">
        <v>45327.982000000004</v>
      </c>
      <c r="J348" s="2"/>
      <c r="K348" s="2"/>
      <c r="L348" s="70">
        <f t="shared" si="24"/>
        <v>45327.982000000004</v>
      </c>
      <c r="M348" s="2"/>
      <c r="N348" s="40"/>
      <c r="O348" s="2"/>
      <c r="P348" s="14"/>
      <c r="R348" s="16"/>
      <c r="S348" s="16"/>
      <c r="T348" s="8"/>
      <c r="U348" s="15"/>
      <c r="V348" s="15"/>
      <c r="W348" s="15"/>
      <c r="X348" s="17"/>
      <c r="Y348" s="47"/>
      <c r="Z348" s="51"/>
      <c r="AA348" s="17"/>
      <c r="AB348" s="17"/>
      <c r="AD348" s="12"/>
      <c r="AE348" s="12"/>
      <c r="AF348" s="45"/>
      <c r="AG348" s="46"/>
      <c r="AM348" s="135"/>
      <c r="AN348" s="45"/>
      <c r="AO348" s="45"/>
      <c r="AP348" s="145"/>
      <c r="AQ348" s="146"/>
      <c r="AT348" s="146"/>
      <c r="AU348" s="146"/>
    </row>
    <row r="349" spans="1:47">
      <c r="A349" s="12"/>
      <c r="B349" s="12"/>
      <c r="C349" s="54"/>
      <c r="D349" s="54"/>
      <c r="E349" s="12" t="s">
        <v>1805</v>
      </c>
      <c r="F349" s="12" t="s">
        <v>1697</v>
      </c>
      <c r="I349" s="70">
        <v>56649.612999999998</v>
      </c>
      <c r="J349" s="2">
        <v>16886.655480000001</v>
      </c>
      <c r="K349" s="2"/>
      <c r="L349" s="70">
        <f t="shared" si="24"/>
        <v>73536.268479999999</v>
      </c>
      <c r="M349" s="2"/>
      <c r="N349" s="40"/>
      <c r="O349" s="2"/>
      <c r="P349" s="14"/>
      <c r="R349" s="16"/>
      <c r="S349" s="16"/>
      <c r="T349" s="8"/>
      <c r="U349" s="15"/>
      <c r="V349" s="15"/>
      <c r="W349" s="15"/>
      <c r="X349" s="17"/>
      <c r="Y349" s="47"/>
      <c r="Z349" s="51"/>
      <c r="AA349" s="17"/>
      <c r="AB349" s="17"/>
      <c r="AD349" s="12"/>
      <c r="AE349" s="12"/>
      <c r="AF349" s="45"/>
      <c r="AG349" s="46"/>
      <c r="AM349" s="135"/>
      <c r="AN349" s="45"/>
      <c r="AO349" s="45"/>
      <c r="AP349" s="145"/>
      <c r="AQ349" s="146"/>
      <c r="AT349" s="146"/>
      <c r="AU349" s="146"/>
    </row>
    <row r="350" spans="1:47">
      <c r="A350" s="12"/>
      <c r="B350" s="12"/>
      <c r="C350" s="54"/>
      <c r="D350" s="54"/>
      <c r="E350" s="12" t="s">
        <v>1806</v>
      </c>
      <c r="F350" s="12" t="s">
        <v>1699</v>
      </c>
      <c r="I350" s="70">
        <v>241258.00200000001</v>
      </c>
      <c r="J350" s="2"/>
      <c r="K350" s="2"/>
      <c r="L350" s="70">
        <f t="shared" si="24"/>
        <v>241258.00200000001</v>
      </c>
      <c r="M350" s="2"/>
      <c r="N350" s="40"/>
      <c r="O350" s="2"/>
      <c r="P350" s="14"/>
      <c r="R350" s="16"/>
      <c r="S350" s="16"/>
      <c r="T350" s="8"/>
      <c r="U350" s="15"/>
      <c r="V350" s="15"/>
      <c r="W350" s="15"/>
      <c r="X350" s="17"/>
      <c r="Y350" s="47"/>
      <c r="Z350" s="51"/>
      <c r="AA350" s="17"/>
      <c r="AB350" s="17"/>
      <c r="AD350" s="12"/>
      <c r="AE350" s="12"/>
      <c r="AF350" s="45"/>
      <c r="AG350" s="46"/>
      <c r="AM350" s="135"/>
      <c r="AN350" s="45"/>
      <c r="AO350" s="45"/>
      <c r="AP350" s="145"/>
      <c r="AQ350" s="146"/>
      <c r="AT350" s="146"/>
      <c r="AU350" s="146"/>
    </row>
    <row r="351" spans="1:47">
      <c r="A351" s="12"/>
      <c r="B351" s="12"/>
      <c r="C351" s="54"/>
      <c r="D351" s="54"/>
      <c r="E351" s="12" t="s">
        <v>4527</v>
      </c>
      <c r="F351" s="12" t="s">
        <v>2257</v>
      </c>
      <c r="I351" s="70">
        <v>925240.11699999997</v>
      </c>
      <c r="J351" s="2"/>
      <c r="K351" s="2">
        <v>22217.346000000001</v>
      </c>
      <c r="L351" s="70">
        <f t="shared" si="24"/>
        <v>903022.77099999995</v>
      </c>
      <c r="M351" s="2"/>
      <c r="N351" s="40"/>
      <c r="O351" s="2"/>
      <c r="P351" s="14"/>
      <c r="R351" s="16"/>
      <c r="S351" s="16"/>
      <c r="T351" s="8"/>
      <c r="U351" s="15"/>
      <c r="V351" s="15"/>
      <c r="W351" s="15"/>
      <c r="X351" s="17"/>
      <c r="Y351" s="47"/>
      <c r="Z351" s="51"/>
      <c r="AA351" s="17"/>
      <c r="AB351" s="17"/>
      <c r="AD351" s="12"/>
      <c r="AE351" s="12"/>
      <c r="AF351" s="45"/>
      <c r="AG351" s="46"/>
      <c r="AM351" s="135"/>
      <c r="AN351" s="45"/>
      <c r="AO351" s="45"/>
      <c r="AP351" s="145"/>
      <c r="AQ351" s="146"/>
      <c r="AT351" s="146"/>
      <c r="AU351" s="146"/>
    </row>
    <row r="352" spans="1:47">
      <c r="A352" s="12"/>
      <c r="B352" s="12"/>
      <c r="C352" s="54"/>
      <c r="D352" s="54"/>
      <c r="E352" s="12" t="s">
        <v>1809</v>
      </c>
      <c r="F352" s="12" t="s">
        <v>1701</v>
      </c>
      <c r="I352" s="70">
        <v>447027.73700000002</v>
      </c>
      <c r="J352" s="2"/>
      <c r="K352" s="2"/>
      <c r="L352" s="70">
        <f t="shared" si="24"/>
        <v>447027.73700000002</v>
      </c>
      <c r="M352" s="2"/>
      <c r="N352" s="40"/>
      <c r="O352" s="2"/>
      <c r="P352" s="14"/>
      <c r="R352" s="16"/>
      <c r="S352" s="16"/>
      <c r="T352" s="8"/>
      <c r="U352" s="15"/>
      <c r="V352" s="15"/>
      <c r="W352" s="15"/>
      <c r="X352" s="17"/>
      <c r="Y352" s="47"/>
      <c r="Z352" s="51"/>
      <c r="AA352" s="17"/>
      <c r="AB352" s="17"/>
      <c r="AD352" s="12"/>
      <c r="AE352" s="12"/>
      <c r="AF352" s="45"/>
      <c r="AG352" s="46"/>
      <c r="AM352" s="135"/>
      <c r="AN352" s="45"/>
      <c r="AO352" s="45"/>
      <c r="AP352" s="145"/>
      <c r="AQ352" s="146"/>
      <c r="AT352" s="146"/>
      <c r="AU352" s="146"/>
    </row>
    <row r="353" spans="1:47">
      <c r="A353" s="12"/>
      <c r="B353" s="12"/>
      <c r="C353" s="54"/>
      <c r="D353" s="54"/>
      <c r="E353" s="12" t="s">
        <v>1810</v>
      </c>
      <c r="F353" s="12" t="s">
        <v>1703</v>
      </c>
      <c r="I353" s="70">
        <v>166.666</v>
      </c>
      <c r="J353" s="2">
        <v>2016.5820000000001</v>
      </c>
      <c r="K353" s="2"/>
      <c r="L353" s="70">
        <f t="shared" si="24"/>
        <v>2183.248</v>
      </c>
      <c r="M353" s="2"/>
      <c r="N353" s="40"/>
      <c r="O353" s="2"/>
      <c r="P353" s="14"/>
      <c r="R353" s="16"/>
      <c r="S353" s="16"/>
      <c r="T353" s="8"/>
      <c r="U353" s="15"/>
      <c r="V353" s="15"/>
      <c r="W353" s="15"/>
      <c r="X353" s="17"/>
      <c r="Y353" s="47"/>
      <c r="Z353" s="51"/>
      <c r="AA353" s="17"/>
      <c r="AB353" s="17"/>
      <c r="AD353" s="12"/>
      <c r="AE353" s="12"/>
      <c r="AF353" s="45"/>
      <c r="AG353" s="46"/>
      <c r="AM353" s="135"/>
      <c r="AN353" s="45"/>
      <c r="AO353" s="45"/>
      <c r="AP353" s="145"/>
      <c r="AQ353" s="146"/>
      <c r="AT353" s="146"/>
      <c r="AU353" s="146"/>
    </row>
    <row r="354" spans="1:47">
      <c r="A354" s="12"/>
      <c r="B354" s="12"/>
      <c r="C354" s="54"/>
      <c r="D354" s="54"/>
      <c r="E354" s="12" t="s">
        <v>1811</v>
      </c>
      <c r="F354" s="12" t="s">
        <v>1705</v>
      </c>
      <c r="I354" s="70">
        <v>9120</v>
      </c>
      <c r="J354" s="2"/>
      <c r="K354" s="2"/>
      <c r="L354" s="70">
        <f t="shared" si="24"/>
        <v>9120</v>
      </c>
      <c r="M354" s="2"/>
      <c r="N354" s="40"/>
      <c r="O354" s="2"/>
      <c r="P354" s="14"/>
      <c r="R354" s="16"/>
      <c r="S354" s="16"/>
      <c r="T354" s="8"/>
      <c r="U354" s="15"/>
      <c r="V354" s="15"/>
      <c r="W354" s="15"/>
      <c r="X354" s="17"/>
      <c r="Y354" s="47"/>
      <c r="Z354" s="51"/>
      <c r="AA354" s="17"/>
      <c r="AB354" s="17"/>
      <c r="AD354" s="12"/>
      <c r="AE354" s="12"/>
      <c r="AF354" s="45"/>
      <c r="AG354" s="46"/>
      <c r="AM354" s="135"/>
      <c r="AN354" s="45"/>
      <c r="AO354" s="45"/>
      <c r="AP354" s="145"/>
      <c r="AQ354" s="146"/>
      <c r="AT354" s="146"/>
      <c r="AU354" s="146"/>
    </row>
    <row r="355" spans="1:47">
      <c r="A355" s="12"/>
      <c r="B355" s="12"/>
      <c r="C355" s="54"/>
      <c r="D355" s="54"/>
      <c r="E355" s="12" t="s">
        <v>1812</v>
      </c>
      <c r="F355" s="12" t="s">
        <v>1813</v>
      </c>
      <c r="I355" s="70">
        <v>2529.0479999999998</v>
      </c>
      <c r="J355" s="2"/>
      <c r="K355" s="2"/>
      <c r="L355" s="70">
        <f t="shared" si="24"/>
        <v>2529.0479999999998</v>
      </c>
      <c r="M355" s="2"/>
      <c r="N355" s="40"/>
      <c r="O355" s="2"/>
      <c r="P355" s="14"/>
      <c r="R355" s="16"/>
      <c r="S355" s="16"/>
      <c r="T355" s="8"/>
      <c r="U355" s="15"/>
      <c r="V355" s="15"/>
      <c r="W355" s="15"/>
      <c r="X355" s="17"/>
      <c r="Y355" s="47"/>
      <c r="Z355" s="51"/>
      <c r="AA355" s="17"/>
      <c r="AB355" s="17"/>
      <c r="AD355" s="12"/>
      <c r="AE355" s="12"/>
      <c r="AF355" s="45"/>
      <c r="AG355" s="46"/>
      <c r="AM355" s="135"/>
      <c r="AN355" s="45"/>
      <c r="AO355" s="45"/>
      <c r="AP355" s="145"/>
      <c r="AQ355" s="146"/>
      <c r="AT355" s="146"/>
      <c r="AU355" s="146"/>
    </row>
    <row r="356" spans="1:47">
      <c r="A356" s="12"/>
      <c r="B356" s="12"/>
      <c r="C356" s="54"/>
      <c r="D356" s="54"/>
      <c r="E356" s="12" t="s">
        <v>1814</v>
      </c>
      <c r="F356" s="12" t="s">
        <v>1709</v>
      </c>
      <c r="I356" s="70">
        <v>24252.733</v>
      </c>
      <c r="J356" s="2"/>
      <c r="K356" s="2"/>
      <c r="L356" s="70">
        <f t="shared" ref="L356:L369" si="25">I356+J356-K356</f>
        <v>24252.733</v>
      </c>
      <c r="M356" s="2"/>
      <c r="N356" s="40"/>
      <c r="O356" s="2"/>
      <c r="P356" s="14"/>
      <c r="R356" s="16"/>
      <c r="S356" s="16"/>
      <c r="T356" s="8"/>
      <c r="U356" s="15"/>
      <c r="V356" s="15"/>
      <c r="W356" s="15"/>
      <c r="X356" s="17"/>
      <c r="Y356" s="47"/>
      <c r="Z356" s="51"/>
      <c r="AA356" s="17"/>
      <c r="AB356" s="17"/>
      <c r="AD356" s="12"/>
      <c r="AE356" s="12"/>
      <c r="AF356" s="45"/>
      <c r="AG356" s="46"/>
      <c r="AM356" s="135"/>
      <c r="AN356" s="45"/>
      <c r="AO356" s="45"/>
      <c r="AP356" s="145"/>
      <c r="AQ356" s="146"/>
      <c r="AT356" s="146"/>
      <c r="AU356" s="146"/>
    </row>
    <row r="357" spans="1:47">
      <c r="A357" s="12"/>
      <c r="B357" s="12"/>
      <c r="C357" s="54"/>
      <c r="D357" s="54"/>
      <c r="E357" s="12" t="s">
        <v>1815</v>
      </c>
      <c r="F357" s="12" t="s">
        <v>1816</v>
      </c>
      <c r="I357" s="70">
        <v>256341.00099999999</v>
      </c>
      <c r="J357" s="2"/>
      <c r="K357" s="2"/>
      <c r="L357" s="70">
        <f t="shared" si="25"/>
        <v>256341.00099999999</v>
      </c>
      <c r="M357" s="2"/>
      <c r="N357" s="40"/>
      <c r="O357" s="2"/>
      <c r="P357" s="14"/>
      <c r="R357" s="16"/>
      <c r="S357" s="16"/>
      <c r="T357" s="8"/>
      <c r="U357" s="15"/>
      <c r="V357" s="15"/>
      <c r="W357" s="15"/>
      <c r="X357" s="17"/>
      <c r="Y357" s="47"/>
      <c r="Z357" s="51"/>
      <c r="AA357" s="17"/>
      <c r="AB357" s="17"/>
      <c r="AD357" s="12"/>
      <c r="AE357" s="12"/>
      <c r="AF357" s="45"/>
      <c r="AG357" s="46"/>
      <c r="AM357" s="135"/>
      <c r="AN357" s="45"/>
      <c r="AO357" s="45"/>
      <c r="AP357" s="145"/>
      <c r="AQ357" s="146"/>
      <c r="AT357" s="146"/>
      <c r="AU357" s="146"/>
    </row>
    <row r="358" spans="1:47">
      <c r="A358" s="12"/>
      <c r="B358" s="12"/>
      <c r="C358" s="54"/>
      <c r="D358" s="54"/>
      <c r="E358" s="12" t="s">
        <v>1817</v>
      </c>
      <c r="F358" s="12" t="s">
        <v>1818</v>
      </c>
      <c r="I358" s="70">
        <v>235810.361</v>
      </c>
      <c r="J358" s="2"/>
      <c r="K358" s="2"/>
      <c r="L358" s="70">
        <f t="shared" si="25"/>
        <v>235810.361</v>
      </c>
      <c r="M358" s="2"/>
      <c r="N358" s="40"/>
      <c r="O358" s="2"/>
      <c r="P358" s="14"/>
      <c r="R358" s="16"/>
      <c r="S358" s="16"/>
      <c r="T358" s="8"/>
      <c r="U358" s="15"/>
      <c r="V358" s="15"/>
      <c r="W358" s="15"/>
      <c r="X358" s="17"/>
      <c r="Y358" s="47"/>
      <c r="Z358" s="51"/>
      <c r="AA358" s="17"/>
      <c r="AB358" s="17"/>
      <c r="AD358" s="12"/>
      <c r="AE358" s="12"/>
      <c r="AF358" s="45"/>
      <c r="AG358" s="46"/>
      <c r="AM358" s="135"/>
      <c r="AN358" s="45"/>
      <c r="AO358" s="45"/>
      <c r="AP358" s="145"/>
      <c r="AQ358" s="146"/>
      <c r="AT358" s="146"/>
      <c r="AU358" s="146"/>
    </row>
    <row r="359" spans="1:47">
      <c r="A359" s="12"/>
      <c r="B359" s="12"/>
      <c r="C359" s="54"/>
      <c r="D359" s="54"/>
      <c r="E359" s="12" t="s">
        <v>1819</v>
      </c>
      <c r="F359" s="12" t="s">
        <v>1820</v>
      </c>
      <c r="I359" s="70">
        <v>695</v>
      </c>
      <c r="J359" s="2"/>
      <c r="K359" s="2"/>
      <c r="L359" s="70">
        <f t="shared" si="25"/>
        <v>695</v>
      </c>
      <c r="M359" s="2"/>
      <c r="N359" s="40"/>
      <c r="O359" s="2"/>
      <c r="P359" s="14"/>
      <c r="R359" s="16"/>
      <c r="S359" s="16"/>
      <c r="T359" s="8"/>
      <c r="U359" s="15"/>
      <c r="V359" s="15"/>
      <c r="W359" s="15"/>
      <c r="X359" s="17"/>
      <c r="Y359" s="47"/>
      <c r="Z359" s="51"/>
      <c r="AA359" s="17"/>
      <c r="AB359" s="17"/>
      <c r="AD359" s="12"/>
      <c r="AE359" s="12"/>
      <c r="AF359" s="45"/>
      <c r="AG359" s="46"/>
      <c r="AM359" s="135"/>
      <c r="AN359" s="45"/>
      <c r="AO359" s="45"/>
      <c r="AP359" s="145"/>
      <c r="AQ359" s="146"/>
      <c r="AT359" s="146"/>
      <c r="AU359" s="146"/>
    </row>
    <row r="360" spans="1:47">
      <c r="A360" s="12"/>
      <c r="B360" s="12"/>
      <c r="C360" s="54"/>
      <c r="D360" s="54"/>
      <c r="E360" s="12" t="s">
        <v>1821</v>
      </c>
      <c r="F360" s="12" t="s">
        <v>1715</v>
      </c>
      <c r="I360" s="70">
        <v>47490.02</v>
      </c>
      <c r="J360" s="2"/>
      <c r="K360" s="2"/>
      <c r="L360" s="70">
        <f t="shared" si="25"/>
        <v>47490.02</v>
      </c>
      <c r="M360" s="2"/>
      <c r="N360" s="40"/>
      <c r="O360" s="2"/>
      <c r="P360" s="14"/>
      <c r="R360" s="16"/>
      <c r="S360" s="16"/>
      <c r="T360" s="8"/>
      <c r="U360" s="15"/>
      <c r="V360" s="15"/>
      <c r="W360" s="15"/>
      <c r="X360" s="17"/>
      <c r="Y360" s="47"/>
      <c r="Z360" s="51"/>
      <c r="AA360" s="17"/>
      <c r="AB360" s="17"/>
      <c r="AD360" s="12"/>
      <c r="AE360" s="12"/>
      <c r="AF360" s="45"/>
      <c r="AG360" s="46"/>
      <c r="AM360" s="135"/>
      <c r="AN360" s="45"/>
      <c r="AO360" s="45"/>
      <c r="AP360" s="145"/>
      <c r="AQ360" s="146"/>
      <c r="AT360" s="146"/>
      <c r="AU360" s="146"/>
    </row>
    <row r="361" spans="1:47">
      <c r="A361" s="12"/>
      <c r="B361" s="12"/>
      <c r="C361" s="54"/>
      <c r="D361" s="54"/>
      <c r="E361" s="12" t="s">
        <v>1822</v>
      </c>
      <c r="F361" s="12" t="s">
        <v>789</v>
      </c>
      <c r="I361" s="70">
        <v>171112.04399999999</v>
      </c>
      <c r="J361" s="2">
        <v>43580.211000000003</v>
      </c>
      <c r="K361" s="2"/>
      <c r="L361" s="70">
        <f t="shared" si="25"/>
        <v>214692.255</v>
      </c>
      <c r="M361" s="2"/>
      <c r="N361" s="40"/>
      <c r="O361" s="2"/>
      <c r="P361" s="14"/>
      <c r="R361" s="16"/>
      <c r="S361" s="16"/>
      <c r="T361" s="8"/>
      <c r="U361" s="15"/>
      <c r="V361" s="15"/>
      <c r="W361" s="15"/>
      <c r="X361" s="17"/>
      <c r="Y361" s="47"/>
      <c r="Z361" s="51"/>
      <c r="AA361" s="17"/>
      <c r="AB361" s="17"/>
      <c r="AD361" s="12"/>
      <c r="AE361" s="12"/>
      <c r="AF361" s="45"/>
      <c r="AG361" s="46"/>
      <c r="AM361" s="135"/>
      <c r="AN361" s="45"/>
      <c r="AO361" s="45"/>
      <c r="AP361" s="145"/>
      <c r="AQ361" s="146"/>
      <c r="AT361" s="146"/>
      <c r="AU361" s="146"/>
    </row>
    <row r="362" spans="1:47">
      <c r="A362" s="12"/>
      <c r="B362" s="12"/>
      <c r="C362" s="54"/>
      <c r="D362" s="54"/>
      <c r="E362" s="12" t="s">
        <v>1823</v>
      </c>
      <c r="F362" s="12" t="s">
        <v>1718</v>
      </c>
      <c r="I362" s="70">
        <v>12557.289000000001</v>
      </c>
      <c r="J362" s="2"/>
      <c r="K362" s="2"/>
      <c r="L362" s="70">
        <f t="shared" si="25"/>
        <v>12557.289000000001</v>
      </c>
      <c r="M362" s="2"/>
      <c r="N362" s="40"/>
      <c r="O362" s="2"/>
      <c r="P362" s="14"/>
      <c r="R362" s="16"/>
      <c r="S362" s="16"/>
      <c r="T362" s="8"/>
      <c r="U362" s="15"/>
      <c r="V362" s="15"/>
      <c r="W362" s="15"/>
      <c r="X362" s="17"/>
      <c r="Y362" s="47"/>
      <c r="Z362" s="51"/>
      <c r="AA362" s="17"/>
      <c r="AB362" s="17"/>
      <c r="AD362" s="12"/>
      <c r="AE362" s="12"/>
      <c r="AF362" s="45"/>
      <c r="AG362" s="46"/>
      <c r="AM362" s="135"/>
      <c r="AN362" s="45"/>
      <c r="AO362" s="45"/>
      <c r="AP362" s="145"/>
      <c r="AQ362" s="146"/>
      <c r="AT362" s="146"/>
      <c r="AU362" s="146"/>
    </row>
    <row r="363" spans="1:47">
      <c r="A363" s="12"/>
      <c r="B363" s="12"/>
      <c r="C363" s="54"/>
      <c r="D363" s="54"/>
      <c r="E363" s="12" t="s">
        <v>1824</v>
      </c>
      <c r="F363" s="12" t="s">
        <v>1825</v>
      </c>
      <c r="I363" s="70">
        <v>-406.94900000000001</v>
      </c>
      <c r="J363" s="2"/>
      <c r="K363" s="2"/>
      <c r="L363" s="70">
        <f t="shared" si="25"/>
        <v>-406.94900000000001</v>
      </c>
      <c r="M363" s="2"/>
      <c r="N363" s="40"/>
      <c r="O363" s="2"/>
      <c r="P363" s="14"/>
      <c r="R363" s="16"/>
      <c r="S363" s="16"/>
      <c r="T363" s="8"/>
      <c r="U363" s="15"/>
      <c r="V363" s="15"/>
      <c r="W363" s="15"/>
      <c r="X363" s="17"/>
      <c r="Y363" s="47"/>
      <c r="Z363" s="51"/>
      <c r="AA363" s="17"/>
      <c r="AB363" s="17"/>
      <c r="AD363" s="12"/>
      <c r="AE363" s="12"/>
      <c r="AF363" s="45"/>
      <c r="AG363" s="46"/>
      <c r="AM363" s="135"/>
      <c r="AN363" s="45"/>
      <c r="AO363" s="45"/>
      <c r="AP363" s="145"/>
      <c r="AQ363" s="146"/>
      <c r="AT363" s="146"/>
      <c r="AU363" s="146"/>
    </row>
    <row r="364" spans="1:47">
      <c r="A364" s="12"/>
      <c r="B364" s="12"/>
      <c r="C364" s="54"/>
      <c r="D364" s="54"/>
      <c r="E364" s="12" t="s">
        <v>4528</v>
      </c>
      <c r="F364" s="12" t="s">
        <v>1669</v>
      </c>
      <c r="I364" s="70">
        <v>3770</v>
      </c>
      <c r="J364" s="2"/>
      <c r="K364" s="2"/>
      <c r="L364" s="70">
        <f t="shared" si="25"/>
        <v>3770</v>
      </c>
      <c r="M364" s="2"/>
      <c r="N364" s="40"/>
      <c r="O364" s="2"/>
      <c r="P364" s="14"/>
      <c r="R364" s="16"/>
      <c r="S364" s="16"/>
      <c r="T364" s="8"/>
      <c r="U364" s="15"/>
      <c r="V364" s="15"/>
      <c r="W364" s="15"/>
      <c r="X364" s="17"/>
      <c r="Y364" s="47"/>
      <c r="Z364" s="51"/>
      <c r="AA364" s="17"/>
      <c r="AB364" s="17"/>
      <c r="AD364" s="12"/>
      <c r="AE364" s="12"/>
      <c r="AF364" s="45"/>
      <c r="AG364" s="46"/>
      <c r="AM364" s="135"/>
      <c r="AN364" s="45"/>
      <c r="AO364" s="45"/>
      <c r="AP364" s="145"/>
      <c r="AQ364" s="146"/>
      <c r="AT364" s="146"/>
      <c r="AU364" s="146"/>
    </row>
    <row r="365" spans="1:47">
      <c r="A365" s="12"/>
      <c r="B365" s="12"/>
      <c r="C365" s="54"/>
      <c r="D365" s="54"/>
      <c r="E365" s="12" t="s">
        <v>1826</v>
      </c>
      <c r="F365" s="12" t="s">
        <v>1827</v>
      </c>
      <c r="I365" s="70">
        <v>442048.50900000002</v>
      </c>
      <c r="J365" s="2"/>
      <c r="K365" s="2"/>
      <c r="L365" s="70">
        <f t="shared" si="25"/>
        <v>442048.50900000002</v>
      </c>
      <c r="M365" s="2"/>
      <c r="N365" s="40"/>
      <c r="O365" s="2"/>
      <c r="P365" s="14"/>
      <c r="R365" s="16"/>
      <c r="S365" s="16"/>
      <c r="T365" s="8"/>
      <c r="U365" s="15"/>
      <c r="V365" s="15"/>
      <c r="W365" s="15"/>
      <c r="X365" s="17"/>
      <c r="Y365" s="47"/>
      <c r="Z365" s="51"/>
      <c r="AA365" s="17"/>
      <c r="AB365" s="17"/>
      <c r="AD365" s="12"/>
      <c r="AE365" s="12"/>
      <c r="AF365" s="45"/>
      <c r="AG365" s="46"/>
      <c r="AM365" s="135"/>
      <c r="AN365" s="45"/>
      <c r="AO365" s="45"/>
      <c r="AP365" s="145"/>
      <c r="AQ365" s="146"/>
      <c r="AT365" s="146"/>
      <c r="AU365" s="146"/>
    </row>
    <row r="366" spans="1:47">
      <c r="A366" s="12"/>
      <c r="B366" s="12"/>
      <c r="C366" s="54"/>
      <c r="D366" s="54"/>
      <c r="E366" s="12" t="s">
        <v>1828</v>
      </c>
      <c r="F366" s="12" t="s">
        <v>1829</v>
      </c>
      <c r="I366" s="70">
        <v>38319.756000000001</v>
      </c>
      <c r="J366" s="2">
        <v>12</v>
      </c>
      <c r="K366" s="2"/>
      <c r="L366" s="70">
        <f t="shared" si="25"/>
        <v>38331.756000000001</v>
      </c>
      <c r="M366" s="2"/>
      <c r="N366" s="40"/>
      <c r="O366" s="2"/>
      <c r="P366" s="14"/>
      <c r="R366" s="16"/>
      <c r="S366" s="16"/>
      <c r="T366" s="8"/>
      <c r="U366" s="15"/>
      <c r="V366" s="15"/>
      <c r="W366" s="15"/>
      <c r="X366" s="17"/>
      <c r="Y366" s="47"/>
      <c r="Z366" s="51"/>
      <c r="AA366" s="17"/>
      <c r="AB366" s="17"/>
      <c r="AD366" s="12"/>
      <c r="AE366" s="12"/>
      <c r="AF366" s="45"/>
      <c r="AG366" s="46"/>
      <c r="AM366" s="135"/>
      <c r="AN366" s="45"/>
      <c r="AO366" s="45"/>
      <c r="AP366" s="145"/>
      <c r="AQ366" s="146"/>
      <c r="AT366" s="146"/>
      <c r="AU366" s="146"/>
    </row>
    <row r="367" spans="1:47">
      <c r="A367" s="12"/>
      <c r="B367" s="12"/>
      <c r="C367" s="54"/>
      <c r="D367" s="54"/>
      <c r="E367" s="12" t="s">
        <v>1830</v>
      </c>
      <c r="F367" s="12" t="s">
        <v>1722</v>
      </c>
      <c r="I367" s="70">
        <v>55811.974999999999</v>
      </c>
      <c r="J367" s="2">
        <v>3050</v>
      </c>
      <c r="K367" s="2"/>
      <c r="L367" s="70">
        <f t="shared" si="25"/>
        <v>58861.974999999999</v>
      </c>
      <c r="M367" s="2"/>
      <c r="N367" s="40"/>
      <c r="O367" s="2"/>
      <c r="P367" s="14"/>
      <c r="R367" s="16"/>
      <c r="S367" s="16"/>
      <c r="T367" s="8"/>
      <c r="U367" s="15"/>
      <c r="V367" s="15"/>
      <c r="W367" s="15"/>
      <c r="X367" s="17"/>
      <c r="Y367" s="47"/>
      <c r="Z367" s="51"/>
      <c r="AA367" s="17"/>
      <c r="AB367" s="17"/>
      <c r="AD367" s="12"/>
      <c r="AE367" s="12"/>
      <c r="AF367" s="45"/>
      <c r="AG367" s="46"/>
      <c r="AM367" s="135"/>
      <c r="AN367" s="45"/>
      <c r="AO367" s="45"/>
      <c r="AP367" s="145"/>
      <c r="AQ367" s="146"/>
      <c r="AT367" s="146"/>
      <c r="AU367" s="146"/>
    </row>
    <row r="368" spans="1:47">
      <c r="A368" s="12"/>
      <c r="B368" s="12"/>
      <c r="C368" s="54"/>
      <c r="D368" s="54"/>
      <c r="E368" s="12" t="s">
        <v>1831</v>
      </c>
      <c r="F368" s="12" t="s">
        <v>1832</v>
      </c>
      <c r="I368" s="70">
        <v>281979.63900000002</v>
      </c>
      <c r="J368" s="2"/>
      <c r="K368" s="2">
        <v>144162.12</v>
      </c>
      <c r="L368" s="70">
        <f t="shared" si="25"/>
        <v>137817.51900000003</v>
      </c>
      <c r="M368" s="2"/>
      <c r="N368" s="40"/>
      <c r="O368" s="2"/>
      <c r="P368" s="14"/>
      <c r="R368" s="16"/>
      <c r="S368" s="16"/>
      <c r="T368" s="8"/>
      <c r="U368" s="15"/>
      <c r="V368" s="15"/>
      <c r="W368" s="15"/>
      <c r="X368" s="17"/>
      <c r="Y368" s="47"/>
      <c r="Z368" s="51"/>
      <c r="AA368" s="17"/>
      <c r="AB368" s="17"/>
      <c r="AD368" s="12"/>
      <c r="AE368" s="12"/>
      <c r="AF368" s="45"/>
      <c r="AG368" s="46"/>
      <c r="AM368" s="135"/>
      <c r="AN368" s="45"/>
      <c r="AO368" s="45"/>
      <c r="AP368" s="145"/>
      <c r="AQ368" s="146"/>
      <c r="AT368" s="146"/>
      <c r="AU368" s="146"/>
    </row>
    <row r="369" spans="1:47">
      <c r="A369" s="12"/>
      <c r="B369" s="12"/>
      <c r="C369" s="54"/>
      <c r="D369" s="54"/>
      <c r="E369" s="12" t="s">
        <v>4529</v>
      </c>
      <c r="F369" s="12" t="s">
        <v>4530</v>
      </c>
      <c r="I369" s="70">
        <v>0</v>
      </c>
      <c r="J369" s="2"/>
      <c r="K369" s="2"/>
      <c r="L369" s="70">
        <f t="shared" si="25"/>
        <v>0</v>
      </c>
      <c r="M369" s="2"/>
      <c r="N369" s="40"/>
      <c r="O369" s="2"/>
      <c r="P369" s="14"/>
      <c r="R369" s="16"/>
      <c r="S369" s="16"/>
      <c r="T369" s="8"/>
      <c r="U369" s="15"/>
      <c r="V369" s="15"/>
      <c r="W369" s="15"/>
      <c r="X369" s="17"/>
      <c r="Y369" s="47"/>
      <c r="Z369" s="51"/>
      <c r="AA369" s="17"/>
      <c r="AB369" s="17"/>
      <c r="AD369" s="12"/>
      <c r="AE369" s="12"/>
      <c r="AF369" s="45"/>
      <c r="AG369" s="46"/>
      <c r="AM369" s="135"/>
      <c r="AN369" s="45"/>
      <c r="AO369" s="45"/>
      <c r="AP369" s="145"/>
      <c r="AQ369" s="146"/>
      <c r="AT369" s="146"/>
      <c r="AU369" s="146"/>
    </row>
    <row r="370" spans="1:47">
      <c r="A370" s="12"/>
      <c r="B370" s="12"/>
      <c r="C370" s="54"/>
      <c r="D370" s="54"/>
      <c r="E370" s="12" t="s">
        <v>1833</v>
      </c>
      <c r="F370" s="12" t="s">
        <v>1834</v>
      </c>
      <c r="I370" s="70">
        <v>123074.652</v>
      </c>
      <c r="J370" s="2"/>
      <c r="K370" s="2"/>
      <c r="L370" s="70">
        <f t="shared" ref="L370:L390" si="26">I370+J370-K370</f>
        <v>123074.652</v>
      </c>
      <c r="M370" s="2"/>
      <c r="N370" s="40"/>
      <c r="O370" s="2"/>
      <c r="P370" s="14"/>
      <c r="R370" s="16"/>
      <c r="S370" s="16"/>
      <c r="T370" s="8"/>
      <c r="U370" s="15"/>
      <c r="V370" s="15"/>
      <c r="W370" s="15"/>
      <c r="X370" s="17"/>
      <c r="Y370" s="47"/>
      <c r="Z370" s="51"/>
      <c r="AA370" s="17"/>
      <c r="AB370" s="17"/>
      <c r="AD370" s="12"/>
      <c r="AE370" s="12"/>
      <c r="AF370" s="45"/>
      <c r="AG370" s="46"/>
      <c r="AM370" s="135"/>
      <c r="AN370" s="45"/>
      <c r="AO370" s="45"/>
      <c r="AP370" s="145"/>
      <c r="AQ370" s="146"/>
      <c r="AT370" s="146"/>
      <c r="AU370" s="146"/>
    </row>
    <row r="371" spans="1:47">
      <c r="A371" s="12"/>
      <c r="B371" s="12"/>
      <c r="C371" s="54"/>
      <c r="D371" s="54"/>
      <c r="E371" s="12" t="s">
        <v>4531</v>
      </c>
      <c r="F371" s="12" t="s">
        <v>4497</v>
      </c>
      <c r="I371" s="70">
        <v>0</v>
      </c>
      <c r="J371" s="2"/>
      <c r="K371" s="2"/>
      <c r="L371" s="70">
        <f t="shared" si="26"/>
        <v>0</v>
      </c>
      <c r="M371" s="2"/>
      <c r="N371" s="40"/>
      <c r="O371" s="2"/>
      <c r="P371" s="14"/>
      <c r="R371" s="16"/>
      <c r="S371" s="16"/>
      <c r="T371" s="8"/>
      <c r="U371" s="15"/>
      <c r="V371" s="15"/>
      <c r="W371" s="15"/>
      <c r="X371" s="17"/>
      <c r="Y371" s="47"/>
      <c r="Z371" s="51"/>
      <c r="AA371" s="17"/>
      <c r="AB371" s="17"/>
      <c r="AD371" s="12"/>
      <c r="AE371" s="12"/>
      <c r="AF371" s="45"/>
      <c r="AG371" s="46"/>
      <c r="AM371" s="135"/>
      <c r="AN371" s="45"/>
      <c r="AO371" s="45"/>
      <c r="AP371" s="145"/>
      <c r="AQ371" s="146"/>
      <c r="AT371" s="146"/>
      <c r="AU371" s="146"/>
    </row>
    <row r="372" spans="1:47">
      <c r="A372" s="12"/>
      <c r="B372" s="12"/>
      <c r="C372" s="54"/>
      <c r="D372" s="54"/>
      <c r="E372" s="12" t="s">
        <v>1835</v>
      </c>
      <c r="F372" s="12" t="s">
        <v>1836</v>
      </c>
      <c r="I372" s="70">
        <v>122264.867</v>
      </c>
      <c r="J372" s="2"/>
      <c r="K372" s="2">
        <v>2529.7849999999999</v>
      </c>
      <c r="L372" s="70">
        <f t="shared" si="26"/>
        <v>119735.08199999999</v>
      </c>
      <c r="M372" s="2"/>
      <c r="N372" s="40"/>
      <c r="O372" s="2"/>
      <c r="P372" s="14"/>
      <c r="R372" s="16"/>
      <c r="S372" s="16"/>
      <c r="T372" s="8"/>
      <c r="U372" s="15"/>
      <c r="V372" s="15"/>
      <c r="W372" s="15"/>
      <c r="X372" s="17"/>
      <c r="Y372" s="47"/>
      <c r="Z372" s="51"/>
      <c r="AA372" s="17"/>
      <c r="AB372" s="17"/>
      <c r="AD372" s="12"/>
      <c r="AE372" s="12"/>
      <c r="AF372" s="45"/>
      <c r="AG372" s="46"/>
      <c r="AM372" s="135"/>
      <c r="AN372" s="45"/>
      <c r="AO372" s="45"/>
      <c r="AP372" s="145"/>
      <c r="AQ372" s="146"/>
      <c r="AT372" s="146"/>
      <c r="AU372" s="146"/>
    </row>
    <row r="373" spans="1:47">
      <c r="A373" s="12"/>
      <c r="B373" s="12"/>
      <c r="C373" s="54"/>
      <c r="D373" s="54"/>
      <c r="E373" s="12" t="s">
        <v>4532</v>
      </c>
      <c r="F373" s="12" t="s">
        <v>4533</v>
      </c>
      <c r="I373" s="70">
        <v>0</v>
      </c>
      <c r="J373" s="2"/>
      <c r="K373" s="2"/>
      <c r="L373" s="70">
        <f t="shared" si="26"/>
        <v>0</v>
      </c>
      <c r="M373" s="2"/>
      <c r="N373" s="40"/>
      <c r="O373" s="2"/>
      <c r="P373" s="14"/>
      <c r="R373" s="16"/>
      <c r="S373" s="16"/>
      <c r="T373" s="8"/>
      <c r="U373" s="15"/>
      <c r="V373" s="15"/>
      <c r="W373" s="15"/>
      <c r="X373" s="17"/>
      <c r="Y373" s="47"/>
      <c r="Z373" s="51"/>
      <c r="AA373" s="17"/>
      <c r="AB373" s="17"/>
      <c r="AD373" s="12"/>
      <c r="AE373" s="12"/>
      <c r="AF373" s="45"/>
      <c r="AG373" s="46"/>
      <c r="AM373" s="135"/>
      <c r="AN373" s="45"/>
      <c r="AO373" s="45"/>
      <c r="AP373" s="145"/>
      <c r="AQ373" s="146"/>
      <c r="AT373" s="146"/>
      <c r="AU373" s="146"/>
    </row>
    <row r="374" spans="1:47">
      <c r="A374" s="12"/>
      <c r="B374" s="12"/>
      <c r="C374" s="54"/>
      <c r="D374" s="54"/>
      <c r="E374" s="12" t="s">
        <v>1837</v>
      </c>
      <c r="F374" s="12" t="s">
        <v>1396</v>
      </c>
      <c r="I374" s="70">
        <v>759310.07499999995</v>
      </c>
      <c r="J374" s="2">
        <v>624318.46000000008</v>
      </c>
      <c r="K374" s="2">
        <v>521028.38199999998</v>
      </c>
      <c r="L374" s="70">
        <f t="shared" si="26"/>
        <v>862600.15300000017</v>
      </c>
      <c r="M374" s="2"/>
      <c r="N374" s="40"/>
      <c r="O374" s="2"/>
      <c r="P374" s="14"/>
      <c r="R374" s="16"/>
      <c r="S374" s="16"/>
      <c r="T374" s="8"/>
      <c r="U374" s="15"/>
      <c r="V374" s="15"/>
      <c r="W374" s="15"/>
      <c r="X374" s="17"/>
      <c r="Y374" s="47"/>
      <c r="Z374" s="51"/>
      <c r="AA374" s="17"/>
      <c r="AB374" s="17"/>
      <c r="AD374" s="12"/>
      <c r="AE374" s="12"/>
      <c r="AF374" s="45"/>
      <c r="AG374" s="46"/>
      <c r="AM374" s="135"/>
      <c r="AN374" s="45"/>
      <c r="AO374" s="45"/>
      <c r="AP374" s="145"/>
      <c r="AQ374" s="146"/>
      <c r="AT374" s="146"/>
      <c r="AU374" s="146"/>
    </row>
    <row r="375" spans="1:47">
      <c r="A375" s="12"/>
      <c r="B375" s="12"/>
      <c r="C375" s="54"/>
      <c r="D375" s="54"/>
      <c r="E375" s="12" t="s">
        <v>1843</v>
      </c>
      <c r="F375" s="12" t="s">
        <v>1844</v>
      </c>
      <c r="I375" s="70">
        <v>99616.93</v>
      </c>
      <c r="J375" s="2"/>
      <c r="K375" s="2"/>
      <c r="L375" s="70">
        <f t="shared" si="26"/>
        <v>99616.93</v>
      </c>
      <c r="M375" s="2"/>
      <c r="N375" s="40"/>
      <c r="O375" s="2"/>
      <c r="P375" s="14"/>
      <c r="R375" s="16"/>
      <c r="S375" s="16"/>
      <c r="T375" s="8"/>
      <c r="U375" s="15"/>
      <c r="V375" s="15"/>
      <c r="W375" s="15"/>
      <c r="X375" s="17"/>
      <c r="Y375" s="47"/>
      <c r="Z375" s="51"/>
      <c r="AA375" s="17"/>
      <c r="AB375" s="17"/>
      <c r="AD375" s="12"/>
      <c r="AE375" s="12"/>
      <c r="AF375" s="45"/>
      <c r="AG375" s="46"/>
      <c r="AM375" s="135"/>
      <c r="AN375" s="45"/>
      <c r="AO375" s="45"/>
      <c r="AP375" s="145"/>
      <c r="AQ375" s="146"/>
      <c r="AT375" s="146"/>
      <c r="AU375" s="146"/>
    </row>
    <row r="376" spans="1:47">
      <c r="A376" s="12"/>
      <c r="B376" s="12"/>
      <c r="C376" s="54"/>
      <c r="D376" s="54"/>
      <c r="E376" s="12" t="s">
        <v>1845</v>
      </c>
      <c r="F376" s="12" t="s">
        <v>1737</v>
      </c>
      <c r="I376" s="70">
        <v>36986.464999999997</v>
      </c>
      <c r="J376" s="2"/>
      <c r="K376" s="2"/>
      <c r="L376" s="70">
        <f t="shared" si="26"/>
        <v>36986.464999999997</v>
      </c>
      <c r="M376" s="2"/>
      <c r="N376" s="40"/>
      <c r="O376" s="2"/>
      <c r="P376" s="14"/>
      <c r="R376" s="16"/>
      <c r="S376" s="16"/>
      <c r="T376" s="8"/>
      <c r="U376" s="15"/>
      <c r="V376" s="15"/>
      <c r="W376" s="15"/>
      <c r="X376" s="17"/>
      <c r="Y376" s="47"/>
      <c r="Z376" s="51"/>
      <c r="AA376" s="17"/>
      <c r="AB376" s="17"/>
      <c r="AD376" s="12"/>
      <c r="AE376" s="12"/>
      <c r="AF376" s="45"/>
      <c r="AG376" s="46"/>
      <c r="AM376" s="135"/>
      <c r="AN376" s="45"/>
      <c r="AO376" s="45"/>
      <c r="AP376" s="145"/>
      <c r="AQ376" s="146"/>
      <c r="AT376" s="146"/>
      <c r="AU376" s="146"/>
    </row>
    <row r="377" spans="1:47">
      <c r="A377" s="12"/>
      <c r="B377" s="12"/>
      <c r="C377" s="54"/>
      <c r="D377" s="54"/>
      <c r="E377" s="12" t="s">
        <v>4534</v>
      </c>
      <c r="F377" s="12" t="s">
        <v>4501</v>
      </c>
      <c r="I377" s="70">
        <v>2599.3090000000002</v>
      </c>
      <c r="J377" s="2"/>
      <c r="K377" s="2"/>
      <c r="L377" s="70">
        <f t="shared" si="26"/>
        <v>2599.3090000000002</v>
      </c>
      <c r="M377" s="2"/>
      <c r="N377" s="40"/>
      <c r="O377" s="2"/>
      <c r="P377" s="14"/>
      <c r="R377" s="16"/>
      <c r="S377" s="16"/>
      <c r="T377" s="8"/>
      <c r="U377" s="15"/>
      <c r="V377" s="15"/>
      <c r="W377" s="15"/>
      <c r="X377" s="17"/>
      <c r="Y377" s="47"/>
      <c r="Z377" s="51"/>
      <c r="AA377" s="17"/>
      <c r="AB377" s="17"/>
      <c r="AD377" s="12"/>
      <c r="AE377" s="12"/>
      <c r="AF377" s="45"/>
      <c r="AG377" s="46"/>
      <c r="AM377" s="135"/>
      <c r="AN377" s="45"/>
      <c r="AO377" s="45"/>
      <c r="AP377" s="145"/>
      <c r="AQ377" s="146"/>
      <c r="AT377" s="146"/>
      <c r="AU377" s="146"/>
    </row>
    <row r="378" spans="1:47">
      <c r="A378" s="12"/>
      <c r="B378" s="12"/>
      <c r="C378" s="54"/>
      <c r="D378" s="54"/>
      <c r="E378" s="12" t="s">
        <v>1846</v>
      </c>
      <c r="F378" s="12" t="s">
        <v>1739</v>
      </c>
      <c r="I378" s="70">
        <v>9089.0589999999993</v>
      </c>
      <c r="J378" s="2"/>
      <c r="K378" s="2"/>
      <c r="L378" s="70">
        <f t="shared" si="26"/>
        <v>9089.0589999999993</v>
      </c>
      <c r="M378" s="2"/>
      <c r="N378" s="40"/>
      <c r="O378" s="2"/>
      <c r="P378" s="14"/>
      <c r="R378" s="16"/>
      <c r="S378" s="16"/>
      <c r="T378" s="8"/>
      <c r="U378" s="15"/>
      <c r="V378" s="15"/>
      <c r="W378" s="15"/>
      <c r="X378" s="17"/>
      <c r="Y378" s="47"/>
      <c r="Z378" s="51"/>
      <c r="AA378" s="17"/>
      <c r="AB378" s="17"/>
      <c r="AD378" s="12"/>
      <c r="AE378" s="12"/>
      <c r="AF378" s="45"/>
      <c r="AG378" s="46"/>
      <c r="AM378" s="135"/>
      <c r="AN378" s="45"/>
      <c r="AO378" s="45"/>
      <c r="AP378" s="145"/>
      <c r="AQ378" s="146"/>
      <c r="AT378" s="146"/>
      <c r="AU378" s="146"/>
    </row>
    <row r="379" spans="1:47">
      <c r="A379" s="12"/>
      <c r="B379" s="12"/>
      <c r="C379" s="54"/>
      <c r="D379" s="54"/>
      <c r="E379" s="12" t="s">
        <v>1847</v>
      </c>
      <c r="F379" s="12" t="s">
        <v>1848</v>
      </c>
      <c r="I379" s="70">
        <v>34770.601000000002</v>
      </c>
      <c r="J379" s="2"/>
      <c r="K379" s="2"/>
      <c r="L379" s="70">
        <f t="shared" si="26"/>
        <v>34770.601000000002</v>
      </c>
      <c r="M379" s="2"/>
      <c r="N379" s="40"/>
      <c r="O379" s="2"/>
      <c r="P379" s="14"/>
      <c r="R379" s="16"/>
      <c r="S379" s="16"/>
      <c r="T379" s="8"/>
      <c r="U379" s="15"/>
      <c r="V379" s="15"/>
      <c r="W379" s="15"/>
      <c r="X379" s="17"/>
      <c r="Y379" s="47"/>
      <c r="Z379" s="51"/>
      <c r="AA379" s="17"/>
      <c r="AB379" s="17"/>
      <c r="AD379" s="12"/>
      <c r="AE379" s="12"/>
      <c r="AF379" s="45"/>
      <c r="AG379" s="46"/>
      <c r="AM379" s="135"/>
      <c r="AN379" s="45"/>
      <c r="AO379" s="45"/>
      <c r="AP379" s="145"/>
      <c r="AQ379" s="146"/>
      <c r="AT379" s="146"/>
      <c r="AU379" s="146"/>
    </row>
    <row r="380" spans="1:47">
      <c r="A380" s="12"/>
      <c r="B380" s="12"/>
      <c r="C380" s="54"/>
      <c r="D380" s="54"/>
      <c r="E380" s="12" t="s">
        <v>4535</v>
      </c>
      <c r="F380" s="12" t="s">
        <v>1637</v>
      </c>
      <c r="I380" s="70">
        <v>0</v>
      </c>
      <c r="J380" s="2"/>
      <c r="K380" s="2"/>
      <c r="L380" s="70">
        <f t="shared" si="26"/>
        <v>0</v>
      </c>
      <c r="M380" s="2"/>
      <c r="N380" s="40"/>
      <c r="O380" s="2"/>
      <c r="P380" s="14"/>
      <c r="R380" s="16"/>
      <c r="S380" s="16"/>
      <c r="T380" s="8"/>
      <c r="U380" s="15"/>
      <c r="V380" s="15"/>
      <c r="W380" s="15"/>
      <c r="X380" s="17"/>
      <c r="Y380" s="47"/>
      <c r="Z380" s="51"/>
      <c r="AA380" s="17"/>
      <c r="AB380" s="17"/>
      <c r="AD380" s="12"/>
      <c r="AE380" s="12"/>
      <c r="AF380" s="45"/>
      <c r="AG380" s="46"/>
      <c r="AM380" s="135"/>
      <c r="AN380" s="45"/>
      <c r="AO380" s="45"/>
      <c r="AP380" s="145"/>
      <c r="AQ380" s="146"/>
      <c r="AT380" s="146"/>
      <c r="AU380" s="146"/>
    </row>
    <row r="381" spans="1:47">
      <c r="A381" s="12"/>
      <c r="B381" s="12"/>
      <c r="C381" s="54"/>
      <c r="D381" s="54"/>
      <c r="E381" s="12" t="s">
        <v>4536</v>
      </c>
      <c r="F381" s="12" t="s">
        <v>1756</v>
      </c>
      <c r="I381" s="70">
        <v>0</v>
      </c>
      <c r="J381" s="2"/>
      <c r="K381" s="2"/>
      <c r="L381" s="70">
        <f t="shared" si="26"/>
        <v>0</v>
      </c>
      <c r="M381" s="2"/>
      <c r="N381" s="40"/>
      <c r="O381" s="2"/>
      <c r="P381" s="14"/>
      <c r="R381" s="16"/>
      <c r="S381" s="16"/>
      <c r="T381" s="8"/>
      <c r="U381" s="15"/>
      <c r="V381" s="15"/>
      <c r="W381" s="15"/>
      <c r="X381" s="17"/>
      <c r="Y381" s="47"/>
      <c r="Z381" s="51"/>
      <c r="AA381" s="17"/>
      <c r="AB381" s="17"/>
      <c r="AD381" s="12"/>
      <c r="AE381" s="12"/>
      <c r="AF381" s="45"/>
      <c r="AG381" s="46"/>
      <c r="AM381" s="135"/>
      <c r="AN381" s="45"/>
      <c r="AO381" s="45"/>
      <c r="AP381" s="145"/>
      <c r="AQ381" s="146"/>
      <c r="AT381" s="146"/>
      <c r="AU381" s="146"/>
    </row>
    <row r="382" spans="1:47">
      <c r="A382" s="12"/>
      <c r="B382" s="12"/>
      <c r="C382" s="54"/>
      <c r="D382" s="54"/>
      <c r="E382" s="12" t="s">
        <v>1853</v>
      </c>
      <c r="F382" s="12" t="s">
        <v>1661</v>
      </c>
      <c r="I382" s="70">
        <v>4230</v>
      </c>
      <c r="J382" s="2"/>
      <c r="K382" s="2"/>
      <c r="L382" s="70">
        <f t="shared" si="26"/>
        <v>4230</v>
      </c>
      <c r="M382" s="2"/>
      <c r="N382" s="40"/>
      <c r="O382" s="2"/>
      <c r="P382" s="14"/>
      <c r="R382" s="16"/>
      <c r="S382" s="16"/>
      <c r="T382" s="8"/>
      <c r="U382" s="15"/>
      <c r="V382" s="15"/>
      <c r="W382" s="15"/>
      <c r="X382" s="17"/>
      <c r="Y382" s="47"/>
      <c r="Z382" s="51"/>
      <c r="AA382" s="17"/>
      <c r="AB382" s="17"/>
      <c r="AD382" s="12"/>
      <c r="AE382" s="12"/>
      <c r="AF382" s="45"/>
      <c r="AG382" s="46"/>
      <c r="AM382" s="135"/>
      <c r="AN382" s="45"/>
      <c r="AO382" s="45"/>
      <c r="AP382" s="145"/>
      <c r="AQ382" s="146"/>
      <c r="AT382" s="146"/>
      <c r="AU382" s="146"/>
    </row>
    <row r="383" spans="1:47">
      <c r="A383" s="12"/>
      <c r="B383" s="12"/>
      <c r="C383" s="54"/>
      <c r="D383" s="54"/>
      <c r="E383" s="12" t="s">
        <v>1854</v>
      </c>
      <c r="F383" s="12" t="s">
        <v>1855</v>
      </c>
      <c r="I383" s="70">
        <v>25013.599999999999</v>
      </c>
      <c r="J383" s="54"/>
      <c r="K383" s="2"/>
      <c r="L383" s="70">
        <f t="shared" si="26"/>
        <v>25013.599999999999</v>
      </c>
      <c r="M383" s="2"/>
      <c r="N383" s="40"/>
      <c r="O383" s="2"/>
      <c r="P383" s="14"/>
      <c r="R383" s="16"/>
      <c r="S383" s="16"/>
      <c r="T383" s="8"/>
      <c r="U383" s="15"/>
      <c r="V383" s="15"/>
      <c r="W383" s="15"/>
      <c r="X383" s="17"/>
      <c r="Y383" s="47"/>
      <c r="Z383" s="51"/>
      <c r="AA383" s="17"/>
      <c r="AB383" s="17"/>
      <c r="AD383" s="12"/>
      <c r="AE383" s="12"/>
      <c r="AF383" s="45"/>
      <c r="AG383" s="46"/>
      <c r="AM383" s="135"/>
      <c r="AN383" s="45"/>
      <c r="AO383" s="45"/>
      <c r="AP383" s="145"/>
      <c r="AQ383" s="146"/>
      <c r="AT383" s="146"/>
      <c r="AU383" s="146"/>
    </row>
    <row r="384" spans="1:47">
      <c r="A384" s="12"/>
      <c r="B384" s="12"/>
      <c r="C384" s="54"/>
      <c r="D384" s="54"/>
      <c r="E384" s="12" t="s">
        <v>4537</v>
      </c>
      <c r="F384" s="12" t="s">
        <v>1722</v>
      </c>
      <c r="I384" s="70">
        <v>0</v>
      </c>
      <c r="J384" s="2"/>
      <c r="K384" s="2"/>
      <c r="L384" s="70">
        <f t="shared" si="26"/>
        <v>0</v>
      </c>
      <c r="M384" s="2"/>
      <c r="N384" s="40"/>
      <c r="O384" s="2"/>
      <c r="P384" s="14"/>
      <c r="R384" s="16"/>
      <c r="S384" s="16"/>
      <c r="T384" s="8"/>
      <c r="U384" s="15"/>
      <c r="V384" s="15"/>
      <c r="W384" s="15"/>
      <c r="X384" s="17"/>
      <c r="Y384" s="47"/>
      <c r="Z384" s="51"/>
      <c r="AA384" s="17"/>
      <c r="AB384" s="17"/>
      <c r="AD384" s="12"/>
      <c r="AE384" s="12"/>
      <c r="AF384" s="45"/>
      <c r="AG384" s="46"/>
      <c r="AM384" s="135"/>
      <c r="AN384" s="45"/>
      <c r="AO384" s="45"/>
      <c r="AP384" s="145"/>
      <c r="AQ384" s="146"/>
      <c r="AT384" s="146"/>
      <c r="AU384" s="146"/>
    </row>
    <row r="385" spans="1:47">
      <c r="A385" s="12"/>
      <c r="B385" s="12"/>
      <c r="C385" s="54"/>
      <c r="D385" s="54"/>
      <c r="E385" s="12" t="s">
        <v>4538</v>
      </c>
      <c r="F385" s="12" t="s">
        <v>1818</v>
      </c>
      <c r="I385" s="70">
        <v>0</v>
      </c>
      <c r="J385" s="2"/>
      <c r="K385" s="2"/>
      <c r="L385" s="70">
        <f t="shared" si="26"/>
        <v>0</v>
      </c>
      <c r="M385" s="2"/>
      <c r="N385" s="40"/>
      <c r="O385" s="2"/>
      <c r="P385" s="14"/>
      <c r="R385" s="16"/>
      <c r="S385" s="16"/>
      <c r="T385" s="8"/>
      <c r="U385" s="15"/>
      <c r="V385" s="15"/>
      <c r="W385" s="15"/>
      <c r="X385" s="17"/>
      <c r="Y385" s="47"/>
      <c r="Z385" s="51"/>
      <c r="AA385" s="17"/>
      <c r="AB385" s="17"/>
      <c r="AD385" s="12"/>
      <c r="AE385" s="12"/>
      <c r="AF385" s="45"/>
      <c r="AG385" s="46"/>
      <c r="AM385" s="135"/>
      <c r="AN385" s="45"/>
      <c r="AO385" s="45"/>
      <c r="AP385" s="145"/>
      <c r="AQ385" s="146"/>
      <c r="AT385" s="146"/>
      <c r="AU385" s="146"/>
    </row>
    <row r="386" spans="1:47">
      <c r="A386" s="12"/>
      <c r="B386" s="12"/>
      <c r="C386" s="54"/>
      <c r="D386" s="54"/>
      <c r="E386" s="12" t="s">
        <v>4539</v>
      </c>
      <c r="F386" s="12" t="s">
        <v>1661</v>
      </c>
      <c r="I386" s="70">
        <v>0</v>
      </c>
      <c r="J386" s="2"/>
      <c r="K386" s="2"/>
      <c r="L386" s="70">
        <f t="shared" si="26"/>
        <v>0</v>
      </c>
      <c r="M386" s="2"/>
      <c r="N386" s="40"/>
      <c r="O386" s="2"/>
      <c r="P386" s="14"/>
      <c r="R386" s="16"/>
      <c r="S386" s="16"/>
      <c r="T386" s="8"/>
      <c r="U386" s="15"/>
      <c r="V386" s="15"/>
      <c r="W386" s="15"/>
      <c r="X386" s="17"/>
      <c r="Y386" s="47"/>
      <c r="Z386" s="51"/>
      <c r="AA386" s="17"/>
      <c r="AB386" s="17"/>
      <c r="AD386" s="12"/>
      <c r="AE386" s="12"/>
      <c r="AF386" s="45"/>
      <c r="AG386" s="46"/>
      <c r="AM386" s="135"/>
      <c r="AN386" s="45"/>
      <c r="AO386" s="45"/>
      <c r="AP386" s="145"/>
      <c r="AQ386" s="146"/>
      <c r="AT386" s="146"/>
      <c r="AU386" s="146"/>
    </row>
    <row r="387" spans="1:47">
      <c r="A387" s="12"/>
      <c r="B387" s="12"/>
      <c r="C387" s="54"/>
      <c r="D387" s="54"/>
      <c r="E387" s="12" t="s">
        <v>4540</v>
      </c>
      <c r="F387" s="12" t="s">
        <v>1661</v>
      </c>
      <c r="I387" s="70">
        <v>0</v>
      </c>
      <c r="J387" s="2"/>
      <c r="K387" s="2"/>
      <c r="L387" s="70">
        <f t="shared" si="26"/>
        <v>0</v>
      </c>
      <c r="M387" s="2"/>
      <c r="N387" s="40"/>
      <c r="O387" s="2"/>
      <c r="P387" s="14"/>
      <c r="R387" s="16"/>
      <c r="S387" s="16"/>
      <c r="T387" s="8"/>
      <c r="U387" s="15"/>
      <c r="V387" s="15"/>
      <c r="W387" s="15"/>
      <c r="X387" s="17"/>
      <c r="Y387" s="47"/>
      <c r="Z387" s="51"/>
      <c r="AA387" s="17"/>
      <c r="AB387" s="17"/>
      <c r="AD387" s="12"/>
      <c r="AE387" s="12"/>
      <c r="AF387" s="45"/>
      <c r="AG387" s="46"/>
      <c r="AM387" s="135"/>
      <c r="AN387" s="45"/>
      <c r="AO387" s="45"/>
      <c r="AP387" s="145"/>
      <c r="AQ387" s="146"/>
      <c r="AT387" s="146"/>
      <c r="AU387" s="146"/>
    </row>
    <row r="388" spans="1:47">
      <c r="A388" s="12"/>
      <c r="B388" s="12"/>
      <c r="C388" s="54"/>
      <c r="D388" s="54"/>
      <c r="E388" s="12" t="s">
        <v>4541</v>
      </c>
      <c r="F388" s="12" t="s">
        <v>1862</v>
      </c>
      <c r="I388" s="70">
        <v>-2686.48</v>
      </c>
      <c r="J388" s="2"/>
      <c r="K388" s="2"/>
      <c r="L388" s="70">
        <f t="shared" si="26"/>
        <v>-2686.48</v>
      </c>
      <c r="M388" s="2"/>
      <c r="N388" s="40"/>
      <c r="O388" s="2"/>
      <c r="P388" s="14"/>
      <c r="R388" s="16"/>
      <c r="S388" s="16"/>
      <c r="T388" s="8"/>
      <c r="U388" s="15"/>
      <c r="V388" s="15"/>
      <c r="W388" s="15"/>
      <c r="X388" s="17"/>
      <c r="Y388" s="47"/>
      <c r="Z388" s="51"/>
      <c r="AA388" s="17"/>
      <c r="AB388" s="17"/>
      <c r="AD388" s="12"/>
      <c r="AE388" s="12"/>
      <c r="AF388" s="45"/>
      <c r="AG388" s="46"/>
      <c r="AM388" s="135"/>
      <c r="AN388" s="45"/>
      <c r="AO388" s="45"/>
      <c r="AP388" s="145"/>
      <c r="AQ388" s="146"/>
      <c r="AT388" s="146"/>
      <c r="AU388" s="146"/>
    </row>
    <row r="389" spans="1:47">
      <c r="A389" s="12"/>
      <c r="B389" s="12"/>
      <c r="C389" s="54"/>
      <c r="D389" s="54"/>
      <c r="E389" s="12" t="s">
        <v>1863</v>
      </c>
      <c r="F389" s="12" t="s">
        <v>1864</v>
      </c>
      <c r="I389" s="70">
        <v>-49643.91</v>
      </c>
      <c r="J389" s="2"/>
      <c r="K389" s="2"/>
      <c r="L389" s="70">
        <f t="shared" si="26"/>
        <v>-49643.91</v>
      </c>
      <c r="M389" s="2"/>
      <c r="N389" s="40"/>
      <c r="O389" s="2"/>
      <c r="P389" s="14"/>
      <c r="R389" s="16"/>
      <c r="S389" s="16"/>
      <c r="T389" s="8"/>
      <c r="U389" s="15"/>
      <c r="V389" s="15"/>
      <c r="W389" s="15"/>
      <c r="X389" s="17"/>
      <c r="Y389" s="47"/>
      <c r="Z389" s="51"/>
      <c r="AA389" s="17"/>
      <c r="AB389" s="17"/>
      <c r="AD389" s="12"/>
      <c r="AE389" s="12"/>
      <c r="AF389" s="45"/>
      <c r="AG389" s="46"/>
      <c r="AM389" s="135"/>
      <c r="AN389" s="45"/>
      <c r="AO389" s="45"/>
      <c r="AP389" s="145"/>
      <c r="AQ389" s="146"/>
      <c r="AT389" s="146"/>
      <c r="AU389" s="146"/>
    </row>
    <row r="390" spans="1:47">
      <c r="A390" s="12"/>
      <c r="B390" s="12"/>
      <c r="C390" s="54"/>
      <c r="D390" s="54"/>
      <c r="E390" s="12" t="s">
        <v>1867</v>
      </c>
      <c r="F390" s="12" t="s">
        <v>1866</v>
      </c>
      <c r="I390" s="70">
        <v>52168.843000000001</v>
      </c>
      <c r="J390" s="2">
        <v>35637.388999999996</v>
      </c>
      <c r="K390" s="2"/>
      <c r="L390" s="70">
        <f t="shared" si="26"/>
        <v>87806.231999999989</v>
      </c>
      <c r="M390" s="2"/>
      <c r="N390" s="40"/>
      <c r="O390" s="2"/>
      <c r="P390" s="14"/>
      <c r="R390" s="16"/>
      <c r="S390" s="16"/>
      <c r="T390" s="8"/>
      <c r="U390" s="15"/>
      <c r="V390" s="15"/>
      <c r="W390" s="15"/>
      <c r="X390" s="17"/>
      <c r="Y390" s="47"/>
      <c r="Z390" s="51"/>
      <c r="AA390" s="17"/>
      <c r="AB390" s="17"/>
      <c r="AD390" s="12"/>
      <c r="AE390" s="12"/>
      <c r="AF390" s="45"/>
      <c r="AG390" s="46"/>
      <c r="AM390" s="135"/>
      <c r="AN390" s="45"/>
      <c r="AO390" s="45"/>
      <c r="AP390" s="145"/>
      <c r="AQ390" s="146"/>
      <c r="AT390" s="146"/>
      <c r="AU390" s="146"/>
    </row>
    <row r="391" spans="1:47">
      <c r="A391" s="12"/>
      <c r="B391" s="12"/>
      <c r="C391" s="54"/>
      <c r="D391" s="54"/>
      <c r="E391" s="12" t="s">
        <v>4542</v>
      </c>
      <c r="F391" s="12" t="s">
        <v>4543</v>
      </c>
      <c r="I391" s="70">
        <v>0</v>
      </c>
      <c r="J391" s="2">
        <v>20998</v>
      </c>
      <c r="K391" s="2"/>
      <c r="L391" s="70">
        <f>I391+J391-K391</f>
        <v>20998</v>
      </c>
      <c r="M391" s="2"/>
      <c r="N391" s="40"/>
      <c r="O391" s="2"/>
      <c r="P391" s="14"/>
      <c r="R391" s="16"/>
      <c r="S391" s="16"/>
      <c r="T391" s="8"/>
      <c r="U391" s="15"/>
      <c r="V391" s="15"/>
      <c r="W391" s="15"/>
      <c r="X391" s="17"/>
      <c r="Y391" s="47"/>
      <c r="Z391" s="51"/>
      <c r="AA391" s="17"/>
      <c r="AB391" s="17"/>
      <c r="AD391" s="12"/>
      <c r="AE391" s="12"/>
      <c r="AF391" s="45"/>
      <c r="AG391" s="46"/>
      <c r="AM391" s="135"/>
      <c r="AN391" s="45"/>
      <c r="AO391" s="45"/>
      <c r="AP391" s="145"/>
      <c r="AQ391" s="146"/>
      <c r="AT391" s="146"/>
      <c r="AU391" s="146"/>
    </row>
    <row r="392" spans="1:47">
      <c r="A392" s="12" t="s">
        <v>111</v>
      </c>
      <c r="B392" s="12" t="s">
        <v>111</v>
      </c>
      <c r="C392" s="2">
        <v>75361272836.169998</v>
      </c>
      <c r="D392" s="2">
        <v>75361272836.169998</v>
      </c>
      <c r="E392" s="12"/>
      <c r="F392" s="12"/>
      <c r="I392" s="69"/>
      <c r="J392" s="2"/>
      <c r="K392" s="2"/>
      <c r="L392" s="71">
        <f>I392+J392-K392</f>
        <v>0</v>
      </c>
      <c r="M392" s="2">
        <f>(G392-H392+SUM(Q392:W392))/+$Y$7</f>
        <v>0</v>
      </c>
      <c r="N392" s="40" t="s">
        <v>111</v>
      </c>
      <c r="O392" s="2"/>
      <c r="P392" s="14">
        <f>G392-H392</f>
        <v>0</v>
      </c>
      <c r="R392" s="15"/>
      <c r="S392" s="15"/>
      <c r="T392" s="17"/>
      <c r="U392" s="47"/>
      <c r="V392" s="51">
        <f>T392/$Y$7</f>
        <v>0</v>
      </c>
      <c r="W392" s="17"/>
      <c r="X392" s="17">
        <f>SUM(P392:W392)</f>
        <v>0</v>
      </c>
      <c r="Z392" s="51">
        <f>X392/$Y$7</f>
        <v>0</v>
      </c>
      <c r="AD392" s="12" t="s">
        <v>312</v>
      </c>
      <c r="AE392" s="12" t="s">
        <v>313</v>
      </c>
      <c r="AF392" s="45" t="s">
        <v>111</v>
      </c>
      <c r="AG392" s="46"/>
      <c r="AJ392" s="9">
        <v>6133872.29</v>
      </c>
      <c r="AM392" s="135"/>
      <c r="AN392" s="45"/>
      <c r="AO392" s="45"/>
      <c r="AP392" s="146"/>
      <c r="AQ392" s="146"/>
      <c r="AT392" s="146"/>
      <c r="AU392" s="146"/>
    </row>
    <row r="393" spans="1:47">
      <c r="A393" s="12"/>
      <c r="B393" s="12"/>
      <c r="E393" s="12"/>
      <c r="F393" s="12"/>
      <c r="G393" s="45"/>
      <c r="I393" s="69"/>
      <c r="J393" s="2"/>
      <c r="K393" s="2"/>
      <c r="L393" s="137">
        <f>I393+J393-K393</f>
        <v>0</v>
      </c>
      <c r="M393" s="2"/>
      <c r="N393" s="40"/>
      <c r="O393" s="2"/>
      <c r="P393" s="14">
        <f>G393-H393</f>
        <v>0</v>
      </c>
      <c r="R393" s="15"/>
      <c r="S393" s="15"/>
      <c r="T393" s="17"/>
      <c r="U393" s="47"/>
      <c r="V393" s="51"/>
      <c r="W393" s="17"/>
      <c r="X393" s="17"/>
      <c r="Z393" s="51"/>
      <c r="AD393" s="12"/>
      <c r="AE393" s="12"/>
      <c r="AF393" s="45"/>
      <c r="AG393" s="46"/>
      <c r="AM393" s="135"/>
      <c r="AN393" s="45"/>
      <c r="AO393" s="45"/>
      <c r="AP393" s="145"/>
      <c r="AQ393" s="146"/>
      <c r="AT393" s="146"/>
      <c r="AU393" s="146"/>
    </row>
    <row r="394" spans="1:47">
      <c r="A394" s="12"/>
      <c r="B394" s="12"/>
      <c r="E394" s="12"/>
      <c r="F394" s="12"/>
      <c r="I394" s="69"/>
      <c r="J394" s="2"/>
      <c r="K394" s="2"/>
      <c r="L394" s="137">
        <f>I394+J394-K394</f>
        <v>0</v>
      </c>
      <c r="M394" s="2" t="e">
        <f>(G394-H394+SUM(Q394:W394))/+$Y$7</f>
        <v>#REF!</v>
      </c>
      <c r="N394" s="2">
        <v>1347341.53</v>
      </c>
      <c r="O394" s="2"/>
      <c r="P394" s="14">
        <f>G394-H394</f>
        <v>0</v>
      </c>
      <c r="Q394" s="15" t="e">
        <f>-#REF!</f>
        <v>#REF!</v>
      </c>
      <c r="R394" s="15"/>
      <c r="S394" s="15"/>
      <c r="T394" s="17"/>
      <c r="U394" s="47"/>
      <c r="V394" s="51">
        <f>T394/$Y$7</f>
        <v>0</v>
      </c>
      <c r="W394" s="17"/>
      <c r="X394" s="17" t="e">
        <f>SUM(P394:W394)</f>
        <v>#REF!</v>
      </c>
      <c r="Z394" s="51" t="e">
        <f>X394/$Y$7</f>
        <v>#REF!</v>
      </c>
      <c r="AD394" s="12" t="s">
        <v>314</v>
      </c>
      <c r="AE394" s="12" t="s">
        <v>315</v>
      </c>
      <c r="AF394" s="46">
        <v>604082710.16999996</v>
      </c>
      <c r="AG394" s="46"/>
      <c r="AK394" s="9">
        <v>13011268.189999999</v>
      </c>
      <c r="AM394" s="135"/>
      <c r="AN394" s="45"/>
      <c r="AO394" s="45"/>
      <c r="AP394" s="145"/>
      <c r="AQ394" s="146"/>
      <c r="AT394" s="146"/>
      <c r="AU394" s="146"/>
    </row>
    <row r="395" spans="1:47">
      <c r="A395" s="12" t="s">
        <v>111</v>
      </c>
      <c r="B395" s="12" t="s">
        <v>111</v>
      </c>
      <c r="C395" s="40" t="s">
        <v>111</v>
      </c>
      <c r="E395" s="12"/>
      <c r="F395" s="12"/>
      <c r="I395" s="2"/>
      <c r="J395" s="2"/>
      <c r="K395" s="2"/>
      <c r="L395" s="54"/>
      <c r="M395" s="40"/>
      <c r="N395" s="40" t="s">
        <v>111</v>
      </c>
      <c r="O395" s="2"/>
      <c r="P395" s="14"/>
      <c r="R395" s="15"/>
      <c r="S395" s="15"/>
      <c r="T395" s="15">
        <f>-U69</f>
        <v>-10274000000</v>
      </c>
      <c r="U395" s="17"/>
      <c r="V395" s="51" t="e">
        <f>#REF!/$Y$7</f>
        <v>#REF!</v>
      </c>
      <c r="W395" s="17"/>
      <c r="X395" s="17" t="e">
        <f>SUM(P395:W395)</f>
        <v>#REF!</v>
      </c>
      <c r="Z395" s="51" t="e">
        <f>X395/$Y$7</f>
        <v>#REF!</v>
      </c>
      <c r="AJ395" s="9" t="s">
        <v>111</v>
      </c>
      <c r="AM395" s="135"/>
      <c r="AN395" s="45"/>
      <c r="AO395" s="45"/>
      <c r="AP395" s="145"/>
      <c r="AQ395" s="146"/>
      <c r="AT395" s="146"/>
      <c r="AU395" s="146"/>
    </row>
    <row r="396" spans="1:47">
      <c r="E396" s="12"/>
      <c r="H396" s="134"/>
      <c r="I396" s="2">
        <f>SUM(I8:I395)</f>
        <v>7.0000020750740077E-2</v>
      </c>
      <c r="J396" s="2"/>
      <c r="K396" s="2"/>
      <c r="L396" s="2">
        <f>SUM(L8:L395)</f>
        <v>7.5180051469942555E-2</v>
      </c>
      <c r="M396" s="2"/>
      <c r="N396" s="2">
        <v>14151775248.959999</v>
      </c>
      <c r="O396" s="2">
        <v>14151775248.959999</v>
      </c>
      <c r="P396" s="14">
        <f>G396-H396</f>
        <v>0</v>
      </c>
      <c r="Q396" s="15"/>
      <c r="R396" s="15"/>
      <c r="S396" s="15"/>
      <c r="T396" s="17">
        <f>SUM(H396:S396)</f>
        <v>28303550498.065178</v>
      </c>
      <c r="U396" s="17"/>
      <c r="V396" s="51">
        <f>T396/$Y$7</f>
        <v>28303550498.065178</v>
      </c>
      <c r="W396" s="17"/>
      <c r="X396" s="17">
        <f>SUM(P396:W396)</f>
        <v>56607100996.130356</v>
      </c>
      <c r="Z396" s="51">
        <f>X396/$Y$7</f>
        <v>56607100996.130356</v>
      </c>
      <c r="AI396" s="136">
        <f>SUM(AI59:AI395)</f>
        <v>34334656.028549992</v>
      </c>
      <c r="AJ396" s="9">
        <v>258625344175.89001</v>
      </c>
      <c r="AK396" s="9">
        <v>258625344175.89001</v>
      </c>
      <c r="AM396" s="135"/>
      <c r="AN396" s="45"/>
      <c r="AO396" s="45"/>
      <c r="AP396" s="146"/>
      <c r="AQ396" s="146"/>
      <c r="AT396" s="146"/>
      <c r="AU396" s="146"/>
    </row>
    <row r="397" spans="1:47" ht="12.75" hidden="1" customHeight="1">
      <c r="E397" s="12"/>
      <c r="F397" s="56"/>
      <c r="I397" s="2"/>
      <c r="J397" s="2"/>
      <c r="K397" s="2"/>
      <c r="L397" s="54"/>
      <c r="M397" s="40"/>
      <c r="N397" s="40" t="s">
        <v>111</v>
      </c>
      <c r="O397" s="2"/>
      <c r="P397" s="57"/>
      <c r="Q397" s="15"/>
      <c r="R397" s="15"/>
      <c r="S397" s="15"/>
      <c r="T397" s="17"/>
      <c r="U397" s="17"/>
      <c r="V397" s="51"/>
      <c r="W397" s="17"/>
      <c r="X397" s="17"/>
    </row>
    <row r="398" spans="1:47" ht="12.75" hidden="1" customHeight="1">
      <c r="I398" s="2"/>
      <c r="J398" s="2"/>
      <c r="K398" s="2"/>
      <c r="L398" s="54"/>
      <c r="M398" s="58" t="e">
        <f>SUM(M8:M396)</f>
        <v>#REF!</v>
      </c>
      <c r="N398" s="40"/>
      <c r="O398" s="2"/>
      <c r="P398" s="59">
        <f>SUM(P8:P396)</f>
        <v>-6777016242.3000021</v>
      </c>
      <c r="Q398" s="60" t="e">
        <f>SUM(Q8:Q396)</f>
        <v>#REF!</v>
      </c>
      <c r="R398" s="60" t="e">
        <f>SUM(R8:R396)</f>
        <v>#REF!</v>
      </c>
      <c r="S398" s="60" t="e">
        <f>SUM(S8:S396)</f>
        <v>#REF!</v>
      </c>
      <c r="T398" s="60" t="e">
        <f>SUM(T8:T396)</f>
        <v>#REF!</v>
      </c>
      <c r="V398" s="61" t="e">
        <f>SUM(V8:V396)</f>
        <v>#REF!</v>
      </c>
      <c r="X398" s="17"/>
    </row>
    <row r="399" spans="1:47" ht="12.75" hidden="1" customHeight="1">
      <c r="I399" s="2"/>
      <c r="J399" s="2"/>
      <c r="K399" s="2"/>
      <c r="L399" s="54"/>
      <c r="M399" s="20"/>
      <c r="N399" s="2">
        <v>29401627263.91</v>
      </c>
      <c r="O399" s="2">
        <v>29401627263.91</v>
      </c>
      <c r="T399" s="52"/>
    </row>
    <row r="400" spans="1:47" ht="12.75" hidden="1" customHeight="1">
      <c r="I400" s="2"/>
      <c r="J400" s="2"/>
      <c r="K400" s="2"/>
      <c r="L400" s="54"/>
      <c r="M400" s="20" t="s">
        <v>346</v>
      </c>
      <c r="N400" s="40" t="s">
        <v>111</v>
      </c>
      <c r="O400" s="2"/>
      <c r="Q400" s="7" t="s">
        <v>347</v>
      </c>
      <c r="S400" s="7" t="s">
        <v>348</v>
      </c>
    </row>
    <row r="401" spans="1:37" ht="12.75" hidden="1" customHeight="1">
      <c r="I401" s="2"/>
      <c r="J401" s="2"/>
      <c r="K401" s="2"/>
      <c r="L401" s="54"/>
      <c r="M401" s="20"/>
    </row>
    <row r="402" spans="1:37" ht="12.75" hidden="1" customHeight="1">
      <c r="I402" s="2"/>
      <c r="J402" s="2"/>
      <c r="K402" s="2"/>
      <c r="L402" s="54"/>
      <c r="M402" s="20"/>
    </row>
    <row r="403" spans="1:37" ht="12.75" hidden="1" customHeight="1">
      <c r="C403" s="54"/>
      <c r="D403" s="54"/>
      <c r="G403" s="135"/>
      <c r="H403" s="52"/>
      <c r="I403" s="2"/>
      <c r="J403" s="2"/>
      <c r="K403" s="2"/>
      <c r="L403" s="54"/>
      <c r="M403" s="20"/>
      <c r="Y403" s="52"/>
      <c r="Z403" s="52"/>
      <c r="AA403" s="52"/>
      <c r="AB403" s="52"/>
      <c r="AC403" s="52"/>
      <c r="AD403" s="52"/>
      <c r="AE403" s="52"/>
      <c r="AF403" s="52"/>
      <c r="AG403" s="52"/>
      <c r="AH403" s="52"/>
      <c r="AJ403" s="52"/>
      <c r="AK403" s="52"/>
    </row>
    <row r="404" spans="1:37" ht="12.75" hidden="1" customHeight="1">
      <c r="A404" s="12"/>
      <c r="B404" s="12"/>
      <c r="C404" s="54"/>
      <c r="D404" s="54"/>
      <c r="E404" s="21"/>
      <c r="F404" s="22"/>
      <c r="G404" s="135"/>
      <c r="H404" s="52"/>
      <c r="I404" s="2"/>
      <c r="J404" s="2"/>
      <c r="K404" s="2"/>
      <c r="L404" s="54"/>
      <c r="M404" s="20"/>
      <c r="P404" s="63"/>
      <c r="T404" s="64"/>
      <c r="U404" s="64"/>
      <c r="V404" s="64"/>
      <c r="W404" s="65"/>
      <c r="X404" s="65"/>
      <c r="Y404" s="52"/>
      <c r="Z404" s="52"/>
      <c r="AA404" s="52"/>
      <c r="AB404" s="52"/>
      <c r="AC404" s="52"/>
      <c r="AD404" s="52"/>
      <c r="AE404" s="52"/>
      <c r="AF404" s="52"/>
      <c r="AG404" s="52"/>
      <c r="AH404" s="52"/>
      <c r="AJ404" s="52"/>
      <c r="AK404" s="52"/>
    </row>
    <row r="405" spans="1:37" ht="12.75" hidden="1" customHeight="1">
      <c r="A405" s="12"/>
      <c r="B405" s="12"/>
      <c r="C405" s="54"/>
      <c r="D405" s="54"/>
      <c r="E405" s="12"/>
      <c r="F405" s="12"/>
      <c r="G405" s="135"/>
      <c r="H405" s="52"/>
      <c r="I405" s="2"/>
      <c r="J405" s="2"/>
      <c r="K405" s="2"/>
      <c r="L405" s="54"/>
      <c r="M405" s="20"/>
      <c r="T405" s="47"/>
      <c r="U405" s="47"/>
      <c r="V405" s="47"/>
      <c r="W405" s="47"/>
      <c r="X405" s="47"/>
      <c r="Y405" s="52"/>
      <c r="Z405" s="52"/>
      <c r="AA405" s="52"/>
      <c r="AB405" s="52"/>
      <c r="AC405" s="52"/>
      <c r="AD405" s="52"/>
      <c r="AE405" s="52"/>
      <c r="AF405" s="52"/>
      <c r="AG405" s="52"/>
      <c r="AH405" s="52"/>
      <c r="AJ405" s="52"/>
      <c r="AK405" s="52"/>
    </row>
    <row r="406" spans="1:37" ht="12.75" hidden="1" customHeight="1">
      <c r="A406" s="12"/>
      <c r="B406" s="12"/>
      <c r="C406" s="54"/>
      <c r="D406" s="54"/>
      <c r="E406" s="12"/>
      <c r="F406" s="12"/>
      <c r="G406" s="135"/>
      <c r="H406" s="52"/>
      <c r="I406" s="2"/>
      <c r="J406" s="2"/>
      <c r="K406" s="2"/>
      <c r="L406" s="54"/>
      <c r="M406" s="20"/>
      <c r="T406" s="47"/>
      <c r="U406" s="47"/>
      <c r="V406" s="47"/>
      <c r="W406" s="47"/>
      <c r="X406" s="47"/>
      <c r="Y406" s="52"/>
      <c r="Z406" s="52"/>
      <c r="AA406" s="52"/>
      <c r="AB406" s="52"/>
      <c r="AC406" s="52"/>
      <c r="AD406" s="52"/>
      <c r="AE406" s="52"/>
      <c r="AF406" s="52"/>
      <c r="AG406" s="52"/>
      <c r="AH406" s="52"/>
      <c r="AJ406" s="52"/>
      <c r="AK406" s="52"/>
    </row>
    <row r="407" spans="1:37" ht="12.75" hidden="1" customHeight="1">
      <c r="A407" s="12"/>
      <c r="B407" s="12"/>
      <c r="C407" s="53"/>
      <c r="D407" s="54"/>
      <c r="E407" s="12"/>
      <c r="F407" s="12"/>
      <c r="G407" s="135"/>
      <c r="H407" s="52"/>
      <c r="I407" s="2"/>
      <c r="J407" s="2"/>
      <c r="K407" s="2"/>
      <c r="L407" s="54"/>
      <c r="M407" s="66"/>
      <c r="T407" s="47"/>
      <c r="U407" s="47"/>
      <c r="V407" s="47"/>
      <c r="W407" s="52"/>
      <c r="X407" s="47"/>
      <c r="Y407" s="52"/>
      <c r="Z407" s="52"/>
      <c r="AA407" s="52"/>
      <c r="AB407" s="52"/>
      <c r="AC407" s="52"/>
      <c r="AD407" s="52"/>
      <c r="AE407" s="52"/>
      <c r="AF407" s="52"/>
      <c r="AG407" s="52"/>
      <c r="AH407" s="52"/>
      <c r="AJ407" s="52"/>
      <c r="AK407" s="52"/>
    </row>
    <row r="408" spans="1:37" ht="12.75" hidden="1" customHeight="1">
      <c r="A408" s="12"/>
      <c r="B408" s="12"/>
      <c r="C408" s="54"/>
      <c r="D408" s="54"/>
      <c r="E408" s="12"/>
      <c r="F408" s="12"/>
      <c r="G408" s="135"/>
      <c r="H408" s="52"/>
      <c r="I408" s="2"/>
      <c r="J408" s="2"/>
      <c r="K408" s="2"/>
      <c r="L408" s="54"/>
      <c r="M408" s="66"/>
      <c r="T408" s="47"/>
      <c r="U408" s="47"/>
      <c r="V408" s="47"/>
      <c r="W408" s="47"/>
      <c r="X408" s="47"/>
      <c r="Y408" s="52"/>
      <c r="Z408" s="52"/>
      <c r="AA408" s="52"/>
      <c r="AB408" s="52"/>
      <c r="AC408" s="52"/>
      <c r="AD408" s="52"/>
      <c r="AE408" s="52"/>
      <c r="AF408" s="52"/>
      <c r="AG408" s="52"/>
      <c r="AH408" s="52"/>
      <c r="AJ408" s="52"/>
      <c r="AK408" s="52"/>
    </row>
    <row r="409" spans="1:37" ht="12.75" hidden="1" customHeight="1">
      <c r="A409" s="12"/>
      <c r="B409" s="12"/>
      <c r="C409" s="53"/>
      <c r="D409" s="54"/>
      <c r="E409" s="12"/>
      <c r="F409" s="12"/>
      <c r="G409" s="135"/>
      <c r="H409" s="52"/>
      <c r="I409" s="2"/>
      <c r="J409" s="2"/>
      <c r="K409" s="2"/>
      <c r="L409" s="54"/>
      <c r="M409" s="66"/>
      <c r="T409" s="47"/>
      <c r="U409" s="47"/>
      <c r="V409" s="47"/>
      <c r="W409" s="47"/>
      <c r="X409" s="47"/>
      <c r="Y409" s="52"/>
      <c r="Z409" s="52"/>
      <c r="AA409" s="52"/>
      <c r="AB409" s="52"/>
      <c r="AC409" s="52"/>
      <c r="AD409" s="52"/>
      <c r="AE409" s="52"/>
      <c r="AF409" s="52"/>
      <c r="AG409" s="52"/>
      <c r="AH409" s="52"/>
      <c r="AJ409" s="52"/>
      <c r="AK409" s="52"/>
    </row>
    <row r="410" spans="1:37" ht="12.75" hidden="1" customHeight="1">
      <c r="A410" s="12"/>
      <c r="B410" s="12"/>
      <c r="C410" s="53"/>
      <c r="D410" s="54"/>
      <c r="E410" s="12"/>
      <c r="F410" s="12"/>
      <c r="G410" s="135"/>
      <c r="H410" s="52"/>
      <c r="I410" s="2"/>
      <c r="J410" s="2"/>
      <c r="K410" s="2"/>
      <c r="L410" s="54"/>
      <c r="M410" s="66"/>
      <c r="T410" s="47"/>
      <c r="U410" s="47"/>
      <c r="V410" s="47"/>
      <c r="W410" s="47"/>
      <c r="X410" s="47"/>
      <c r="Y410" s="47"/>
      <c r="Z410" s="52"/>
      <c r="AA410" s="52"/>
      <c r="AB410" s="52"/>
      <c r="AC410" s="52"/>
      <c r="AD410" s="52"/>
      <c r="AE410" s="52"/>
      <c r="AF410" s="52"/>
      <c r="AG410" s="52"/>
      <c r="AH410" s="52"/>
      <c r="AJ410" s="52"/>
      <c r="AK410" s="52"/>
    </row>
    <row r="411" spans="1:37" ht="12.75" hidden="1" customHeight="1">
      <c r="A411" s="12"/>
      <c r="B411" s="12"/>
      <c r="C411" s="54"/>
      <c r="D411" s="54"/>
      <c r="E411" s="12"/>
      <c r="F411" s="12"/>
      <c r="G411" s="135"/>
      <c r="H411" s="52"/>
      <c r="I411" s="2"/>
      <c r="J411" s="2"/>
      <c r="K411" s="2"/>
      <c r="L411" s="54"/>
      <c r="M411" s="66"/>
      <c r="T411" s="47"/>
      <c r="U411" s="47"/>
      <c r="V411" s="47"/>
      <c r="W411" s="47"/>
      <c r="X411" s="52"/>
      <c r="Y411" s="47"/>
      <c r="Z411" s="52"/>
      <c r="AA411" s="52"/>
      <c r="AB411" s="52"/>
      <c r="AC411" s="52"/>
      <c r="AD411" s="52"/>
      <c r="AE411" s="52"/>
      <c r="AF411" s="52"/>
      <c r="AG411" s="52"/>
      <c r="AH411" s="52"/>
      <c r="AJ411" s="52"/>
      <c r="AK411" s="52"/>
    </row>
    <row r="412" spans="1:37" ht="12.75" hidden="1" customHeight="1">
      <c r="A412" s="12"/>
      <c r="B412" s="12"/>
      <c r="C412" s="53"/>
      <c r="D412" s="54"/>
      <c r="E412" s="12"/>
      <c r="F412" s="12"/>
      <c r="G412" s="135"/>
      <c r="H412" s="52"/>
      <c r="I412" s="2"/>
      <c r="J412" s="2"/>
      <c r="K412" s="2"/>
      <c r="L412" s="54"/>
      <c r="M412" s="66"/>
      <c r="T412" s="47"/>
      <c r="U412" s="47"/>
      <c r="V412" s="47"/>
      <c r="W412" s="47"/>
      <c r="X412" s="52"/>
      <c r="Y412" s="52"/>
      <c r="Z412" s="52"/>
      <c r="AA412" s="52"/>
      <c r="AB412" s="52"/>
      <c r="AC412" s="52"/>
      <c r="AD412" s="52"/>
      <c r="AE412" s="52"/>
      <c r="AF412" s="52"/>
      <c r="AG412" s="52"/>
      <c r="AH412" s="52"/>
      <c r="AJ412" s="52"/>
      <c r="AK412" s="52"/>
    </row>
    <row r="413" spans="1:37" ht="12.75" hidden="1" customHeight="1">
      <c r="C413" s="54"/>
      <c r="D413" s="54"/>
      <c r="E413" s="12"/>
      <c r="F413" s="12"/>
      <c r="G413" s="135"/>
      <c r="H413" s="52"/>
      <c r="I413" s="2"/>
      <c r="J413" s="2"/>
      <c r="K413" s="2"/>
      <c r="L413" s="54"/>
      <c r="M413" s="66"/>
      <c r="T413" s="47"/>
      <c r="U413" s="47"/>
      <c r="V413" s="47"/>
      <c r="W413" s="47"/>
      <c r="X413" s="52"/>
      <c r="Y413" s="52"/>
      <c r="Z413" s="52"/>
      <c r="AA413" s="52"/>
      <c r="AB413" s="52"/>
      <c r="AC413" s="52"/>
      <c r="AD413" s="52"/>
      <c r="AE413" s="52"/>
      <c r="AF413" s="52"/>
      <c r="AG413" s="52"/>
      <c r="AH413" s="52"/>
      <c r="AJ413" s="52"/>
      <c r="AK413" s="52"/>
    </row>
    <row r="414" spans="1:37" ht="12.75" hidden="1" customHeight="1">
      <c r="C414" s="54"/>
      <c r="D414" s="54"/>
      <c r="G414" s="135"/>
      <c r="H414" s="52"/>
      <c r="I414" s="2"/>
      <c r="J414" s="2"/>
      <c r="K414" s="2"/>
      <c r="L414" s="54"/>
      <c r="M414" s="66"/>
      <c r="T414" s="52"/>
      <c r="U414" s="52"/>
      <c r="V414" s="52"/>
      <c r="W414" s="52"/>
      <c r="X414" s="52"/>
      <c r="Y414" s="52"/>
      <c r="Z414" s="52"/>
      <c r="AA414" s="52"/>
      <c r="AB414" s="52"/>
      <c r="AC414" s="52"/>
      <c r="AD414" s="52"/>
      <c r="AE414" s="52"/>
      <c r="AF414" s="52"/>
      <c r="AG414" s="52"/>
      <c r="AH414" s="52"/>
      <c r="AJ414" s="52"/>
      <c r="AK414" s="52"/>
    </row>
    <row r="415" spans="1:37" ht="12.75" hidden="1" customHeight="1">
      <c r="I415" s="2"/>
      <c r="J415" s="2"/>
      <c r="K415" s="2"/>
      <c r="L415" s="54"/>
      <c r="M415" s="20"/>
      <c r="T415" s="52"/>
      <c r="U415" s="52"/>
      <c r="V415" s="52"/>
      <c r="W415" s="52"/>
      <c r="X415" s="52"/>
    </row>
    <row r="416" spans="1:37" ht="12.75" hidden="1" customHeight="1">
      <c r="I416" s="2"/>
      <c r="J416" s="2"/>
      <c r="K416" s="2"/>
      <c r="L416" s="54"/>
      <c r="M416" s="20"/>
    </row>
    <row r="417" spans="9:13" ht="12.75" hidden="1" customHeight="1">
      <c r="I417" s="2"/>
      <c r="J417" s="2"/>
      <c r="K417" s="2"/>
      <c r="L417" s="54"/>
      <c r="M417" s="20"/>
    </row>
    <row r="418" spans="9:13" ht="12.75" hidden="1" customHeight="1">
      <c r="I418" s="2"/>
      <c r="J418" s="2"/>
      <c r="K418" s="2"/>
      <c r="L418" s="54"/>
      <c r="M418" s="20"/>
    </row>
    <row r="419" spans="9:13" ht="12.75" hidden="1" customHeight="1">
      <c r="I419" s="2"/>
      <c r="J419" s="2"/>
      <c r="K419" s="2"/>
      <c r="L419" s="54"/>
      <c r="M419" s="20"/>
    </row>
    <row r="420" spans="9:13" ht="12.75" hidden="1" customHeight="1">
      <c r="I420" s="2"/>
      <c r="J420" s="2"/>
      <c r="K420" s="2"/>
      <c r="L420" s="54"/>
      <c r="M420" s="20"/>
    </row>
    <row r="421" spans="9:13" ht="12.75" hidden="1" customHeight="1">
      <c r="I421" s="2"/>
      <c r="J421" s="2"/>
      <c r="K421" s="2"/>
      <c r="L421" s="54"/>
      <c r="M421" s="20"/>
    </row>
    <row r="422" spans="9:13" ht="12.75" hidden="1" customHeight="1">
      <c r="I422" s="2"/>
      <c r="J422" s="2"/>
      <c r="K422" s="2"/>
      <c r="L422" s="54"/>
      <c r="M422" s="20"/>
    </row>
    <row r="423" spans="9:13" ht="12.75" hidden="1" customHeight="1">
      <c r="I423" s="2"/>
      <c r="J423" s="2"/>
      <c r="K423" s="2"/>
      <c r="L423" s="54"/>
      <c r="M423" s="20"/>
    </row>
    <row r="424" spans="9:13" ht="12.75" hidden="1" customHeight="1">
      <c r="I424" s="2"/>
      <c r="J424" s="2"/>
      <c r="K424" s="2"/>
      <c r="L424" s="54"/>
      <c r="M424" s="20"/>
    </row>
    <row r="425" spans="9:13" ht="12.75" hidden="1" customHeight="1">
      <c r="I425" s="2"/>
      <c r="J425" s="2"/>
      <c r="K425" s="2"/>
      <c r="L425" s="54"/>
      <c r="M425" s="20"/>
    </row>
    <row r="426" spans="9:13" ht="12.75" hidden="1" customHeight="1">
      <c r="I426" s="2"/>
      <c r="J426" s="2"/>
      <c r="K426" s="2"/>
      <c r="L426" s="54"/>
      <c r="M426" s="20"/>
    </row>
    <row r="427" spans="9:13" ht="12.75" hidden="1" customHeight="1">
      <c r="I427" s="2"/>
      <c r="J427" s="2"/>
      <c r="K427" s="2"/>
      <c r="L427" s="54"/>
      <c r="M427" s="20"/>
    </row>
    <row r="428" spans="9:13" ht="12.75" hidden="1" customHeight="1">
      <c r="I428" s="2"/>
      <c r="J428" s="2"/>
      <c r="K428" s="2"/>
      <c r="L428" s="54"/>
      <c r="M428" s="20"/>
    </row>
    <row r="429" spans="9:13" ht="12.75" hidden="1" customHeight="1">
      <c r="I429" s="2"/>
      <c r="J429" s="2"/>
      <c r="K429" s="2"/>
      <c r="L429" s="54"/>
      <c r="M429" s="20"/>
    </row>
    <row r="430" spans="9:13" ht="12.75" hidden="1" customHeight="1">
      <c r="I430" s="2"/>
      <c r="J430" s="2"/>
      <c r="K430" s="2"/>
      <c r="L430" s="54"/>
      <c r="M430" s="20"/>
    </row>
    <row r="431" spans="9:13" ht="12.75" hidden="1" customHeight="1">
      <c r="I431" s="2"/>
      <c r="J431" s="2"/>
      <c r="K431" s="2"/>
      <c r="L431" s="54"/>
      <c r="M431" s="20"/>
    </row>
    <row r="432" spans="9:13" ht="12.75" hidden="1" customHeight="1">
      <c r="I432" s="2"/>
      <c r="J432" s="2"/>
      <c r="K432" s="2"/>
      <c r="L432" s="54"/>
      <c r="M432" s="20"/>
    </row>
    <row r="433" spans="9:13" ht="12.75" hidden="1" customHeight="1">
      <c r="I433" s="2"/>
      <c r="J433" s="2"/>
      <c r="K433" s="2"/>
      <c r="L433" s="54"/>
      <c r="M433" s="20"/>
    </row>
    <row r="434" spans="9:13" ht="12.75" hidden="1" customHeight="1">
      <c r="I434" s="2"/>
      <c r="J434" s="2"/>
      <c r="K434" s="2"/>
      <c r="L434" s="54"/>
      <c r="M434" s="20"/>
    </row>
    <row r="435" spans="9:13" ht="12.75" hidden="1" customHeight="1">
      <c r="I435" s="2"/>
      <c r="J435" s="2"/>
      <c r="K435" s="2"/>
      <c r="L435" s="54"/>
      <c r="M435" s="20"/>
    </row>
    <row r="436" spans="9:13" ht="12.75" hidden="1" customHeight="1">
      <c r="I436" s="2"/>
      <c r="J436" s="2"/>
      <c r="K436" s="2"/>
      <c r="L436" s="54"/>
      <c r="M436" s="20"/>
    </row>
    <row r="437" spans="9:13" ht="12.75" hidden="1" customHeight="1">
      <c r="I437" s="2"/>
      <c r="J437" s="2"/>
      <c r="K437" s="2"/>
      <c r="L437" s="54"/>
      <c r="M437" s="20"/>
    </row>
    <row r="438" spans="9:13" ht="12.75" hidden="1" customHeight="1">
      <c r="I438" s="2"/>
      <c r="J438" s="2"/>
      <c r="K438" s="2"/>
      <c r="L438" s="54"/>
      <c r="M438" s="20"/>
    </row>
    <row r="439" spans="9:13" ht="12.75" hidden="1" customHeight="1">
      <c r="I439" s="2"/>
      <c r="J439" s="2"/>
      <c r="K439" s="2"/>
      <c r="L439" s="54"/>
      <c r="M439" s="20"/>
    </row>
    <row r="440" spans="9:13" ht="12.75" hidden="1" customHeight="1">
      <c r="I440" s="2"/>
      <c r="J440" s="2"/>
      <c r="K440" s="2"/>
      <c r="L440" s="54"/>
      <c r="M440" s="20"/>
    </row>
    <row r="441" spans="9:13" ht="12.75" hidden="1" customHeight="1">
      <c r="I441" s="2"/>
      <c r="J441" s="2"/>
      <c r="K441" s="2"/>
      <c r="L441" s="54"/>
      <c r="M441" s="20"/>
    </row>
    <row r="442" spans="9:13" ht="12.75" hidden="1" customHeight="1">
      <c r="I442" s="2"/>
      <c r="J442" s="2"/>
      <c r="K442" s="2"/>
      <c r="L442" s="54"/>
      <c r="M442" s="20"/>
    </row>
    <row r="443" spans="9:13" ht="12.75" hidden="1" customHeight="1">
      <c r="I443" s="2"/>
      <c r="J443" s="2"/>
      <c r="K443" s="2"/>
      <c r="L443" s="54"/>
      <c r="M443" s="20"/>
    </row>
    <row r="444" spans="9:13" ht="12.75" hidden="1" customHeight="1">
      <c r="I444" s="2"/>
      <c r="J444" s="2"/>
      <c r="K444" s="2"/>
      <c r="L444" s="54"/>
      <c r="M444" s="20"/>
    </row>
    <row r="445" spans="9:13" ht="12.75" hidden="1" customHeight="1">
      <c r="I445" s="2"/>
      <c r="J445" s="2"/>
      <c r="K445" s="2"/>
      <c r="L445" s="54"/>
      <c r="M445" s="20"/>
    </row>
    <row r="446" spans="9:13" ht="12.75" hidden="1" customHeight="1">
      <c r="I446" s="2"/>
      <c r="J446" s="2"/>
      <c r="K446" s="2"/>
      <c r="L446" s="54"/>
      <c r="M446" s="20"/>
    </row>
    <row r="447" spans="9:13" ht="12.75" hidden="1" customHeight="1">
      <c r="M447" s="20"/>
    </row>
    <row r="448" spans="9:13">
      <c r="M448" s="20"/>
    </row>
    <row r="449" spans="13:13">
      <c r="M449" s="20"/>
    </row>
    <row r="450" spans="13:13">
      <c r="M450" s="20"/>
    </row>
    <row r="451" spans="13:13">
      <c r="M451" s="20"/>
    </row>
    <row r="452" spans="13:13">
      <c r="M452" s="20"/>
    </row>
    <row r="453" spans="13:13">
      <c r="M453" s="20"/>
    </row>
    <row r="454" spans="13:13">
      <c r="M454" s="20"/>
    </row>
    <row r="455" spans="13:13">
      <c r="M455" s="20"/>
    </row>
    <row r="456" spans="13:13">
      <c r="M456" s="20"/>
    </row>
    <row r="457" spans="13:13">
      <c r="M457" s="20"/>
    </row>
    <row r="458" spans="13:13">
      <c r="M458" s="20"/>
    </row>
    <row r="459" spans="13:13">
      <c r="M459" s="20"/>
    </row>
    <row r="460" spans="13:13">
      <c r="M460" s="20"/>
    </row>
    <row r="461" spans="13:13">
      <c r="M461" s="20"/>
    </row>
    <row r="462" spans="13:13">
      <c r="M462" s="20"/>
    </row>
    <row r="463" spans="13:13">
      <c r="M463" s="20"/>
    </row>
    <row r="464" spans="13:13">
      <c r="M464" s="20"/>
    </row>
    <row r="465" spans="13:13">
      <c r="M465" s="20"/>
    </row>
    <row r="466" spans="13:13">
      <c r="M466" s="20"/>
    </row>
    <row r="467" spans="13:13">
      <c r="M467" s="20"/>
    </row>
    <row r="468" spans="13:13">
      <c r="M468" s="20"/>
    </row>
    <row r="469" spans="13:13">
      <c r="M469" s="20"/>
    </row>
    <row r="470" spans="13:13">
      <c r="M470" s="20"/>
    </row>
    <row r="471" spans="13:13">
      <c r="M471" s="20"/>
    </row>
    <row r="472" spans="13:13">
      <c r="M472" s="20"/>
    </row>
    <row r="473" spans="13:13">
      <c r="M473" s="20"/>
    </row>
    <row r="474" spans="13:13">
      <c r="M474" s="20"/>
    </row>
    <row r="475" spans="13:13">
      <c r="M475" s="20"/>
    </row>
    <row r="476" spans="13:13">
      <c r="M476" s="20"/>
    </row>
    <row r="477" spans="13:13">
      <c r="M477" s="20"/>
    </row>
    <row r="478" spans="13:13">
      <c r="M478" s="20"/>
    </row>
    <row r="479" spans="13:13">
      <c r="M479" s="20"/>
    </row>
    <row r="480" spans="13:13">
      <c r="M480" s="20"/>
    </row>
    <row r="481" spans="13:13">
      <c r="M481" s="20"/>
    </row>
    <row r="482" spans="13:13">
      <c r="M482" s="20"/>
    </row>
    <row r="483" spans="13:13">
      <c r="M483" s="20"/>
    </row>
    <row r="484" spans="13:13">
      <c r="M484" s="20"/>
    </row>
    <row r="485" spans="13:13">
      <c r="M485" s="20"/>
    </row>
    <row r="486" spans="13:13">
      <c r="M486" s="20"/>
    </row>
    <row r="487" spans="13:13">
      <c r="M487" s="20"/>
    </row>
    <row r="488" spans="13:13">
      <c r="M488" s="20"/>
    </row>
    <row r="489" spans="13:13">
      <c r="M489" s="20"/>
    </row>
    <row r="490" spans="13:13">
      <c r="M490" s="20"/>
    </row>
    <row r="491" spans="13:13">
      <c r="M491" s="20"/>
    </row>
    <row r="492" spans="13:13">
      <c r="M492" s="20"/>
    </row>
    <row r="493" spans="13:13">
      <c r="M493" s="20"/>
    </row>
    <row r="494" spans="13:13">
      <c r="M494" s="20"/>
    </row>
    <row r="495" spans="13:13">
      <c r="M495" s="20"/>
    </row>
    <row r="496" spans="13:13">
      <c r="M496" s="20"/>
    </row>
    <row r="497" spans="13:13">
      <c r="M497" s="20"/>
    </row>
    <row r="498" spans="13:13">
      <c r="M498" s="20"/>
    </row>
    <row r="499" spans="13:13">
      <c r="M499" s="20"/>
    </row>
    <row r="500" spans="13:13">
      <c r="M500" s="20"/>
    </row>
    <row r="501" spans="13:13">
      <c r="M501" s="20"/>
    </row>
    <row r="502" spans="13:13">
      <c r="M502" s="20"/>
    </row>
    <row r="503" spans="13:13">
      <c r="M503" s="20"/>
    </row>
    <row r="504" spans="13:13">
      <c r="M504" s="20"/>
    </row>
    <row r="505" spans="13:13">
      <c r="M505" s="20"/>
    </row>
    <row r="506" spans="13:13">
      <c r="M506" s="20"/>
    </row>
    <row r="507" spans="13:13">
      <c r="M507" s="20"/>
    </row>
    <row r="508" spans="13:13">
      <c r="M508" s="20"/>
    </row>
    <row r="509" spans="13:13">
      <c r="M509" s="20"/>
    </row>
    <row r="510" spans="13:13">
      <c r="M510" s="20"/>
    </row>
    <row r="511" spans="13:13">
      <c r="M511" s="20"/>
    </row>
    <row r="512" spans="13:13">
      <c r="M512" s="20"/>
    </row>
    <row r="513" spans="13:13">
      <c r="M513" s="20"/>
    </row>
    <row r="514" spans="13:13">
      <c r="M514" s="20"/>
    </row>
    <row r="515" spans="13:13">
      <c r="M515" s="20"/>
    </row>
    <row r="516" spans="13:13">
      <c r="M516" s="20"/>
    </row>
    <row r="517" spans="13:13">
      <c r="M517" s="20"/>
    </row>
    <row r="518" spans="13:13">
      <c r="M518" s="20"/>
    </row>
    <row r="519" spans="13:13">
      <c r="M519" s="20"/>
    </row>
    <row r="520" spans="13:13">
      <c r="M520" s="20"/>
    </row>
    <row r="521" spans="13:13">
      <c r="M521" s="20"/>
    </row>
    <row r="522" spans="13:13">
      <c r="M522" s="20"/>
    </row>
    <row r="523" spans="13:13">
      <c r="M523" s="20"/>
    </row>
    <row r="524" spans="13:13">
      <c r="M524" s="20"/>
    </row>
    <row r="525" spans="13:13">
      <c r="M525" s="20"/>
    </row>
    <row r="526" spans="13:13">
      <c r="M526" s="20"/>
    </row>
    <row r="527" spans="13:13">
      <c r="M527" s="20"/>
    </row>
    <row r="528" spans="13:13">
      <c r="M528" s="20"/>
    </row>
    <row r="529" spans="13:13">
      <c r="M529" s="20"/>
    </row>
    <row r="530" spans="13:13">
      <c r="M530" s="20"/>
    </row>
    <row r="531" spans="13:13">
      <c r="M531" s="20"/>
    </row>
    <row r="532" spans="13:13">
      <c r="M532" s="20"/>
    </row>
    <row r="533" spans="13:13">
      <c r="M533" s="20"/>
    </row>
    <row r="534" spans="13:13">
      <c r="M534" s="20"/>
    </row>
    <row r="535" spans="13:13">
      <c r="M535" s="20"/>
    </row>
    <row r="536" spans="13:13">
      <c r="M536" s="20"/>
    </row>
    <row r="537" spans="13:13">
      <c r="M537" s="20"/>
    </row>
    <row r="538" spans="13:13">
      <c r="M538" s="20"/>
    </row>
    <row r="539" spans="13:13">
      <c r="M539" s="20"/>
    </row>
    <row r="540" spans="13:13">
      <c r="M540" s="20"/>
    </row>
    <row r="541" spans="13:13">
      <c r="M541" s="20"/>
    </row>
    <row r="542" spans="13:13">
      <c r="M542" s="20"/>
    </row>
    <row r="543" spans="13:13">
      <c r="M543" s="20"/>
    </row>
    <row r="544" spans="13:13">
      <c r="M544" s="20"/>
    </row>
    <row r="545" spans="13:13">
      <c r="M545" s="20"/>
    </row>
    <row r="546" spans="13:13">
      <c r="M546" s="20"/>
    </row>
    <row r="547" spans="13:13">
      <c r="M547" s="20"/>
    </row>
    <row r="548" spans="13:13">
      <c r="M548" s="20"/>
    </row>
    <row r="549" spans="13:13">
      <c r="M549" s="20"/>
    </row>
    <row r="550" spans="13:13">
      <c r="M550" s="20"/>
    </row>
    <row r="551" spans="13:13">
      <c r="M551" s="20"/>
    </row>
    <row r="552" spans="13:13">
      <c r="M552" s="20"/>
    </row>
    <row r="553" spans="13:13">
      <c r="M553" s="20"/>
    </row>
    <row r="554" spans="13:13">
      <c r="M554" s="20"/>
    </row>
    <row r="555" spans="13:13">
      <c r="M555" s="20"/>
    </row>
    <row r="556" spans="13:13">
      <c r="M556" s="20"/>
    </row>
    <row r="557" spans="13:13">
      <c r="M557" s="20"/>
    </row>
    <row r="558" spans="13:13">
      <c r="M558" s="20"/>
    </row>
    <row r="559" spans="13:13">
      <c r="M559" s="20"/>
    </row>
    <row r="560" spans="13:13">
      <c r="M560" s="20"/>
    </row>
    <row r="561" spans="13:13">
      <c r="M561" s="20"/>
    </row>
    <row r="562" spans="13:13">
      <c r="M562" s="20"/>
    </row>
    <row r="563" spans="13:13">
      <c r="M563" s="20"/>
    </row>
    <row r="564" spans="13:13">
      <c r="M564" s="20"/>
    </row>
    <row r="565" spans="13:13">
      <c r="M565" s="20"/>
    </row>
    <row r="566" spans="13:13">
      <c r="M566" s="20"/>
    </row>
    <row r="567" spans="13:13">
      <c r="M567" s="20"/>
    </row>
    <row r="568" spans="13:13">
      <c r="M568" s="20"/>
    </row>
    <row r="569" spans="13:13">
      <c r="M569" s="20"/>
    </row>
    <row r="570" spans="13:13">
      <c r="M570" s="20"/>
    </row>
    <row r="571" spans="13:13">
      <c r="M571" s="20"/>
    </row>
    <row r="572" spans="13:13">
      <c r="M572" s="20"/>
    </row>
    <row r="573" spans="13:13">
      <c r="M573" s="20"/>
    </row>
    <row r="574" spans="13:13">
      <c r="M574" s="20"/>
    </row>
    <row r="575" spans="13:13">
      <c r="M575" s="20"/>
    </row>
    <row r="576" spans="13:13">
      <c r="M576" s="20"/>
    </row>
    <row r="577" spans="13:13">
      <c r="M577" s="20"/>
    </row>
    <row r="578" spans="13:13">
      <c r="M578" s="20"/>
    </row>
    <row r="579" spans="13:13">
      <c r="M579" s="20"/>
    </row>
    <row r="580" spans="13:13">
      <c r="M580" s="20"/>
    </row>
    <row r="581" spans="13:13">
      <c r="M581" s="20"/>
    </row>
    <row r="582" spans="13:13">
      <c r="M582" s="20"/>
    </row>
    <row r="583" spans="13:13">
      <c r="M583" s="20"/>
    </row>
    <row r="584" spans="13:13">
      <c r="M584" s="20"/>
    </row>
    <row r="585" spans="13:13">
      <c r="M585" s="20"/>
    </row>
    <row r="586" spans="13:13">
      <c r="M586" s="20"/>
    </row>
    <row r="587" spans="13:13">
      <c r="M587" s="20"/>
    </row>
    <row r="588" spans="13:13">
      <c r="M588" s="20"/>
    </row>
    <row r="589" spans="13:13">
      <c r="M589" s="20"/>
    </row>
    <row r="590" spans="13:13">
      <c r="M590" s="20"/>
    </row>
    <row r="591" spans="13:13">
      <c r="M591" s="20"/>
    </row>
    <row r="592" spans="13:13">
      <c r="M592" s="20"/>
    </row>
    <row r="593" spans="13:13">
      <c r="M593" s="20"/>
    </row>
    <row r="594" spans="13:13">
      <c r="M594" s="20"/>
    </row>
    <row r="595" spans="13:13">
      <c r="M595" s="20"/>
    </row>
    <row r="596" spans="13:13">
      <c r="M596" s="20"/>
    </row>
    <row r="597" spans="13:13">
      <c r="M597" s="20"/>
    </row>
    <row r="598" spans="13:13">
      <c r="M598" s="20"/>
    </row>
    <row r="599" spans="13:13">
      <c r="M599" s="20"/>
    </row>
    <row r="600" spans="13:13">
      <c r="M600" s="20"/>
    </row>
    <row r="601" spans="13:13">
      <c r="M601" s="20"/>
    </row>
    <row r="602" spans="13:13">
      <c r="M602" s="20"/>
    </row>
    <row r="603" spans="13:13">
      <c r="M603" s="20"/>
    </row>
    <row r="604" spans="13:13">
      <c r="M604" s="20"/>
    </row>
    <row r="605" spans="13:13">
      <c r="M605" s="20"/>
    </row>
    <row r="606" spans="13:13">
      <c r="M606" s="20"/>
    </row>
    <row r="607" spans="13:13">
      <c r="M607" s="20"/>
    </row>
    <row r="608" spans="13:13">
      <c r="M608" s="20"/>
    </row>
    <row r="609" spans="13:13">
      <c r="M609" s="20"/>
    </row>
    <row r="610" spans="13:13">
      <c r="M610" s="20"/>
    </row>
    <row r="611" spans="13:13">
      <c r="M611" s="20"/>
    </row>
    <row r="612" spans="13:13">
      <c r="M612" s="20"/>
    </row>
    <row r="613" spans="13:13">
      <c r="M613" s="20"/>
    </row>
    <row r="614" spans="13:13">
      <c r="M614" s="20"/>
    </row>
    <row r="615" spans="13:13">
      <c r="M615" s="20"/>
    </row>
    <row r="616" spans="13:13">
      <c r="M616" s="20"/>
    </row>
    <row r="617" spans="13:13">
      <c r="M617" s="20"/>
    </row>
    <row r="618" spans="13:13">
      <c r="M618" s="20"/>
    </row>
    <row r="619" spans="13:13">
      <c r="M619" s="20"/>
    </row>
    <row r="620" spans="13:13">
      <c r="M620" s="20"/>
    </row>
    <row r="621" spans="13:13">
      <c r="M621" s="20"/>
    </row>
    <row r="622" spans="13:13">
      <c r="M622" s="20"/>
    </row>
    <row r="623" spans="13:13">
      <c r="M623" s="20"/>
    </row>
    <row r="624" spans="13:13">
      <c r="M624" s="20"/>
    </row>
    <row r="625" spans="13:13">
      <c r="M625" s="20"/>
    </row>
    <row r="626" spans="13:13">
      <c r="M626" s="20"/>
    </row>
    <row r="627" spans="13:13">
      <c r="M627" s="20"/>
    </row>
    <row r="628" spans="13:13">
      <c r="M628" s="20"/>
    </row>
    <row r="629" spans="13:13">
      <c r="M629" s="20"/>
    </row>
    <row r="630" spans="13:13">
      <c r="M630" s="20"/>
    </row>
    <row r="631" spans="13:13">
      <c r="M631" s="20"/>
    </row>
    <row r="632" spans="13:13">
      <c r="M632" s="20"/>
    </row>
    <row r="633" spans="13:13">
      <c r="M633" s="20"/>
    </row>
    <row r="634" spans="13:13">
      <c r="M634" s="20"/>
    </row>
    <row r="635" spans="13:13">
      <c r="M635" s="20"/>
    </row>
    <row r="636" spans="13:13">
      <c r="M636" s="20"/>
    </row>
    <row r="637" spans="13:13">
      <c r="M637" s="20"/>
    </row>
    <row r="638" spans="13:13">
      <c r="M638" s="20"/>
    </row>
    <row r="639" spans="13:13">
      <c r="M639" s="20"/>
    </row>
    <row r="640" spans="13:13">
      <c r="M640" s="20"/>
    </row>
    <row r="641" spans="13:13">
      <c r="M641" s="20"/>
    </row>
    <row r="642" spans="13:13">
      <c r="M642" s="20"/>
    </row>
    <row r="643" spans="13:13">
      <c r="M643" s="20"/>
    </row>
    <row r="644" spans="13:13">
      <c r="M644" s="20"/>
    </row>
    <row r="645" spans="13:13">
      <c r="M645" s="20"/>
    </row>
    <row r="646" spans="13:13">
      <c r="M646" s="20"/>
    </row>
    <row r="647" spans="13:13">
      <c r="M647" s="20"/>
    </row>
    <row r="648" spans="13:13">
      <c r="M648" s="20"/>
    </row>
    <row r="649" spans="13:13">
      <c r="M649" s="20"/>
    </row>
    <row r="650" spans="13:13">
      <c r="M650" s="20"/>
    </row>
    <row r="651" spans="13:13">
      <c r="M651" s="20"/>
    </row>
    <row r="652" spans="13:13">
      <c r="M652" s="20"/>
    </row>
    <row r="653" spans="13:13">
      <c r="M653" s="20"/>
    </row>
    <row r="654" spans="13:13">
      <c r="M654" s="20"/>
    </row>
    <row r="655" spans="13:13">
      <c r="M655" s="20"/>
    </row>
    <row r="656" spans="13:13">
      <c r="M656" s="20"/>
    </row>
    <row r="657" spans="13:13">
      <c r="M657" s="20"/>
    </row>
    <row r="658" spans="13:13">
      <c r="M658" s="20"/>
    </row>
    <row r="659" spans="13:13">
      <c r="M659" s="20"/>
    </row>
    <row r="660" spans="13:13">
      <c r="M660" s="20"/>
    </row>
    <row r="661" spans="13:13">
      <c r="M661" s="20"/>
    </row>
    <row r="662" spans="13:13">
      <c r="M662" s="20"/>
    </row>
    <row r="663" spans="13:13">
      <c r="M663" s="20"/>
    </row>
    <row r="664" spans="13:13">
      <c r="M664" s="20"/>
    </row>
    <row r="665" spans="13:13">
      <c r="M665" s="20"/>
    </row>
    <row r="666" spans="13:13">
      <c r="M666" s="20"/>
    </row>
    <row r="667" spans="13:13">
      <c r="M667" s="20"/>
    </row>
    <row r="668" spans="13:13">
      <c r="M668" s="20"/>
    </row>
    <row r="669" spans="13:13">
      <c r="M669" s="20"/>
    </row>
    <row r="670" spans="13:13">
      <c r="M670" s="20"/>
    </row>
    <row r="671" spans="13:13">
      <c r="M671" s="20"/>
    </row>
    <row r="672" spans="13:13">
      <c r="M672" s="20"/>
    </row>
    <row r="673" spans="13:13">
      <c r="M673" s="20"/>
    </row>
    <row r="674" spans="13:13">
      <c r="M674" s="20"/>
    </row>
    <row r="675" spans="13:13">
      <c r="M675" s="20"/>
    </row>
    <row r="676" spans="13:13">
      <c r="M676" s="20"/>
    </row>
    <row r="677" spans="13:13">
      <c r="M677" s="20"/>
    </row>
    <row r="678" spans="13:13">
      <c r="M678" s="20"/>
    </row>
    <row r="679" spans="13:13">
      <c r="M679" s="20"/>
    </row>
    <row r="680" spans="13:13">
      <c r="M680" s="20"/>
    </row>
    <row r="681" spans="13:13">
      <c r="M681" s="20"/>
    </row>
    <row r="682" spans="13:13">
      <c r="M682" s="20"/>
    </row>
    <row r="683" spans="13:13">
      <c r="M683" s="20"/>
    </row>
    <row r="684" spans="13:13">
      <c r="M684" s="20"/>
    </row>
    <row r="685" spans="13:13">
      <c r="M685" s="20"/>
    </row>
    <row r="686" spans="13:13">
      <c r="M686" s="20"/>
    </row>
    <row r="687" spans="13:13">
      <c r="M687" s="20"/>
    </row>
    <row r="688" spans="13:13">
      <c r="M688" s="20"/>
    </row>
    <row r="689" spans="13:13">
      <c r="M689" s="20"/>
    </row>
    <row r="690" spans="13:13">
      <c r="M690" s="20"/>
    </row>
    <row r="691" spans="13:13">
      <c r="M691" s="20"/>
    </row>
    <row r="692" spans="13:13">
      <c r="M692" s="20"/>
    </row>
    <row r="693" spans="13:13">
      <c r="M693" s="20"/>
    </row>
    <row r="694" spans="13:13">
      <c r="M694" s="20"/>
    </row>
    <row r="695" spans="13:13">
      <c r="M695" s="20"/>
    </row>
    <row r="696" spans="13:13">
      <c r="M696" s="20"/>
    </row>
    <row r="697" spans="13:13">
      <c r="M697" s="20"/>
    </row>
    <row r="698" spans="13:13">
      <c r="M698" s="20"/>
    </row>
    <row r="699" spans="13:13">
      <c r="M699" s="20"/>
    </row>
    <row r="700" spans="13:13">
      <c r="M700" s="20"/>
    </row>
    <row r="701" spans="13:13">
      <c r="M701" s="20"/>
    </row>
    <row r="702" spans="13:13">
      <c r="M702" s="20"/>
    </row>
    <row r="703" spans="13:13">
      <c r="M703" s="20"/>
    </row>
    <row r="704" spans="13:13">
      <c r="M704" s="20"/>
    </row>
    <row r="705" spans="13:13">
      <c r="M705" s="20"/>
    </row>
    <row r="706" spans="13:13">
      <c r="M706" s="20"/>
    </row>
    <row r="707" spans="13:13">
      <c r="M707" s="20"/>
    </row>
    <row r="708" spans="13:13">
      <c r="M708" s="20"/>
    </row>
    <row r="709" spans="13:13">
      <c r="M709" s="20"/>
    </row>
    <row r="710" spans="13:13">
      <c r="M710" s="20"/>
    </row>
    <row r="711" spans="13:13">
      <c r="M711" s="20"/>
    </row>
    <row r="712" spans="13:13">
      <c r="M712" s="20"/>
    </row>
    <row r="713" spans="13:13">
      <c r="M713" s="20"/>
    </row>
    <row r="714" spans="13:13">
      <c r="M714" s="20"/>
    </row>
    <row r="715" spans="13:13">
      <c r="M715" s="20"/>
    </row>
    <row r="716" spans="13:13">
      <c r="M716" s="20"/>
    </row>
    <row r="717" spans="13:13">
      <c r="M717" s="20"/>
    </row>
    <row r="718" spans="13:13">
      <c r="M718" s="20"/>
    </row>
    <row r="719" spans="13:13">
      <c r="M719" s="20"/>
    </row>
    <row r="720" spans="13:13">
      <c r="M720" s="20"/>
    </row>
    <row r="721" spans="13:13">
      <c r="M721" s="20"/>
    </row>
    <row r="722" spans="13:13">
      <c r="M722" s="20"/>
    </row>
    <row r="723" spans="13:13">
      <c r="M723" s="20"/>
    </row>
    <row r="724" spans="13:13">
      <c r="M724" s="20"/>
    </row>
    <row r="725" spans="13:13">
      <c r="M725" s="20"/>
    </row>
    <row r="726" spans="13:13">
      <c r="M726" s="20"/>
    </row>
    <row r="727" spans="13:13">
      <c r="M727" s="20"/>
    </row>
    <row r="728" spans="13:13">
      <c r="M728" s="20"/>
    </row>
    <row r="729" spans="13:13">
      <c r="M729" s="20"/>
    </row>
    <row r="730" spans="13:13">
      <c r="M730" s="20"/>
    </row>
    <row r="731" spans="13:13">
      <c r="M731" s="20"/>
    </row>
    <row r="732" spans="13:13">
      <c r="M732" s="20"/>
    </row>
    <row r="733" spans="13:13">
      <c r="M733" s="20"/>
    </row>
    <row r="734" spans="13:13">
      <c r="M734" s="20"/>
    </row>
    <row r="735" spans="13:13">
      <c r="M735" s="20"/>
    </row>
    <row r="736" spans="13:13">
      <c r="M736" s="20"/>
    </row>
    <row r="737" spans="13:13">
      <c r="M737" s="20"/>
    </row>
    <row r="738" spans="13:13">
      <c r="M738" s="20"/>
    </row>
    <row r="739" spans="13:13">
      <c r="M739" s="20"/>
    </row>
    <row r="740" spans="13:13">
      <c r="M740" s="20"/>
    </row>
    <row r="741" spans="13:13">
      <c r="M741" s="20"/>
    </row>
    <row r="742" spans="13:13">
      <c r="M742" s="20"/>
    </row>
    <row r="743" spans="13:13">
      <c r="M743" s="20"/>
    </row>
    <row r="744" spans="13:13">
      <c r="M744" s="20"/>
    </row>
    <row r="745" spans="13:13">
      <c r="M745" s="20"/>
    </row>
    <row r="746" spans="13:13">
      <c r="M746" s="20"/>
    </row>
    <row r="747" spans="13:13">
      <c r="M747" s="20"/>
    </row>
    <row r="748" spans="13:13">
      <c r="M748" s="20"/>
    </row>
    <row r="749" spans="13:13">
      <c r="M749" s="20"/>
    </row>
    <row r="750" spans="13:13">
      <c r="M750" s="20"/>
    </row>
    <row r="751" spans="13:13">
      <c r="M751" s="20"/>
    </row>
    <row r="752" spans="13:13">
      <c r="M752" s="20"/>
    </row>
    <row r="753" spans="13:13">
      <c r="M753" s="20"/>
    </row>
    <row r="754" spans="13:13">
      <c r="M754" s="20"/>
    </row>
    <row r="755" spans="13:13">
      <c r="M755" s="20"/>
    </row>
    <row r="756" spans="13:13">
      <c r="M756" s="20"/>
    </row>
    <row r="757" spans="13:13">
      <c r="M757" s="20"/>
    </row>
    <row r="758" spans="13:13">
      <c r="M758" s="20"/>
    </row>
    <row r="759" spans="13:13">
      <c r="M759" s="20"/>
    </row>
    <row r="760" spans="13:13">
      <c r="M760" s="20"/>
    </row>
    <row r="761" spans="13:13">
      <c r="M761" s="20"/>
    </row>
    <row r="762" spans="13:13">
      <c r="M762" s="20"/>
    </row>
    <row r="763" spans="13:13">
      <c r="M763" s="20"/>
    </row>
    <row r="764" spans="13:13">
      <c r="M764" s="20"/>
    </row>
    <row r="765" spans="13:13">
      <c r="M765" s="20"/>
    </row>
    <row r="766" spans="13:13">
      <c r="M766" s="20"/>
    </row>
    <row r="767" spans="13:13">
      <c r="M767" s="20"/>
    </row>
    <row r="768" spans="13:13">
      <c r="M768" s="20"/>
    </row>
    <row r="769" spans="13:13">
      <c r="M769" s="20"/>
    </row>
    <row r="770" spans="13:13">
      <c r="M770" s="20"/>
    </row>
    <row r="771" spans="13:13">
      <c r="M771" s="20"/>
    </row>
    <row r="772" spans="13:13">
      <c r="M772" s="20"/>
    </row>
    <row r="773" spans="13:13">
      <c r="M773" s="20"/>
    </row>
    <row r="774" spans="13:13">
      <c r="M774" s="20"/>
    </row>
    <row r="775" spans="13:13">
      <c r="M775" s="20"/>
    </row>
    <row r="776" spans="13:13">
      <c r="M776" s="20"/>
    </row>
    <row r="777" spans="13:13">
      <c r="M777" s="20"/>
    </row>
    <row r="778" spans="13:13">
      <c r="M778" s="20"/>
    </row>
    <row r="779" spans="13:13">
      <c r="M779" s="20"/>
    </row>
    <row r="780" spans="13:13">
      <c r="M780" s="20"/>
    </row>
    <row r="781" spans="13:13">
      <c r="M781" s="20"/>
    </row>
    <row r="782" spans="13:13">
      <c r="M782" s="20"/>
    </row>
    <row r="783" spans="13:13">
      <c r="M783" s="20"/>
    </row>
    <row r="784" spans="13:13">
      <c r="M784" s="20"/>
    </row>
    <row r="785" spans="13:13">
      <c r="M785" s="20"/>
    </row>
    <row r="786" spans="13:13">
      <c r="M786" s="20"/>
    </row>
    <row r="787" spans="13:13">
      <c r="M787" s="20"/>
    </row>
    <row r="788" spans="13:13">
      <c r="M788" s="20"/>
    </row>
    <row r="789" spans="13:13">
      <c r="M789" s="20"/>
    </row>
    <row r="790" spans="13:13">
      <c r="M790" s="20"/>
    </row>
    <row r="791" spans="13:13">
      <c r="M791" s="20"/>
    </row>
    <row r="792" spans="13:13">
      <c r="M792" s="20"/>
    </row>
    <row r="793" spans="13:13">
      <c r="M793" s="20"/>
    </row>
    <row r="794" spans="13:13">
      <c r="M794" s="20"/>
    </row>
    <row r="795" spans="13:13">
      <c r="M795" s="20"/>
    </row>
    <row r="796" spans="13:13">
      <c r="M796" s="20"/>
    </row>
    <row r="797" spans="13:13">
      <c r="M797" s="20"/>
    </row>
    <row r="798" spans="13:13">
      <c r="M798" s="20"/>
    </row>
    <row r="799" spans="13:13">
      <c r="M799" s="20"/>
    </row>
    <row r="800" spans="13:13">
      <c r="M800" s="20"/>
    </row>
    <row r="801" spans="13:13">
      <c r="M801" s="20"/>
    </row>
    <row r="802" spans="13:13">
      <c r="M802" s="20"/>
    </row>
    <row r="803" spans="13:13">
      <c r="M803" s="20"/>
    </row>
    <row r="804" spans="13:13">
      <c r="M804" s="20"/>
    </row>
    <row r="805" spans="13:13">
      <c r="M805" s="20"/>
    </row>
    <row r="806" spans="13:13">
      <c r="M806" s="20"/>
    </row>
    <row r="807" spans="13:13">
      <c r="M807" s="20"/>
    </row>
    <row r="808" spans="13:13">
      <c r="M808" s="20"/>
    </row>
    <row r="809" spans="13:13">
      <c r="M809" s="20"/>
    </row>
    <row r="810" spans="13:13">
      <c r="M810" s="20"/>
    </row>
    <row r="811" spans="13:13">
      <c r="M811" s="20"/>
    </row>
    <row r="812" spans="13:13">
      <c r="M812" s="20"/>
    </row>
    <row r="813" spans="13:13">
      <c r="M813" s="20"/>
    </row>
    <row r="814" spans="13:13">
      <c r="M814" s="20"/>
    </row>
    <row r="815" spans="13:13">
      <c r="M815" s="20"/>
    </row>
    <row r="816" spans="13:13">
      <c r="M816" s="20"/>
    </row>
    <row r="817" spans="13:13">
      <c r="M817" s="20"/>
    </row>
    <row r="818" spans="13:13">
      <c r="M818" s="20"/>
    </row>
    <row r="819" spans="13:13">
      <c r="M819" s="20"/>
    </row>
    <row r="820" spans="13:13">
      <c r="M820" s="20"/>
    </row>
    <row r="821" spans="13:13">
      <c r="M821" s="20"/>
    </row>
    <row r="822" spans="13:13">
      <c r="M822" s="20"/>
    </row>
    <row r="823" spans="13:13">
      <c r="M823" s="20"/>
    </row>
    <row r="824" spans="13:13">
      <c r="M824" s="20"/>
    </row>
    <row r="825" spans="13:13">
      <c r="M825" s="20"/>
    </row>
    <row r="826" spans="13:13">
      <c r="M826" s="20"/>
    </row>
    <row r="827" spans="13:13">
      <c r="M827" s="20"/>
    </row>
    <row r="828" spans="13:13">
      <c r="M828" s="20"/>
    </row>
    <row r="829" spans="13:13">
      <c r="M829" s="20"/>
    </row>
    <row r="830" spans="13:13">
      <c r="M830" s="20"/>
    </row>
    <row r="831" spans="13:13">
      <c r="M831" s="20"/>
    </row>
    <row r="832" spans="13:13">
      <c r="M832" s="20"/>
    </row>
    <row r="833" spans="13:13">
      <c r="M833" s="20"/>
    </row>
    <row r="834" spans="13:13">
      <c r="M834" s="20"/>
    </row>
    <row r="835" spans="13:13">
      <c r="M835" s="20"/>
    </row>
    <row r="836" spans="13:13">
      <c r="M836" s="20"/>
    </row>
    <row r="837" spans="13:13">
      <c r="M837" s="20"/>
    </row>
    <row r="838" spans="13:13">
      <c r="M838" s="20"/>
    </row>
    <row r="839" spans="13:13">
      <c r="M839" s="20"/>
    </row>
    <row r="840" spans="13:13">
      <c r="M840" s="20"/>
    </row>
    <row r="841" spans="13:13">
      <c r="M841" s="20"/>
    </row>
    <row r="842" spans="13:13">
      <c r="M842" s="20"/>
    </row>
    <row r="843" spans="13:13">
      <c r="M843" s="20"/>
    </row>
    <row r="844" spans="13:13">
      <c r="M844" s="20"/>
    </row>
    <row r="845" spans="13:13">
      <c r="M845" s="20"/>
    </row>
    <row r="846" spans="13:13">
      <c r="M846" s="20"/>
    </row>
    <row r="847" spans="13:13">
      <c r="M847" s="20"/>
    </row>
    <row r="848" spans="13:13">
      <c r="M848" s="20"/>
    </row>
    <row r="849" spans="13:13">
      <c r="M849" s="20"/>
    </row>
    <row r="850" spans="13:13">
      <c r="M850" s="20"/>
    </row>
    <row r="851" spans="13:13">
      <c r="M851" s="20"/>
    </row>
    <row r="852" spans="13:13">
      <c r="M852" s="20"/>
    </row>
    <row r="853" spans="13:13">
      <c r="M853" s="20"/>
    </row>
    <row r="854" spans="13:13">
      <c r="M854" s="20"/>
    </row>
    <row r="855" spans="13:13">
      <c r="M855" s="20"/>
    </row>
    <row r="856" spans="13:13">
      <c r="M856" s="20"/>
    </row>
    <row r="857" spans="13:13">
      <c r="M857" s="20"/>
    </row>
    <row r="858" spans="13:13">
      <c r="M858" s="20"/>
    </row>
    <row r="859" spans="13:13">
      <c r="M859" s="20"/>
    </row>
    <row r="860" spans="13:13">
      <c r="M860" s="20"/>
    </row>
    <row r="861" spans="13:13">
      <c r="M861" s="20"/>
    </row>
    <row r="862" spans="13:13">
      <c r="M862" s="20"/>
    </row>
    <row r="863" spans="13:13">
      <c r="M863" s="20"/>
    </row>
    <row r="864" spans="13:13">
      <c r="M864" s="20"/>
    </row>
    <row r="865" spans="13:13">
      <c r="M865" s="20"/>
    </row>
    <row r="866" spans="13:13">
      <c r="M866" s="20"/>
    </row>
    <row r="867" spans="13:13">
      <c r="M867" s="20"/>
    </row>
    <row r="868" spans="13:13">
      <c r="M868" s="20"/>
    </row>
    <row r="869" spans="13:13">
      <c r="M869" s="20"/>
    </row>
    <row r="870" spans="13:13">
      <c r="M870" s="20"/>
    </row>
    <row r="871" spans="13:13">
      <c r="M871" s="20"/>
    </row>
    <row r="872" spans="13:13">
      <c r="M872" s="20"/>
    </row>
    <row r="873" spans="13:13">
      <c r="M873" s="20"/>
    </row>
    <row r="874" spans="13:13">
      <c r="M874" s="20"/>
    </row>
    <row r="875" spans="13:13">
      <c r="M875" s="20"/>
    </row>
    <row r="876" spans="13:13">
      <c r="M876" s="20"/>
    </row>
    <row r="877" spans="13:13">
      <c r="M877" s="20"/>
    </row>
    <row r="878" spans="13:13">
      <c r="M878" s="20"/>
    </row>
    <row r="879" spans="13:13">
      <c r="M879" s="20"/>
    </row>
    <row r="880" spans="13:13">
      <c r="M880" s="20"/>
    </row>
    <row r="881" spans="13:13">
      <c r="M881" s="20"/>
    </row>
    <row r="882" spans="13:13">
      <c r="M882" s="20"/>
    </row>
    <row r="883" spans="13:13">
      <c r="M883" s="20"/>
    </row>
    <row r="884" spans="13:13">
      <c r="M884" s="20"/>
    </row>
    <row r="885" spans="13:13">
      <c r="M885" s="20"/>
    </row>
    <row r="886" spans="13:13">
      <c r="M886" s="20"/>
    </row>
    <row r="887" spans="13:13">
      <c r="M887" s="20"/>
    </row>
    <row r="888" spans="13:13">
      <c r="M888" s="20"/>
    </row>
    <row r="889" spans="13:13">
      <c r="M889" s="20"/>
    </row>
    <row r="890" spans="13:13">
      <c r="M890" s="20"/>
    </row>
    <row r="891" spans="13:13">
      <c r="M891" s="20"/>
    </row>
    <row r="892" spans="13:13">
      <c r="M892" s="20"/>
    </row>
    <row r="893" spans="13:13">
      <c r="M893" s="20"/>
    </row>
    <row r="894" spans="13:13">
      <c r="M894" s="20"/>
    </row>
    <row r="895" spans="13:13">
      <c r="M895" s="20"/>
    </row>
    <row r="896" spans="13:13">
      <c r="M896" s="20"/>
    </row>
    <row r="897" spans="13:13">
      <c r="M897" s="20"/>
    </row>
    <row r="898" spans="13:13">
      <c r="M898" s="20"/>
    </row>
    <row r="899" spans="13:13">
      <c r="M899" s="20"/>
    </row>
    <row r="900" spans="13:13">
      <c r="M900" s="20"/>
    </row>
    <row r="901" spans="13:13">
      <c r="M901" s="20"/>
    </row>
    <row r="902" spans="13:13">
      <c r="M902" s="20"/>
    </row>
    <row r="903" spans="13:13">
      <c r="M903" s="20"/>
    </row>
    <row r="904" spans="13:13">
      <c r="M904" s="20"/>
    </row>
    <row r="905" spans="13:13">
      <c r="M905" s="20"/>
    </row>
    <row r="906" spans="13:13">
      <c r="M906" s="20"/>
    </row>
    <row r="907" spans="13:13">
      <c r="M907" s="20"/>
    </row>
    <row r="908" spans="13:13">
      <c r="M908" s="20"/>
    </row>
    <row r="909" spans="13:13">
      <c r="M909" s="20"/>
    </row>
    <row r="910" spans="13:13">
      <c r="M910" s="20"/>
    </row>
    <row r="911" spans="13:13">
      <c r="M911" s="20"/>
    </row>
    <row r="912" spans="13:13">
      <c r="M912" s="20"/>
    </row>
    <row r="913" spans="13:13">
      <c r="M913" s="20"/>
    </row>
    <row r="914" spans="13:13">
      <c r="M914" s="20"/>
    </row>
    <row r="915" spans="13:13">
      <c r="M915" s="20"/>
    </row>
    <row r="916" spans="13:13">
      <c r="M916" s="20"/>
    </row>
    <row r="917" spans="13:13">
      <c r="M917" s="20"/>
    </row>
    <row r="918" spans="13:13">
      <c r="M918" s="20"/>
    </row>
    <row r="919" spans="13:13">
      <c r="M919" s="20"/>
    </row>
    <row r="920" spans="13:13">
      <c r="M920" s="20"/>
    </row>
    <row r="921" spans="13:13">
      <c r="M921" s="20"/>
    </row>
    <row r="922" spans="13:13">
      <c r="M922" s="20"/>
    </row>
    <row r="923" spans="13:13">
      <c r="M923" s="20"/>
    </row>
    <row r="924" spans="13:13">
      <c r="M924" s="20"/>
    </row>
    <row r="925" spans="13:13">
      <c r="M925" s="20"/>
    </row>
    <row r="926" spans="13:13">
      <c r="M926" s="20"/>
    </row>
    <row r="927" spans="13:13">
      <c r="M927" s="20"/>
    </row>
    <row r="928" spans="13:13">
      <c r="M928" s="20"/>
    </row>
    <row r="929" spans="13:13">
      <c r="M929" s="20"/>
    </row>
    <row r="930" spans="13:13">
      <c r="M930" s="20"/>
    </row>
    <row r="931" spans="13:13">
      <c r="M931" s="20"/>
    </row>
    <row r="932" spans="13:13">
      <c r="M932" s="20"/>
    </row>
    <row r="933" spans="13:13">
      <c r="M933" s="20"/>
    </row>
    <row r="934" spans="13:13">
      <c r="M934" s="20"/>
    </row>
    <row r="935" spans="13:13">
      <c r="M935" s="20"/>
    </row>
    <row r="936" spans="13:13">
      <c r="M936" s="20"/>
    </row>
    <row r="937" spans="13:13">
      <c r="M937" s="20"/>
    </row>
    <row r="938" spans="13:13">
      <c r="M938" s="20"/>
    </row>
    <row r="939" spans="13:13">
      <c r="M939" s="20"/>
    </row>
    <row r="940" spans="13:13">
      <c r="M940" s="20"/>
    </row>
    <row r="941" spans="13:13">
      <c r="M941" s="20"/>
    </row>
    <row r="942" spans="13:13">
      <c r="M942" s="20"/>
    </row>
    <row r="943" spans="13:13">
      <c r="M943" s="20"/>
    </row>
    <row r="944" spans="13:13">
      <c r="M944" s="20"/>
    </row>
    <row r="945" spans="13:13">
      <c r="M945" s="20"/>
    </row>
    <row r="946" spans="13:13">
      <c r="M946" s="20"/>
    </row>
    <row r="947" spans="13:13">
      <c r="M947" s="20"/>
    </row>
    <row r="948" spans="13:13">
      <c r="M948" s="20"/>
    </row>
    <row r="949" spans="13:13">
      <c r="M949" s="20"/>
    </row>
    <row r="950" spans="13:13">
      <c r="M950" s="20"/>
    </row>
    <row r="951" spans="13:13">
      <c r="M951" s="20"/>
    </row>
    <row r="952" spans="13:13">
      <c r="M952" s="20"/>
    </row>
    <row r="953" spans="13:13">
      <c r="M953" s="20"/>
    </row>
    <row r="954" spans="13:13">
      <c r="M954" s="20"/>
    </row>
    <row r="955" spans="13:13">
      <c r="M955" s="20"/>
    </row>
    <row r="956" spans="13:13">
      <c r="M956" s="20"/>
    </row>
    <row r="957" spans="13:13">
      <c r="M957" s="20"/>
    </row>
    <row r="958" spans="13:13">
      <c r="M958" s="20"/>
    </row>
    <row r="959" spans="13:13">
      <c r="M959" s="20"/>
    </row>
    <row r="960" spans="13:13">
      <c r="M960" s="20"/>
    </row>
    <row r="961" spans="13:13">
      <c r="M961" s="20"/>
    </row>
    <row r="962" spans="13:13">
      <c r="M962" s="20"/>
    </row>
    <row r="963" spans="13:13">
      <c r="M963" s="20"/>
    </row>
    <row r="964" spans="13:13">
      <c r="M964" s="20"/>
    </row>
    <row r="965" spans="13:13">
      <c r="M965" s="20"/>
    </row>
    <row r="966" spans="13:13">
      <c r="M966" s="20"/>
    </row>
    <row r="967" spans="13:13">
      <c r="M967" s="20"/>
    </row>
    <row r="968" spans="13:13">
      <c r="M968" s="20"/>
    </row>
    <row r="969" spans="13:13">
      <c r="M969" s="20"/>
    </row>
    <row r="970" spans="13:13">
      <c r="M970" s="20"/>
    </row>
    <row r="971" spans="13:13">
      <c r="M971" s="20"/>
    </row>
    <row r="972" spans="13:13">
      <c r="M972" s="20"/>
    </row>
    <row r="973" spans="13:13">
      <c r="M973" s="20"/>
    </row>
    <row r="974" spans="13:13">
      <c r="M974" s="20"/>
    </row>
    <row r="975" spans="13:13">
      <c r="M975" s="20"/>
    </row>
    <row r="976" spans="13:13">
      <c r="M976" s="20"/>
    </row>
    <row r="977" spans="13:13">
      <c r="M977" s="20"/>
    </row>
    <row r="978" spans="13:13">
      <c r="M978" s="20"/>
    </row>
    <row r="979" spans="13:13">
      <c r="M979" s="20"/>
    </row>
    <row r="980" spans="13:13">
      <c r="M980" s="20"/>
    </row>
    <row r="981" spans="13:13">
      <c r="M981" s="20"/>
    </row>
    <row r="982" spans="13:13">
      <c r="M982" s="20"/>
    </row>
    <row r="983" spans="13:13">
      <c r="M983" s="20"/>
    </row>
    <row r="984" spans="13:13">
      <c r="M984" s="20"/>
    </row>
    <row r="985" spans="13:13">
      <c r="M985" s="20"/>
    </row>
    <row r="986" spans="13:13">
      <c r="M986" s="20"/>
    </row>
    <row r="987" spans="13:13">
      <c r="M987" s="20"/>
    </row>
    <row r="988" spans="13:13">
      <c r="M988" s="20"/>
    </row>
    <row r="989" spans="13:13">
      <c r="M989" s="20"/>
    </row>
    <row r="990" spans="13:13">
      <c r="M990" s="20"/>
    </row>
    <row r="991" spans="13:13">
      <c r="M991" s="20"/>
    </row>
    <row r="992" spans="13:13">
      <c r="M992" s="20"/>
    </row>
    <row r="993" spans="13:13">
      <c r="M993" s="20"/>
    </row>
    <row r="994" spans="13:13">
      <c r="M994" s="20"/>
    </row>
    <row r="995" spans="13:13">
      <c r="M995" s="20"/>
    </row>
    <row r="996" spans="13:13">
      <c r="M996" s="20"/>
    </row>
    <row r="997" spans="13:13">
      <c r="M997" s="20"/>
    </row>
    <row r="998" spans="13:13">
      <c r="M998" s="20"/>
    </row>
    <row r="999" spans="13:13">
      <c r="M999" s="20"/>
    </row>
    <row r="1000" spans="13:13">
      <c r="M1000" s="20"/>
    </row>
    <row r="1001" spans="13:13">
      <c r="M1001" s="20"/>
    </row>
    <row r="1002" spans="13:13">
      <c r="M1002" s="20"/>
    </row>
    <row r="1003" spans="13:13">
      <c r="M1003" s="20"/>
    </row>
    <row r="1004" spans="13:13">
      <c r="M1004" s="20"/>
    </row>
    <row r="1005" spans="13:13">
      <c r="M1005" s="20"/>
    </row>
    <row r="1006" spans="13:13">
      <c r="M1006" s="20"/>
    </row>
    <row r="1007" spans="13:13">
      <c r="M1007" s="20"/>
    </row>
    <row r="1008" spans="13:13">
      <c r="M1008" s="20"/>
    </row>
    <row r="1009" spans="13:13">
      <c r="M1009" s="20"/>
    </row>
    <row r="1010" spans="13:13">
      <c r="M1010" s="20"/>
    </row>
    <row r="1011" spans="13:13">
      <c r="M1011" s="20"/>
    </row>
    <row r="1012" spans="13:13">
      <c r="M1012" s="20"/>
    </row>
    <row r="1013" spans="13:13">
      <c r="M1013" s="20"/>
    </row>
    <row r="1014" spans="13:13">
      <c r="M1014" s="20"/>
    </row>
    <row r="1015" spans="13:13">
      <c r="M1015" s="20"/>
    </row>
    <row r="1016" spans="13:13">
      <c r="M1016" s="20"/>
    </row>
    <row r="1017" spans="13:13">
      <c r="M1017" s="20"/>
    </row>
    <row r="1018" spans="13:13">
      <c r="M1018" s="20"/>
    </row>
    <row r="1019" spans="13:13">
      <c r="M1019" s="20"/>
    </row>
    <row r="1020" spans="13:13">
      <c r="M1020" s="20"/>
    </row>
    <row r="1021" spans="13:13">
      <c r="M1021" s="20"/>
    </row>
    <row r="1022" spans="13:13">
      <c r="M1022" s="20"/>
    </row>
    <row r="1023" spans="13:13">
      <c r="M1023" s="20"/>
    </row>
    <row r="1024" spans="13:13">
      <c r="M1024" s="20"/>
    </row>
    <row r="1025" spans="13:13">
      <c r="M1025" s="20"/>
    </row>
    <row r="1026" spans="13:13">
      <c r="M1026" s="20"/>
    </row>
    <row r="1027" spans="13:13">
      <c r="M1027" s="20"/>
    </row>
    <row r="1028" spans="13:13">
      <c r="M1028" s="20"/>
    </row>
    <row r="1029" spans="13:13">
      <c r="M1029" s="20"/>
    </row>
    <row r="1030" spans="13:13">
      <c r="M1030" s="20"/>
    </row>
    <row r="1031" spans="13:13">
      <c r="M1031" s="20"/>
    </row>
    <row r="1032" spans="13:13">
      <c r="M1032" s="20"/>
    </row>
    <row r="1033" spans="13:13">
      <c r="M1033" s="20"/>
    </row>
    <row r="1034" spans="13:13">
      <c r="M1034" s="20"/>
    </row>
    <row r="1035" spans="13:13">
      <c r="M1035" s="20"/>
    </row>
    <row r="1036" spans="13:13">
      <c r="M1036" s="20"/>
    </row>
    <row r="1037" spans="13:13">
      <c r="M1037" s="20"/>
    </row>
    <row r="1038" spans="13:13">
      <c r="M1038" s="20"/>
    </row>
    <row r="1039" spans="13:13">
      <c r="M1039" s="20"/>
    </row>
    <row r="1040" spans="13:13">
      <c r="M1040" s="20"/>
    </row>
    <row r="1041" spans="13:13">
      <c r="M1041" s="20"/>
    </row>
    <row r="1042" spans="13:13">
      <c r="M1042" s="20"/>
    </row>
    <row r="1043" spans="13:13">
      <c r="M1043" s="20"/>
    </row>
    <row r="1044" spans="13:13">
      <c r="M1044" s="20"/>
    </row>
    <row r="1045" spans="13:13">
      <c r="M1045" s="20"/>
    </row>
    <row r="1046" spans="13:13">
      <c r="M1046" s="20"/>
    </row>
    <row r="1047" spans="13:13">
      <c r="M1047" s="20"/>
    </row>
    <row r="1048" spans="13:13">
      <c r="M1048" s="20"/>
    </row>
    <row r="1049" spans="13:13">
      <c r="M1049" s="20"/>
    </row>
    <row r="1050" spans="13:13">
      <c r="M1050" s="20"/>
    </row>
    <row r="1051" spans="13:13">
      <c r="M1051" s="20"/>
    </row>
    <row r="1052" spans="13:13">
      <c r="M1052" s="20"/>
    </row>
    <row r="1053" spans="13:13">
      <c r="M1053" s="20"/>
    </row>
    <row r="1054" spans="13:13">
      <c r="M1054" s="20"/>
    </row>
    <row r="1055" spans="13:13">
      <c r="M1055" s="20"/>
    </row>
    <row r="1056" spans="13:13">
      <c r="M1056" s="20"/>
    </row>
    <row r="1057" spans="13:13">
      <c r="M1057" s="20"/>
    </row>
    <row r="1058" spans="13:13">
      <c r="M1058" s="20"/>
    </row>
    <row r="1059" spans="13:13">
      <c r="M1059" s="20"/>
    </row>
    <row r="1060" spans="13:13">
      <c r="M1060" s="20"/>
    </row>
    <row r="1061" spans="13:13">
      <c r="M1061" s="20"/>
    </row>
    <row r="1062" spans="13:13">
      <c r="M1062" s="20"/>
    </row>
    <row r="1063" spans="13:13">
      <c r="M1063" s="20"/>
    </row>
    <row r="1064" spans="13:13">
      <c r="M1064" s="20"/>
    </row>
    <row r="1065" spans="13:13">
      <c r="M1065" s="20"/>
    </row>
    <row r="1066" spans="13:13">
      <c r="M1066" s="20"/>
    </row>
    <row r="1067" spans="13:13">
      <c r="M1067" s="20"/>
    </row>
    <row r="1068" spans="13:13">
      <c r="M1068" s="20"/>
    </row>
    <row r="1069" spans="13:13">
      <c r="M1069" s="20"/>
    </row>
    <row r="1070" spans="13:13">
      <c r="M1070" s="20"/>
    </row>
    <row r="1071" spans="13:13">
      <c r="M1071" s="20"/>
    </row>
    <row r="1072" spans="13:13">
      <c r="M1072" s="20"/>
    </row>
    <row r="1073" spans="13:13">
      <c r="M1073" s="20"/>
    </row>
    <row r="1074" spans="13:13">
      <c r="M1074" s="20"/>
    </row>
    <row r="1075" spans="13:13">
      <c r="M1075" s="20"/>
    </row>
    <row r="1076" spans="13:13">
      <c r="M1076" s="20"/>
    </row>
    <row r="1077" spans="13:13">
      <c r="M1077" s="20"/>
    </row>
    <row r="1078" spans="13:13">
      <c r="M1078" s="20"/>
    </row>
    <row r="1079" spans="13:13">
      <c r="M1079" s="20"/>
    </row>
    <row r="1080" spans="13:13">
      <c r="M1080" s="20"/>
    </row>
    <row r="1081" spans="13:13">
      <c r="M1081" s="20"/>
    </row>
    <row r="1082" spans="13:13">
      <c r="M1082" s="20"/>
    </row>
    <row r="1083" spans="13:13">
      <c r="M1083" s="20"/>
    </row>
    <row r="1084" spans="13:13">
      <c r="M1084" s="20"/>
    </row>
    <row r="1085" spans="13:13">
      <c r="M1085" s="20"/>
    </row>
    <row r="1086" spans="13:13">
      <c r="M1086" s="20"/>
    </row>
    <row r="1087" spans="13:13">
      <c r="M1087" s="20"/>
    </row>
    <row r="1088" spans="13:13">
      <c r="M1088" s="20"/>
    </row>
    <row r="1089" spans="13:13">
      <c r="M1089" s="20"/>
    </row>
    <row r="1090" spans="13:13">
      <c r="M1090" s="20"/>
    </row>
    <row r="1091" spans="13:13">
      <c r="M1091" s="20"/>
    </row>
    <row r="1092" spans="13:13">
      <c r="M1092" s="20"/>
    </row>
    <row r="1093" spans="13:13">
      <c r="M1093" s="20"/>
    </row>
    <row r="1094" spans="13:13">
      <c r="M1094" s="20"/>
    </row>
    <row r="1095" spans="13:13">
      <c r="M1095" s="20"/>
    </row>
    <row r="1096" spans="13:13">
      <c r="M1096" s="20"/>
    </row>
    <row r="1097" spans="13:13">
      <c r="M1097" s="20"/>
    </row>
    <row r="1098" spans="13:13">
      <c r="M1098" s="20"/>
    </row>
    <row r="1099" spans="13:13">
      <c r="M1099" s="20"/>
    </row>
    <row r="1100" spans="13:13">
      <c r="M1100" s="20"/>
    </row>
    <row r="1101" spans="13:13">
      <c r="M1101" s="20"/>
    </row>
    <row r="1102" spans="13:13">
      <c r="M1102" s="20"/>
    </row>
    <row r="1103" spans="13:13">
      <c r="M1103" s="20"/>
    </row>
    <row r="1104" spans="13:13">
      <c r="M1104" s="20"/>
    </row>
    <row r="1105" spans="13:13">
      <c r="M1105" s="20"/>
    </row>
    <row r="1106" spans="13:13">
      <c r="M1106" s="20"/>
    </row>
    <row r="1107" spans="13:13">
      <c r="M1107" s="20"/>
    </row>
    <row r="1108" spans="13:13">
      <c r="M1108" s="20"/>
    </row>
    <row r="1109" spans="13:13">
      <c r="M1109" s="20"/>
    </row>
    <row r="1110" spans="13:13">
      <c r="M1110" s="20"/>
    </row>
    <row r="1111" spans="13:13">
      <c r="M1111" s="20"/>
    </row>
    <row r="1112" spans="13:13">
      <c r="M1112" s="20"/>
    </row>
    <row r="1113" spans="13:13">
      <c r="M1113" s="20"/>
    </row>
    <row r="1114" spans="13:13">
      <c r="M1114" s="20"/>
    </row>
    <row r="1115" spans="13:13">
      <c r="M1115" s="20"/>
    </row>
    <row r="1116" spans="13:13">
      <c r="M1116" s="20"/>
    </row>
    <row r="1117" spans="13:13">
      <c r="M1117" s="20"/>
    </row>
    <row r="1118" spans="13:13">
      <c r="M1118" s="20"/>
    </row>
    <row r="1119" spans="13:13">
      <c r="M1119" s="20"/>
    </row>
    <row r="1120" spans="13:13">
      <c r="M1120" s="20"/>
    </row>
    <row r="1121" spans="13:13">
      <c r="M1121" s="20"/>
    </row>
    <row r="1122" spans="13:13">
      <c r="M1122" s="20"/>
    </row>
    <row r="1123" spans="13:13">
      <c r="M1123" s="20"/>
    </row>
    <row r="1124" spans="13:13">
      <c r="M1124" s="20"/>
    </row>
    <row r="1125" spans="13:13">
      <c r="M1125" s="20"/>
    </row>
    <row r="1126" spans="13:13">
      <c r="M1126" s="20"/>
    </row>
    <row r="1127" spans="13:13">
      <c r="M1127" s="20"/>
    </row>
    <row r="1128" spans="13:13">
      <c r="M1128" s="20"/>
    </row>
    <row r="1129" spans="13:13">
      <c r="M1129" s="20"/>
    </row>
    <row r="1130" spans="13:13">
      <c r="M1130" s="20"/>
    </row>
    <row r="1131" spans="13:13">
      <c r="M1131" s="20"/>
    </row>
    <row r="1132" spans="13:13">
      <c r="M1132" s="20"/>
    </row>
    <row r="1133" spans="13:13">
      <c r="M1133" s="20"/>
    </row>
    <row r="1134" spans="13:13">
      <c r="M1134" s="20"/>
    </row>
    <row r="1135" spans="13:13">
      <c r="M1135" s="20"/>
    </row>
    <row r="1136" spans="13:13">
      <c r="M1136" s="20"/>
    </row>
    <row r="1137" spans="13:13">
      <c r="M1137" s="20"/>
    </row>
    <row r="1138" spans="13:13">
      <c r="M1138" s="20"/>
    </row>
    <row r="1139" spans="13:13">
      <c r="M1139" s="20"/>
    </row>
    <row r="1140" spans="13:13">
      <c r="M1140" s="20"/>
    </row>
    <row r="1141" spans="13:13">
      <c r="M1141" s="20"/>
    </row>
    <row r="1142" spans="13:13">
      <c r="M1142" s="20"/>
    </row>
    <row r="1143" spans="13:13">
      <c r="M1143" s="20"/>
    </row>
    <row r="1144" spans="13:13">
      <c r="M1144" s="20"/>
    </row>
    <row r="1145" spans="13:13">
      <c r="M1145" s="20"/>
    </row>
    <row r="1146" spans="13:13">
      <c r="M1146" s="20"/>
    </row>
    <row r="1147" spans="13:13">
      <c r="M1147" s="20"/>
    </row>
    <row r="1148" spans="13:13">
      <c r="M1148" s="20"/>
    </row>
    <row r="1149" spans="13:13">
      <c r="M1149" s="20"/>
    </row>
    <row r="1150" spans="13:13">
      <c r="M1150" s="20"/>
    </row>
    <row r="1151" spans="13:13">
      <c r="M1151" s="20"/>
    </row>
    <row r="1152" spans="13:13">
      <c r="M1152" s="20"/>
    </row>
    <row r="1153" spans="13:13">
      <c r="M1153" s="20"/>
    </row>
    <row r="1154" spans="13:13">
      <c r="M1154" s="20"/>
    </row>
    <row r="1155" spans="13:13">
      <c r="M1155" s="20"/>
    </row>
    <row r="1156" spans="13:13">
      <c r="M1156" s="20"/>
    </row>
    <row r="1157" spans="13:13">
      <c r="M1157" s="20"/>
    </row>
    <row r="1158" spans="13:13">
      <c r="M1158" s="20"/>
    </row>
    <row r="1159" spans="13:13">
      <c r="M1159" s="20"/>
    </row>
    <row r="1160" spans="13:13">
      <c r="M1160" s="20"/>
    </row>
    <row r="1161" spans="13:13">
      <c r="M1161" s="20"/>
    </row>
    <row r="1162" spans="13:13">
      <c r="M1162" s="20"/>
    </row>
    <row r="1163" spans="13:13">
      <c r="M1163" s="20"/>
    </row>
    <row r="1164" spans="13:13">
      <c r="M1164" s="20"/>
    </row>
    <row r="1165" spans="13:13">
      <c r="M1165" s="20"/>
    </row>
    <row r="1166" spans="13:13">
      <c r="M1166" s="20"/>
    </row>
    <row r="1167" spans="13:13">
      <c r="M1167" s="20"/>
    </row>
    <row r="1168" spans="13:13">
      <c r="M1168" s="20"/>
    </row>
    <row r="1169" spans="13:13">
      <c r="M1169" s="20"/>
    </row>
    <row r="1170" spans="13:13">
      <c r="M1170" s="20"/>
    </row>
    <row r="1171" spans="13:13">
      <c r="M1171" s="20"/>
    </row>
    <row r="1172" spans="13:13">
      <c r="M1172" s="20"/>
    </row>
    <row r="1173" spans="13:13">
      <c r="M1173" s="20"/>
    </row>
    <row r="1174" spans="13:13">
      <c r="M1174" s="20"/>
    </row>
    <row r="1175" spans="13:13">
      <c r="M1175" s="20"/>
    </row>
    <row r="1176" spans="13:13">
      <c r="M1176" s="20"/>
    </row>
    <row r="1177" spans="13:13">
      <c r="M1177" s="20"/>
    </row>
    <row r="1178" spans="13:13">
      <c r="M1178" s="20"/>
    </row>
    <row r="1179" spans="13:13">
      <c r="M1179" s="20"/>
    </row>
    <row r="1180" spans="13:13">
      <c r="M1180" s="20"/>
    </row>
    <row r="1181" spans="13:13">
      <c r="M1181" s="20"/>
    </row>
    <row r="1182" spans="13:13">
      <c r="M1182" s="20"/>
    </row>
    <row r="1183" spans="13:13">
      <c r="M1183" s="20"/>
    </row>
    <row r="1184" spans="13:13">
      <c r="M1184" s="20"/>
    </row>
    <row r="1185" spans="13:13">
      <c r="M1185" s="20"/>
    </row>
    <row r="1186" spans="13:13">
      <c r="M1186" s="20"/>
    </row>
    <row r="1187" spans="13:13">
      <c r="M1187" s="20"/>
    </row>
    <row r="1188" spans="13:13">
      <c r="M1188" s="20"/>
    </row>
    <row r="1189" spans="13:13">
      <c r="M1189" s="20"/>
    </row>
    <row r="1190" spans="13:13">
      <c r="M1190" s="20"/>
    </row>
    <row r="1191" spans="13:13">
      <c r="M1191" s="20"/>
    </row>
    <row r="1192" spans="13:13">
      <c r="M1192" s="20"/>
    </row>
    <row r="1193" spans="13:13">
      <c r="M1193" s="20"/>
    </row>
    <row r="1194" spans="13:13">
      <c r="M1194" s="20"/>
    </row>
    <row r="1195" spans="13:13">
      <c r="M1195" s="20"/>
    </row>
    <row r="1196" spans="13:13">
      <c r="M1196" s="20"/>
    </row>
    <row r="1197" spans="13:13">
      <c r="M1197" s="20"/>
    </row>
    <row r="1198" spans="13:13">
      <c r="M1198" s="20"/>
    </row>
    <row r="1199" spans="13:13">
      <c r="M1199" s="20"/>
    </row>
    <row r="1200" spans="13:13">
      <c r="M1200" s="20"/>
    </row>
    <row r="1201" spans="13:13">
      <c r="M1201" s="20"/>
    </row>
    <row r="1202" spans="13:13">
      <c r="M1202" s="20"/>
    </row>
    <row r="1203" spans="13:13">
      <c r="M1203" s="20"/>
    </row>
    <row r="1204" spans="13:13">
      <c r="M1204" s="20"/>
    </row>
    <row r="1205" spans="13:13">
      <c r="M1205" s="20"/>
    </row>
    <row r="1206" spans="13:13">
      <c r="M1206" s="20"/>
    </row>
    <row r="1207" spans="13:13">
      <c r="M1207" s="20"/>
    </row>
    <row r="1208" spans="13:13">
      <c r="M1208" s="20"/>
    </row>
    <row r="1209" spans="13:13">
      <c r="M1209" s="20"/>
    </row>
    <row r="1210" spans="13:13">
      <c r="M1210" s="20"/>
    </row>
    <row r="1211" spans="13:13">
      <c r="M1211" s="20"/>
    </row>
    <row r="1212" spans="13:13">
      <c r="M1212" s="20"/>
    </row>
    <row r="1213" spans="13:13">
      <c r="M1213" s="20"/>
    </row>
    <row r="1214" spans="13:13">
      <c r="M1214" s="20"/>
    </row>
    <row r="1215" spans="13:13">
      <c r="M1215" s="20"/>
    </row>
    <row r="1216" spans="13:13">
      <c r="M1216" s="20"/>
    </row>
    <row r="1217" spans="13:13">
      <c r="M1217" s="20"/>
    </row>
    <row r="1218" spans="13:13">
      <c r="M1218" s="20"/>
    </row>
    <row r="1219" spans="13:13">
      <c r="M1219" s="20"/>
    </row>
    <row r="1220" spans="13:13">
      <c r="M1220" s="20"/>
    </row>
    <row r="1221" spans="13:13">
      <c r="M1221" s="20"/>
    </row>
    <row r="1222" spans="13:13">
      <c r="M1222" s="20"/>
    </row>
    <row r="1223" spans="13:13">
      <c r="M1223" s="20"/>
    </row>
    <row r="1224" spans="13:13">
      <c r="M1224" s="20"/>
    </row>
    <row r="1225" spans="13:13">
      <c r="M1225" s="20"/>
    </row>
    <row r="1226" spans="13:13">
      <c r="M1226" s="20"/>
    </row>
    <row r="1227" spans="13:13">
      <c r="M1227" s="20"/>
    </row>
    <row r="1228" spans="13:13">
      <c r="M1228" s="20"/>
    </row>
    <row r="1229" spans="13:13">
      <c r="M1229" s="20"/>
    </row>
    <row r="1230" spans="13:13">
      <c r="M1230" s="20"/>
    </row>
    <row r="1231" spans="13:13">
      <c r="M1231" s="20"/>
    </row>
    <row r="1232" spans="13:13">
      <c r="M1232" s="20"/>
    </row>
    <row r="1233" spans="13:13">
      <c r="M1233" s="20"/>
    </row>
    <row r="1234" spans="13:13">
      <c r="M1234" s="20"/>
    </row>
    <row r="1235" spans="13:13">
      <c r="M1235" s="20"/>
    </row>
    <row r="1236" spans="13:13">
      <c r="M1236" s="20"/>
    </row>
    <row r="1237" spans="13:13">
      <c r="M1237" s="20"/>
    </row>
    <row r="1238" spans="13:13">
      <c r="M1238" s="20"/>
    </row>
    <row r="1239" spans="13:13">
      <c r="M1239" s="20"/>
    </row>
    <row r="1240" spans="13:13">
      <c r="M1240" s="20"/>
    </row>
    <row r="1241" spans="13:13">
      <c r="M1241" s="20"/>
    </row>
    <row r="1242" spans="13:13">
      <c r="M1242" s="20"/>
    </row>
    <row r="1243" spans="13:13">
      <c r="M1243" s="20"/>
    </row>
    <row r="1244" spans="13:13">
      <c r="M1244" s="20"/>
    </row>
    <row r="1245" spans="13:13">
      <c r="M1245" s="20"/>
    </row>
    <row r="1246" spans="13:13">
      <c r="M1246" s="20"/>
    </row>
    <row r="1247" spans="13:13">
      <c r="M1247" s="20"/>
    </row>
    <row r="1248" spans="13:13">
      <c r="M1248" s="20"/>
    </row>
    <row r="1249" spans="13:13">
      <c r="M1249" s="20"/>
    </row>
    <row r="1250" spans="13:13">
      <c r="M1250" s="20"/>
    </row>
    <row r="1251" spans="13:13">
      <c r="M1251" s="20"/>
    </row>
    <row r="1252" spans="13:13">
      <c r="M1252" s="20"/>
    </row>
    <row r="1253" spans="13:13">
      <c r="M1253" s="20"/>
    </row>
    <row r="1254" spans="13:13">
      <c r="M1254" s="20"/>
    </row>
    <row r="1255" spans="13:13">
      <c r="M1255" s="20"/>
    </row>
    <row r="1256" spans="13:13">
      <c r="M1256" s="20"/>
    </row>
    <row r="1257" spans="13:13">
      <c r="M1257" s="20"/>
    </row>
    <row r="1258" spans="13:13">
      <c r="M1258" s="20"/>
    </row>
    <row r="1259" spans="13:13">
      <c r="M1259" s="20"/>
    </row>
    <row r="1260" spans="13:13">
      <c r="M1260" s="20"/>
    </row>
    <row r="1261" spans="13:13">
      <c r="M1261" s="20"/>
    </row>
    <row r="1262" spans="13:13">
      <c r="M1262" s="20"/>
    </row>
    <row r="1263" spans="13:13">
      <c r="M1263" s="20"/>
    </row>
    <row r="1264" spans="13:13">
      <c r="M1264" s="20"/>
    </row>
    <row r="1265" spans="13:13">
      <c r="M1265" s="20"/>
    </row>
    <row r="1266" spans="13:13">
      <c r="M1266" s="20"/>
    </row>
    <row r="1267" spans="13:13">
      <c r="M1267" s="20"/>
    </row>
    <row r="1268" spans="13:13">
      <c r="M1268" s="20"/>
    </row>
    <row r="1269" spans="13:13">
      <c r="M1269" s="20"/>
    </row>
    <row r="1270" spans="13:13">
      <c r="M1270" s="20"/>
    </row>
    <row r="1271" spans="13:13">
      <c r="M1271" s="20"/>
    </row>
    <row r="1272" spans="13:13">
      <c r="M1272" s="20"/>
    </row>
    <row r="1273" spans="13:13">
      <c r="M1273" s="20"/>
    </row>
    <row r="1274" spans="13:13">
      <c r="M1274" s="20"/>
    </row>
    <row r="1275" spans="13:13">
      <c r="M1275" s="20"/>
    </row>
    <row r="1276" spans="13:13">
      <c r="M1276" s="20"/>
    </row>
    <row r="1277" spans="13:13">
      <c r="M1277" s="20"/>
    </row>
    <row r="1278" spans="13:13">
      <c r="M1278" s="20"/>
    </row>
    <row r="1279" spans="13:13">
      <c r="M1279" s="20"/>
    </row>
    <row r="1280" spans="13:13">
      <c r="M1280" s="20"/>
    </row>
    <row r="1281" spans="13:13">
      <c r="M1281" s="20"/>
    </row>
    <row r="1282" spans="13:13">
      <c r="M1282" s="20"/>
    </row>
    <row r="1283" spans="13:13">
      <c r="M1283" s="20"/>
    </row>
    <row r="1284" spans="13:13">
      <c r="M1284" s="20"/>
    </row>
    <row r="1285" spans="13:13">
      <c r="M1285" s="20"/>
    </row>
    <row r="1286" spans="13:13">
      <c r="M1286" s="20"/>
    </row>
    <row r="1287" spans="13:13">
      <c r="M1287" s="20"/>
    </row>
    <row r="1288" spans="13:13">
      <c r="M1288" s="20"/>
    </row>
    <row r="1289" spans="13:13">
      <c r="M1289" s="20"/>
    </row>
    <row r="1290" spans="13:13">
      <c r="M1290" s="20"/>
    </row>
    <row r="1291" spans="13:13">
      <c r="M1291" s="20"/>
    </row>
    <row r="1292" spans="13:13">
      <c r="M1292" s="20"/>
    </row>
    <row r="1293" spans="13:13">
      <c r="M1293" s="20"/>
    </row>
    <row r="1294" spans="13:13">
      <c r="M1294" s="20"/>
    </row>
    <row r="1295" spans="13:13">
      <c r="M1295" s="20"/>
    </row>
    <row r="1296" spans="13:13">
      <c r="M1296" s="20"/>
    </row>
    <row r="1297" spans="13:13">
      <c r="M1297" s="20"/>
    </row>
    <row r="1298" spans="13:13">
      <c r="M1298" s="20"/>
    </row>
    <row r="1299" spans="13:13">
      <c r="M1299" s="20"/>
    </row>
    <row r="1300" spans="13:13">
      <c r="M1300" s="20"/>
    </row>
    <row r="1301" spans="13:13">
      <c r="M1301" s="20"/>
    </row>
    <row r="1302" spans="13:13">
      <c r="M1302" s="20"/>
    </row>
    <row r="1303" spans="13:13">
      <c r="M1303" s="20"/>
    </row>
    <row r="1304" spans="13:13">
      <c r="M1304" s="20"/>
    </row>
    <row r="1305" spans="13:13">
      <c r="M1305" s="20"/>
    </row>
    <row r="1306" spans="13:13">
      <c r="M1306" s="20"/>
    </row>
    <row r="1307" spans="13:13">
      <c r="M1307" s="20"/>
    </row>
    <row r="1308" spans="13:13">
      <c r="M1308" s="20"/>
    </row>
    <row r="1309" spans="13:13">
      <c r="M1309" s="20"/>
    </row>
    <row r="1310" spans="13:13">
      <c r="M1310" s="20"/>
    </row>
    <row r="1311" spans="13:13">
      <c r="M1311" s="20"/>
    </row>
    <row r="1312" spans="13:13">
      <c r="M1312" s="20"/>
    </row>
    <row r="1313" spans="13:13">
      <c r="M1313" s="20"/>
    </row>
    <row r="1314" spans="13:13">
      <c r="M1314" s="20"/>
    </row>
    <row r="1315" spans="13:13">
      <c r="M1315" s="20"/>
    </row>
    <row r="1316" spans="13:13">
      <c r="M1316" s="20"/>
    </row>
    <row r="1317" spans="13:13">
      <c r="M1317" s="20"/>
    </row>
    <row r="1318" spans="13:13">
      <c r="M1318" s="20"/>
    </row>
    <row r="1319" spans="13:13">
      <c r="M1319" s="20"/>
    </row>
    <row r="1320" spans="13:13">
      <c r="M1320" s="20"/>
    </row>
    <row r="1321" spans="13:13">
      <c r="M1321" s="20"/>
    </row>
    <row r="1322" spans="13:13">
      <c r="M1322" s="20"/>
    </row>
    <row r="1323" spans="13:13">
      <c r="M1323" s="20"/>
    </row>
    <row r="1324" spans="13:13">
      <c r="M1324" s="20"/>
    </row>
    <row r="1325" spans="13:13">
      <c r="M1325" s="20"/>
    </row>
    <row r="1326" spans="13:13">
      <c r="M1326" s="20"/>
    </row>
    <row r="1327" spans="13:13">
      <c r="M1327" s="20"/>
    </row>
    <row r="1328" spans="13:13">
      <c r="M1328" s="20"/>
    </row>
    <row r="1329" spans="13:13">
      <c r="M1329" s="20"/>
    </row>
    <row r="1330" spans="13:13">
      <c r="M1330" s="20"/>
    </row>
    <row r="1331" spans="13:13">
      <c r="M1331" s="20"/>
    </row>
    <row r="1332" spans="13:13">
      <c r="M1332" s="20"/>
    </row>
    <row r="1333" spans="13:13">
      <c r="M1333" s="20"/>
    </row>
    <row r="1334" spans="13:13">
      <c r="M1334" s="20"/>
    </row>
    <row r="1335" spans="13:13">
      <c r="M1335" s="20"/>
    </row>
    <row r="1336" spans="13:13">
      <c r="M1336" s="20"/>
    </row>
    <row r="1337" spans="13:13">
      <c r="M1337" s="20"/>
    </row>
    <row r="1338" spans="13:13">
      <c r="M1338" s="20"/>
    </row>
    <row r="1339" spans="13:13">
      <c r="M1339" s="20"/>
    </row>
    <row r="1340" spans="13:13">
      <c r="M1340" s="20"/>
    </row>
    <row r="1341" spans="13:13">
      <c r="M1341" s="20"/>
    </row>
    <row r="1342" spans="13:13">
      <c r="M1342" s="20"/>
    </row>
    <row r="1343" spans="13:13">
      <c r="M1343" s="20"/>
    </row>
    <row r="1344" spans="13:13">
      <c r="M1344" s="20"/>
    </row>
    <row r="1345" spans="13:13">
      <c r="M1345" s="20"/>
    </row>
    <row r="1346" spans="13:13">
      <c r="M1346" s="20"/>
    </row>
    <row r="1347" spans="13:13">
      <c r="M1347" s="20"/>
    </row>
    <row r="1348" spans="13:13">
      <c r="M1348" s="20"/>
    </row>
    <row r="1349" spans="13:13">
      <c r="M1349" s="20"/>
    </row>
    <row r="1350" spans="13:13">
      <c r="M1350" s="20"/>
    </row>
    <row r="1351" spans="13:13">
      <c r="M1351" s="20"/>
    </row>
    <row r="1352" spans="13:13">
      <c r="M1352" s="20"/>
    </row>
    <row r="1353" spans="13:13">
      <c r="M1353" s="20"/>
    </row>
    <row r="1354" spans="13:13">
      <c r="M1354" s="20"/>
    </row>
    <row r="1355" spans="13:13">
      <c r="M1355" s="20"/>
    </row>
    <row r="1356" spans="13:13">
      <c r="M1356" s="20"/>
    </row>
    <row r="1357" spans="13:13">
      <c r="M1357" s="20"/>
    </row>
    <row r="1358" spans="13:13">
      <c r="M1358" s="20"/>
    </row>
    <row r="1359" spans="13:13">
      <c r="M1359" s="20"/>
    </row>
    <row r="1360" spans="13:13">
      <c r="M1360" s="20"/>
    </row>
    <row r="1361" spans="13:13">
      <c r="M1361" s="20"/>
    </row>
    <row r="1362" spans="13:13">
      <c r="M1362" s="20"/>
    </row>
    <row r="1363" spans="13:13">
      <c r="M1363" s="20"/>
    </row>
    <row r="1364" spans="13:13">
      <c r="M1364" s="20"/>
    </row>
    <row r="1365" spans="13:13">
      <c r="M1365" s="20"/>
    </row>
    <row r="1366" spans="13:13">
      <c r="M1366" s="20"/>
    </row>
    <row r="1367" spans="13:13">
      <c r="M1367" s="20"/>
    </row>
    <row r="1368" spans="13:13">
      <c r="M1368" s="20"/>
    </row>
    <row r="1369" spans="13:13">
      <c r="M1369" s="20"/>
    </row>
    <row r="1370" spans="13:13">
      <c r="M1370" s="20"/>
    </row>
    <row r="1371" spans="13:13">
      <c r="M1371" s="20"/>
    </row>
    <row r="1372" spans="13:13">
      <c r="M1372" s="20"/>
    </row>
    <row r="1373" spans="13:13">
      <c r="M1373" s="20"/>
    </row>
    <row r="1374" spans="13:13">
      <c r="M1374" s="20"/>
    </row>
    <row r="1375" spans="13:13">
      <c r="M1375" s="20"/>
    </row>
    <row r="1376" spans="13:13">
      <c r="M1376" s="20"/>
    </row>
    <row r="1377" spans="13:13">
      <c r="M1377" s="20"/>
    </row>
    <row r="1378" spans="13:13">
      <c r="M1378" s="20"/>
    </row>
    <row r="1379" spans="13:13">
      <c r="M1379" s="20"/>
    </row>
    <row r="1380" spans="13:13">
      <c r="M1380" s="20"/>
    </row>
    <row r="1381" spans="13:13">
      <c r="M1381" s="20"/>
    </row>
    <row r="1382" spans="13:13">
      <c r="M1382" s="20"/>
    </row>
    <row r="1383" spans="13:13">
      <c r="M1383" s="20"/>
    </row>
    <row r="1384" spans="13:13">
      <c r="M1384" s="20"/>
    </row>
    <row r="1385" spans="13:13">
      <c r="M1385" s="20"/>
    </row>
    <row r="1386" spans="13:13">
      <c r="M1386" s="20"/>
    </row>
    <row r="1387" spans="13:13">
      <c r="M1387" s="20"/>
    </row>
    <row r="1388" spans="13:13">
      <c r="M1388" s="20"/>
    </row>
    <row r="1389" spans="13:13">
      <c r="M1389" s="20"/>
    </row>
    <row r="1390" spans="13:13">
      <c r="M1390" s="20"/>
    </row>
    <row r="1391" spans="13:13">
      <c r="M1391" s="20"/>
    </row>
    <row r="1392" spans="13:13">
      <c r="M1392" s="20"/>
    </row>
    <row r="1393" spans="13:13">
      <c r="M1393" s="20"/>
    </row>
    <row r="1394" spans="13:13">
      <c r="M1394" s="20"/>
    </row>
    <row r="1395" spans="13:13">
      <c r="M1395" s="20"/>
    </row>
    <row r="1396" spans="13:13">
      <c r="M1396" s="20"/>
    </row>
    <row r="1397" spans="13:13">
      <c r="M1397" s="20"/>
    </row>
    <row r="1398" spans="13:13">
      <c r="M1398" s="20"/>
    </row>
    <row r="1399" spans="13:13">
      <c r="M1399" s="20"/>
    </row>
    <row r="1400" spans="13:13">
      <c r="M1400" s="20"/>
    </row>
    <row r="1401" spans="13:13">
      <c r="M1401" s="20"/>
    </row>
    <row r="1402" spans="13:13">
      <c r="M1402" s="20"/>
    </row>
    <row r="1403" spans="13:13">
      <c r="M1403" s="20"/>
    </row>
    <row r="1404" spans="13:13">
      <c r="M1404" s="20"/>
    </row>
    <row r="1405" spans="13:13">
      <c r="M1405" s="20"/>
    </row>
    <row r="1406" spans="13:13">
      <c r="M1406" s="20"/>
    </row>
    <row r="1407" spans="13:13">
      <c r="M1407" s="20"/>
    </row>
    <row r="1408" spans="13:13">
      <c r="M1408" s="20"/>
    </row>
    <row r="1409" spans="13:13">
      <c r="M1409" s="20"/>
    </row>
    <row r="1410" spans="13:13">
      <c r="M1410" s="20"/>
    </row>
    <row r="1411" spans="13:13">
      <c r="M1411" s="20"/>
    </row>
    <row r="1412" spans="13:13">
      <c r="M1412" s="20"/>
    </row>
    <row r="1413" spans="13:13">
      <c r="M1413" s="20"/>
    </row>
    <row r="1414" spans="13:13">
      <c r="M1414" s="20"/>
    </row>
    <row r="1415" spans="13:13">
      <c r="M1415" s="20"/>
    </row>
    <row r="1416" spans="13:13">
      <c r="M1416" s="20"/>
    </row>
    <row r="1417" spans="13:13">
      <c r="M1417" s="20"/>
    </row>
    <row r="1418" spans="13:13">
      <c r="M1418" s="20"/>
    </row>
    <row r="1419" spans="13:13">
      <c r="M1419" s="20"/>
    </row>
    <row r="1420" spans="13:13">
      <c r="M1420" s="20"/>
    </row>
    <row r="1421" spans="13:13">
      <c r="M1421" s="20"/>
    </row>
    <row r="1422" spans="13:13">
      <c r="M1422" s="20"/>
    </row>
    <row r="1423" spans="13:13">
      <c r="M1423" s="20"/>
    </row>
    <row r="1424" spans="13:13">
      <c r="M1424" s="20"/>
    </row>
    <row r="1425" spans="13:13">
      <c r="M1425" s="20"/>
    </row>
    <row r="1426" spans="13:13">
      <c r="M1426" s="20"/>
    </row>
    <row r="1427" spans="13:13">
      <c r="M1427" s="20"/>
    </row>
    <row r="1428" spans="13:13">
      <c r="M1428" s="20"/>
    </row>
    <row r="1429" spans="13:13">
      <c r="M1429" s="20"/>
    </row>
    <row r="1430" spans="13:13">
      <c r="M1430" s="20"/>
    </row>
    <row r="1431" spans="13:13">
      <c r="M1431" s="20"/>
    </row>
    <row r="1432" spans="13:13">
      <c r="M1432" s="20"/>
    </row>
    <row r="1433" spans="13:13">
      <c r="M1433" s="20"/>
    </row>
    <row r="1434" spans="13:13">
      <c r="M1434" s="20"/>
    </row>
    <row r="1435" spans="13:13">
      <c r="M1435" s="20"/>
    </row>
    <row r="1436" spans="13:13">
      <c r="M1436" s="20"/>
    </row>
    <row r="1437" spans="13:13">
      <c r="M1437" s="20"/>
    </row>
    <row r="1438" spans="13:13">
      <c r="M1438" s="20"/>
    </row>
    <row r="1439" spans="13:13">
      <c r="M1439" s="20"/>
    </row>
    <row r="1440" spans="13:13">
      <c r="M1440" s="20"/>
    </row>
    <row r="1441" spans="13:13">
      <c r="M1441" s="20"/>
    </row>
    <row r="1442" spans="13:13">
      <c r="M1442" s="20"/>
    </row>
    <row r="1443" spans="13:13">
      <c r="M1443" s="20"/>
    </row>
    <row r="1444" spans="13:13">
      <c r="M1444" s="20"/>
    </row>
    <row r="1445" spans="13:13">
      <c r="M1445" s="20"/>
    </row>
    <row r="1446" spans="13:13">
      <c r="M1446" s="20"/>
    </row>
    <row r="1447" spans="13:13">
      <c r="M1447" s="20"/>
    </row>
    <row r="1448" spans="13:13">
      <c r="M1448" s="20"/>
    </row>
    <row r="1449" spans="13:13">
      <c r="M1449" s="20"/>
    </row>
    <row r="1450" spans="13:13">
      <c r="M1450" s="20"/>
    </row>
    <row r="1451" spans="13:13">
      <c r="M1451" s="20"/>
    </row>
    <row r="1452" spans="13:13">
      <c r="M1452" s="20"/>
    </row>
    <row r="1453" spans="13:13">
      <c r="M1453" s="20"/>
    </row>
    <row r="1454" spans="13:13">
      <c r="M1454" s="20"/>
    </row>
    <row r="1455" spans="13:13">
      <c r="M1455" s="20"/>
    </row>
    <row r="1456" spans="13:13">
      <c r="M1456" s="20"/>
    </row>
    <row r="1457" spans="13:13">
      <c r="M1457" s="20"/>
    </row>
    <row r="1458" spans="13:13">
      <c r="M1458" s="20"/>
    </row>
    <row r="1459" spans="13:13">
      <c r="M1459" s="20"/>
    </row>
    <row r="1460" spans="13:13">
      <c r="M1460" s="20"/>
    </row>
    <row r="1461" spans="13:13">
      <c r="M1461" s="20"/>
    </row>
    <row r="1462" spans="13:13">
      <c r="M1462" s="20"/>
    </row>
    <row r="1463" spans="13:13">
      <c r="M1463" s="20"/>
    </row>
    <row r="1464" spans="13:13">
      <c r="M1464" s="20"/>
    </row>
    <row r="1465" spans="13:13">
      <c r="M1465" s="20"/>
    </row>
    <row r="1466" spans="13:13">
      <c r="M1466" s="20"/>
    </row>
    <row r="1467" spans="13:13">
      <c r="M1467" s="20"/>
    </row>
    <row r="1468" spans="13:13">
      <c r="M1468" s="20"/>
    </row>
    <row r="1469" spans="13:13">
      <c r="M1469" s="20"/>
    </row>
    <row r="1470" spans="13:13">
      <c r="M1470" s="20"/>
    </row>
    <row r="1471" spans="13:13">
      <c r="M1471" s="20"/>
    </row>
    <row r="1472" spans="13:13">
      <c r="M1472" s="20"/>
    </row>
    <row r="1473" spans="13:13">
      <c r="M1473" s="20"/>
    </row>
    <row r="1474" spans="13:13">
      <c r="M1474" s="20"/>
    </row>
    <row r="1475" spans="13:13">
      <c r="M1475" s="20"/>
    </row>
    <row r="1476" spans="13:13">
      <c r="M1476" s="20"/>
    </row>
    <row r="1477" spans="13:13">
      <c r="M1477" s="20"/>
    </row>
    <row r="1478" spans="13:13">
      <c r="M1478" s="20"/>
    </row>
    <row r="1479" spans="13:13">
      <c r="M1479" s="20"/>
    </row>
    <row r="1480" spans="13:13">
      <c r="M1480" s="20"/>
    </row>
    <row r="1481" spans="13:13">
      <c r="M1481" s="20"/>
    </row>
    <row r="1482" spans="13:13">
      <c r="M1482" s="20"/>
    </row>
    <row r="1483" spans="13:13">
      <c r="M1483" s="20"/>
    </row>
    <row r="1484" spans="13:13">
      <c r="M1484" s="20"/>
    </row>
    <row r="1485" spans="13:13">
      <c r="M1485" s="20"/>
    </row>
    <row r="1486" spans="13:13">
      <c r="M1486" s="20"/>
    </row>
    <row r="1487" spans="13:13">
      <c r="M1487" s="20"/>
    </row>
    <row r="1488" spans="13:13">
      <c r="M1488" s="20"/>
    </row>
    <row r="1489" spans="13:13">
      <c r="M1489" s="20"/>
    </row>
    <row r="1490" spans="13:13">
      <c r="M1490" s="20"/>
    </row>
    <row r="1491" spans="13:13">
      <c r="M1491" s="20"/>
    </row>
    <row r="1492" spans="13:13">
      <c r="M1492" s="20"/>
    </row>
    <row r="1493" spans="13:13">
      <c r="M1493" s="20"/>
    </row>
    <row r="1494" spans="13:13">
      <c r="M1494" s="20"/>
    </row>
    <row r="1495" spans="13:13">
      <c r="M1495" s="20"/>
    </row>
    <row r="1496" spans="13:13">
      <c r="M1496" s="20"/>
    </row>
    <row r="1497" spans="13:13">
      <c r="M1497" s="20"/>
    </row>
    <row r="1498" spans="13:13">
      <c r="M1498" s="20"/>
    </row>
    <row r="1499" spans="13:13">
      <c r="M1499" s="20"/>
    </row>
    <row r="1500" spans="13:13">
      <c r="M1500" s="20"/>
    </row>
    <row r="1501" spans="13:13">
      <c r="M1501" s="20"/>
    </row>
    <row r="1502" spans="13:13">
      <c r="M1502" s="20"/>
    </row>
    <row r="1503" spans="13:13">
      <c r="M1503" s="20"/>
    </row>
    <row r="1504" spans="13:13">
      <c r="M1504" s="20"/>
    </row>
    <row r="1505" spans="13:13">
      <c r="M1505" s="20"/>
    </row>
    <row r="1506" spans="13:13">
      <c r="M1506" s="20"/>
    </row>
    <row r="1507" spans="13:13">
      <c r="M1507" s="20"/>
    </row>
    <row r="1508" spans="13:13">
      <c r="M1508" s="20"/>
    </row>
    <row r="1509" spans="13:13">
      <c r="M1509" s="20"/>
    </row>
    <row r="1510" spans="13:13">
      <c r="M1510" s="20"/>
    </row>
    <row r="1511" spans="13:13">
      <c r="M1511" s="20"/>
    </row>
    <row r="1512" spans="13:13">
      <c r="M1512" s="20"/>
    </row>
    <row r="1513" spans="13:13">
      <c r="M1513" s="20"/>
    </row>
    <row r="1514" spans="13:13">
      <c r="M1514" s="20"/>
    </row>
    <row r="1515" spans="13:13">
      <c r="M1515" s="20"/>
    </row>
    <row r="1516" spans="13:13">
      <c r="M1516" s="20"/>
    </row>
    <row r="1517" spans="13:13">
      <c r="M1517" s="20"/>
    </row>
    <row r="1518" spans="13:13">
      <c r="M1518" s="20"/>
    </row>
    <row r="1519" spans="13:13">
      <c r="M1519" s="20"/>
    </row>
    <row r="1520" spans="13:13">
      <c r="M1520" s="20"/>
    </row>
    <row r="1521" spans="13:13">
      <c r="M1521" s="20"/>
    </row>
    <row r="1522" spans="13:13">
      <c r="M1522" s="20"/>
    </row>
    <row r="1523" spans="13:13">
      <c r="M1523" s="20"/>
    </row>
    <row r="1524" spans="13:13">
      <c r="M1524" s="20"/>
    </row>
    <row r="1525" spans="13:13">
      <c r="M1525" s="20"/>
    </row>
    <row r="1526" spans="13:13">
      <c r="M1526" s="20"/>
    </row>
    <row r="1527" spans="13:13">
      <c r="M1527" s="20"/>
    </row>
    <row r="1528" spans="13:13">
      <c r="M1528" s="20"/>
    </row>
    <row r="1529" spans="13:13">
      <c r="M1529" s="20"/>
    </row>
    <row r="1530" spans="13:13">
      <c r="M1530" s="20"/>
    </row>
    <row r="1531" spans="13:13">
      <c r="M1531" s="20"/>
    </row>
    <row r="1532" spans="13:13">
      <c r="M1532" s="20"/>
    </row>
    <row r="1533" spans="13:13">
      <c r="M1533" s="20"/>
    </row>
    <row r="1534" spans="13:13">
      <c r="M1534" s="20"/>
    </row>
    <row r="1535" spans="13:13">
      <c r="M1535" s="20"/>
    </row>
    <row r="1536" spans="13:13">
      <c r="M1536" s="20"/>
    </row>
    <row r="1537" spans="13:13">
      <c r="M1537" s="20"/>
    </row>
    <row r="1538" spans="13:13">
      <c r="M1538" s="20"/>
    </row>
    <row r="1539" spans="13:13">
      <c r="M1539" s="20"/>
    </row>
    <row r="1540" spans="13:13">
      <c r="M1540" s="20"/>
    </row>
    <row r="1541" spans="13:13">
      <c r="M1541" s="20"/>
    </row>
    <row r="1542" spans="13:13">
      <c r="M1542" s="20"/>
    </row>
    <row r="1543" spans="13:13">
      <c r="M1543" s="20"/>
    </row>
    <row r="1544" spans="13:13">
      <c r="M1544" s="20"/>
    </row>
    <row r="1545" spans="13:13">
      <c r="M1545" s="20"/>
    </row>
    <row r="1546" spans="13:13">
      <c r="M1546" s="20"/>
    </row>
    <row r="1547" spans="13:13">
      <c r="M1547" s="20"/>
    </row>
    <row r="1548" spans="13:13">
      <c r="M1548" s="20"/>
    </row>
    <row r="1549" spans="13:13">
      <c r="M1549" s="20"/>
    </row>
    <row r="1550" spans="13:13">
      <c r="M1550" s="20"/>
    </row>
    <row r="1551" spans="13:13">
      <c r="M1551" s="20"/>
    </row>
    <row r="1552" spans="13:13">
      <c r="M1552" s="20"/>
    </row>
    <row r="1553" spans="13:13">
      <c r="M1553" s="20"/>
    </row>
    <row r="1554" spans="13:13">
      <c r="M1554" s="20"/>
    </row>
    <row r="1555" spans="13:13">
      <c r="M1555" s="20"/>
    </row>
    <row r="1556" spans="13:13">
      <c r="M1556" s="20"/>
    </row>
    <row r="1557" spans="13:13">
      <c r="M1557" s="20"/>
    </row>
    <row r="1558" spans="13:13">
      <c r="M1558" s="20"/>
    </row>
    <row r="1559" spans="13:13">
      <c r="M1559" s="20"/>
    </row>
    <row r="1560" spans="13:13">
      <c r="M1560" s="20"/>
    </row>
    <row r="1561" spans="13:13">
      <c r="M1561" s="20"/>
    </row>
    <row r="1562" spans="13:13">
      <c r="M1562" s="20"/>
    </row>
    <row r="1563" spans="13:13">
      <c r="M1563" s="20"/>
    </row>
    <row r="1564" spans="13:13">
      <c r="M1564" s="20"/>
    </row>
    <row r="1565" spans="13:13">
      <c r="M1565" s="20"/>
    </row>
    <row r="1566" spans="13:13">
      <c r="M1566" s="20"/>
    </row>
    <row r="1567" spans="13:13">
      <c r="M1567" s="20"/>
    </row>
    <row r="1568" spans="13:13">
      <c r="M1568" s="20"/>
    </row>
    <row r="1569" spans="13:13">
      <c r="M1569" s="20"/>
    </row>
    <row r="1570" spans="13:13">
      <c r="M1570" s="20"/>
    </row>
    <row r="1571" spans="13:13">
      <c r="M1571" s="20"/>
    </row>
    <row r="1572" spans="13:13">
      <c r="M1572" s="20"/>
    </row>
    <row r="1573" spans="13:13">
      <c r="M1573" s="20"/>
    </row>
    <row r="1574" spans="13:13">
      <c r="M1574" s="20"/>
    </row>
    <row r="1575" spans="13:13">
      <c r="M1575" s="20"/>
    </row>
    <row r="1576" spans="13:13">
      <c r="M1576" s="20"/>
    </row>
    <row r="1577" spans="13:13">
      <c r="M1577" s="20"/>
    </row>
    <row r="1578" spans="13:13">
      <c r="M1578" s="20"/>
    </row>
    <row r="1579" spans="13:13">
      <c r="M1579" s="20"/>
    </row>
    <row r="1580" spans="13:13">
      <c r="M1580" s="20"/>
    </row>
    <row r="1581" spans="13:13">
      <c r="M1581" s="20"/>
    </row>
    <row r="1582" spans="13:13">
      <c r="M1582" s="20"/>
    </row>
    <row r="1583" spans="13:13">
      <c r="M1583" s="20"/>
    </row>
    <row r="1584" spans="13:13">
      <c r="M1584" s="20"/>
    </row>
    <row r="1585" spans="13:13">
      <c r="M1585" s="20"/>
    </row>
    <row r="1586" spans="13:13">
      <c r="M1586" s="20"/>
    </row>
    <row r="1587" spans="13:13">
      <c r="M1587" s="20"/>
    </row>
    <row r="1588" spans="13:13">
      <c r="M1588" s="20"/>
    </row>
    <row r="1589" spans="13:13">
      <c r="M1589" s="20"/>
    </row>
    <row r="1590" spans="13:13">
      <c r="M1590" s="20"/>
    </row>
    <row r="1591" spans="13:13">
      <c r="M1591" s="20"/>
    </row>
    <row r="1592" spans="13:13">
      <c r="M1592" s="20"/>
    </row>
    <row r="1593" spans="13:13">
      <c r="M1593" s="20"/>
    </row>
    <row r="1594" spans="13:13">
      <c r="M1594" s="20"/>
    </row>
    <row r="1595" spans="13:13">
      <c r="M1595" s="20"/>
    </row>
    <row r="1596" spans="13:13">
      <c r="M1596" s="20"/>
    </row>
    <row r="1597" spans="13:13">
      <c r="M1597" s="20"/>
    </row>
    <row r="1598" spans="13:13">
      <c r="M1598" s="20"/>
    </row>
    <row r="1599" spans="13:13">
      <c r="M1599" s="20"/>
    </row>
    <row r="1600" spans="13:13">
      <c r="M1600" s="20"/>
    </row>
    <row r="1601" spans="13:13">
      <c r="M1601" s="20"/>
    </row>
    <row r="1602" spans="13:13">
      <c r="M1602" s="20"/>
    </row>
    <row r="1603" spans="13:13">
      <c r="M1603" s="20"/>
    </row>
    <row r="1604" spans="13:13">
      <c r="M1604" s="20"/>
    </row>
    <row r="1605" spans="13:13">
      <c r="M1605" s="20"/>
    </row>
    <row r="1606" spans="13:13">
      <c r="M1606" s="20"/>
    </row>
    <row r="1607" spans="13:13">
      <c r="M1607" s="20"/>
    </row>
    <row r="1608" spans="13:13">
      <c r="M1608" s="20"/>
    </row>
    <row r="1609" spans="13:13">
      <c r="M1609" s="20"/>
    </row>
    <row r="1610" spans="13:13">
      <c r="M1610" s="20"/>
    </row>
    <row r="1611" spans="13:13">
      <c r="M1611" s="20"/>
    </row>
    <row r="1612" spans="13:13">
      <c r="M1612" s="20"/>
    </row>
    <row r="1613" spans="13:13">
      <c r="M1613" s="20"/>
    </row>
    <row r="1614" spans="13:13">
      <c r="M1614" s="20"/>
    </row>
    <row r="1615" spans="13:13">
      <c r="M1615" s="20"/>
    </row>
    <row r="1616" spans="13:13">
      <c r="M1616" s="20"/>
    </row>
    <row r="1617" spans="13:13">
      <c r="M1617" s="20"/>
    </row>
    <row r="1618" spans="13:13">
      <c r="M1618" s="20"/>
    </row>
    <row r="1619" spans="13:13">
      <c r="M1619" s="20"/>
    </row>
    <row r="1620" spans="13:13">
      <c r="M1620" s="20"/>
    </row>
    <row r="1621" spans="13:13">
      <c r="M1621" s="20"/>
    </row>
    <row r="1622" spans="13:13">
      <c r="M1622" s="20"/>
    </row>
    <row r="1623" spans="13:13">
      <c r="M1623" s="20"/>
    </row>
    <row r="1624" spans="13:13">
      <c r="M1624" s="20"/>
    </row>
    <row r="1625" spans="13:13">
      <c r="M1625" s="20"/>
    </row>
    <row r="1626" spans="13:13">
      <c r="M1626" s="20"/>
    </row>
    <row r="1627" spans="13:13">
      <c r="M1627" s="20"/>
    </row>
    <row r="1628" spans="13:13">
      <c r="M1628" s="20"/>
    </row>
    <row r="1629" spans="13:13">
      <c r="M1629" s="20"/>
    </row>
    <row r="1630" spans="13:13">
      <c r="M1630" s="20"/>
    </row>
    <row r="1631" spans="13:13">
      <c r="M1631" s="20"/>
    </row>
    <row r="1632" spans="13:13">
      <c r="M1632" s="20"/>
    </row>
    <row r="1633" spans="13:13">
      <c r="M1633" s="20"/>
    </row>
    <row r="1634" spans="13:13">
      <c r="M1634" s="20"/>
    </row>
    <row r="1635" spans="13:13">
      <c r="M1635" s="20"/>
    </row>
    <row r="1636" spans="13:13">
      <c r="M1636" s="20"/>
    </row>
    <row r="1637" spans="13:13">
      <c r="M1637" s="20"/>
    </row>
    <row r="1638" spans="13:13">
      <c r="M1638" s="20"/>
    </row>
    <row r="1639" spans="13:13">
      <c r="M1639" s="20"/>
    </row>
    <row r="1640" spans="13:13">
      <c r="M1640" s="20"/>
    </row>
    <row r="1641" spans="13:13">
      <c r="M1641" s="20"/>
    </row>
    <row r="1642" spans="13:13">
      <c r="M1642" s="20"/>
    </row>
    <row r="1643" spans="13:13">
      <c r="M1643" s="20"/>
    </row>
    <row r="1644" spans="13:13">
      <c r="M1644" s="20"/>
    </row>
    <row r="1645" spans="13:13">
      <c r="M1645" s="20"/>
    </row>
    <row r="1646" spans="13:13">
      <c r="M1646" s="20"/>
    </row>
    <row r="1647" spans="13:13">
      <c r="M1647" s="20"/>
    </row>
    <row r="1648" spans="13:13">
      <c r="M1648" s="20"/>
    </row>
    <row r="1649" spans="13:13">
      <c r="M1649" s="20"/>
    </row>
    <row r="1650" spans="13:13">
      <c r="M1650" s="20"/>
    </row>
    <row r="1651" spans="13:13">
      <c r="M1651" s="20"/>
    </row>
    <row r="1652" spans="13:13">
      <c r="M1652" s="20"/>
    </row>
    <row r="1653" spans="13:13">
      <c r="M1653" s="20"/>
    </row>
    <row r="1654" spans="13:13">
      <c r="M1654" s="20"/>
    </row>
    <row r="1655" spans="13:13">
      <c r="M1655" s="20"/>
    </row>
    <row r="1656" spans="13:13">
      <c r="M1656" s="20"/>
    </row>
    <row r="1657" spans="13:13">
      <c r="M1657" s="20"/>
    </row>
    <row r="1658" spans="13:13">
      <c r="M1658" s="20"/>
    </row>
    <row r="1659" spans="13:13">
      <c r="M1659" s="20"/>
    </row>
    <row r="1660" spans="13:13">
      <c r="M1660" s="20"/>
    </row>
    <row r="1661" spans="13:13">
      <c r="M1661" s="20"/>
    </row>
    <row r="1662" spans="13:13">
      <c r="M1662" s="20"/>
    </row>
    <row r="1663" spans="13:13">
      <c r="M1663" s="20"/>
    </row>
    <row r="1664" spans="13:13">
      <c r="M1664" s="20"/>
    </row>
    <row r="1665" spans="13:13">
      <c r="M1665" s="20"/>
    </row>
    <row r="1666" spans="13:13">
      <c r="M1666" s="20"/>
    </row>
    <row r="1667" spans="13:13">
      <c r="M1667" s="20"/>
    </row>
    <row r="1668" spans="13:13">
      <c r="M1668" s="20"/>
    </row>
    <row r="1669" spans="13:13">
      <c r="M1669" s="20"/>
    </row>
    <row r="1670" spans="13:13">
      <c r="M1670" s="20"/>
    </row>
    <row r="1671" spans="13:13">
      <c r="M1671" s="20"/>
    </row>
    <row r="1672" spans="13:13">
      <c r="M1672" s="20"/>
    </row>
    <row r="1673" spans="13:13">
      <c r="M1673" s="20"/>
    </row>
    <row r="1674" spans="13:13">
      <c r="M1674" s="20"/>
    </row>
    <row r="1675" spans="13:13">
      <c r="M1675" s="20"/>
    </row>
    <row r="1676" spans="13:13">
      <c r="M1676" s="20"/>
    </row>
    <row r="1677" spans="13:13">
      <c r="M1677" s="20"/>
    </row>
    <row r="1678" spans="13:13">
      <c r="M1678" s="20"/>
    </row>
    <row r="1679" spans="13:13">
      <c r="M1679" s="20"/>
    </row>
    <row r="1680" spans="13:13">
      <c r="M1680" s="20"/>
    </row>
    <row r="1681" spans="13:13">
      <c r="M1681" s="20"/>
    </row>
    <row r="1682" spans="13:13">
      <c r="M1682" s="20"/>
    </row>
    <row r="1683" spans="13:13">
      <c r="M1683" s="20"/>
    </row>
    <row r="1684" spans="13:13">
      <c r="M1684" s="20"/>
    </row>
    <row r="1685" spans="13:13">
      <c r="M1685" s="20"/>
    </row>
    <row r="1686" spans="13:13">
      <c r="M1686" s="20"/>
    </row>
    <row r="1687" spans="13:13">
      <c r="M1687" s="20"/>
    </row>
    <row r="1688" spans="13:13">
      <c r="M1688" s="20"/>
    </row>
    <row r="1689" spans="13:13">
      <c r="M1689" s="20"/>
    </row>
    <row r="1690" spans="13:13">
      <c r="M1690" s="20"/>
    </row>
    <row r="1691" spans="13:13">
      <c r="M1691" s="20"/>
    </row>
    <row r="1692" spans="13:13">
      <c r="M1692" s="20"/>
    </row>
    <row r="1693" spans="13:13">
      <c r="M1693" s="20"/>
    </row>
    <row r="1694" spans="13:13">
      <c r="M1694" s="20"/>
    </row>
    <row r="1695" spans="13:13">
      <c r="M1695" s="20"/>
    </row>
    <row r="1696" spans="13:13">
      <c r="M1696" s="20"/>
    </row>
    <row r="1697" spans="13:13">
      <c r="M1697" s="20"/>
    </row>
    <row r="1698" spans="13:13">
      <c r="M1698" s="20"/>
    </row>
    <row r="1699" spans="13:13">
      <c r="M1699" s="20"/>
    </row>
    <row r="1700" spans="13:13">
      <c r="M1700" s="20"/>
    </row>
    <row r="1701" spans="13:13">
      <c r="M1701" s="20"/>
    </row>
    <row r="1702" spans="13:13">
      <c r="M1702" s="20"/>
    </row>
    <row r="1703" spans="13:13">
      <c r="M1703" s="20"/>
    </row>
    <row r="1704" spans="13:13">
      <c r="M1704" s="20"/>
    </row>
    <row r="1705" spans="13:13">
      <c r="M1705" s="20"/>
    </row>
    <row r="1706" spans="13:13">
      <c r="M1706" s="20"/>
    </row>
    <row r="1707" spans="13:13">
      <c r="M1707" s="20"/>
    </row>
    <row r="1708" spans="13:13">
      <c r="M1708" s="20"/>
    </row>
    <row r="1709" spans="13:13">
      <c r="M1709" s="20"/>
    </row>
    <row r="1710" spans="13:13">
      <c r="M1710" s="20"/>
    </row>
    <row r="1711" spans="13:13">
      <c r="M1711" s="20"/>
    </row>
    <row r="1712" spans="13:13">
      <c r="M1712" s="20"/>
    </row>
    <row r="1713" spans="13:13">
      <c r="M1713" s="20"/>
    </row>
    <row r="1714" spans="13:13">
      <c r="M1714" s="20"/>
    </row>
    <row r="1715" spans="13:13">
      <c r="M1715" s="20"/>
    </row>
    <row r="1716" spans="13:13">
      <c r="M1716" s="20"/>
    </row>
    <row r="1717" spans="13:13">
      <c r="M1717" s="20"/>
    </row>
    <row r="1718" spans="13:13">
      <c r="M1718" s="20"/>
    </row>
    <row r="1719" spans="13:13">
      <c r="M1719" s="20"/>
    </row>
    <row r="1720" spans="13:13">
      <c r="M1720" s="20"/>
    </row>
    <row r="1721" spans="13:13">
      <c r="M1721" s="20"/>
    </row>
    <row r="1722" spans="13:13">
      <c r="M1722" s="20"/>
    </row>
    <row r="1723" spans="13:13">
      <c r="M1723" s="20"/>
    </row>
    <row r="1724" spans="13:13">
      <c r="M1724" s="20"/>
    </row>
    <row r="1725" spans="13:13">
      <c r="M1725" s="20"/>
    </row>
    <row r="1726" spans="13:13">
      <c r="M1726" s="20"/>
    </row>
    <row r="1727" spans="13:13">
      <c r="M1727" s="20"/>
    </row>
    <row r="1728" spans="13:13">
      <c r="M1728" s="20"/>
    </row>
    <row r="1729" spans="13:13">
      <c r="M1729" s="20"/>
    </row>
    <row r="1730" spans="13:13">
      <c r="M1730" s="20"/>
    </row>
    <row r="1731" spans="13:13">
      <c r="M1731" s="20"/>
    </row>
    <row r="1732" spans="13:13">
      <c r="M1732" s="20"/>
    </row>
    <row r="1733" spans="13:13">
      <c r="M1733" s="20"/>
    </row>
    <row r="1734" spans="13:13">
      <c r="M1734" s="20"/>
    </row>
    <row r="1735" spans="13:13">
      <c r="M1735" s="20"/>
    </row>
    <row r="1736" spans="13:13">
      <c r="M1736" s="20"/>
    </row>
    <row r="1737" spans="13:13">
      <c r="M1737" s="20"/>
    </row>
    <row r="1738" spans="13:13">
      <c r="M1738" s="20"/>
    </row>
    <row r="1739" spans="13:13">
      <c r="M1739" s="20"/>
    </row>
    <row r="1740" spans="13:13">
      <c r="M1740" s="20"/>
    </row>
    <row r="1741" spans="13:13">
      <c r="M1741" s="20"/>
    </row>
    <row r="1742" spans="13:13">
      <c r="M1742" s="20"/>
    </row>
    <row r="1743" spans="13:13">
      <c r="M1743" s="20"/>
    </row>
    <row r="1744" spans="13:13">
      <c r="M1744" s="20"/>
    </row>
    <row r="1745" spans="13:13">
      <c r="M1745" s="20"/>
    </row>
    <row r="1746" spans="13:13">
      <c r="M1746" s="20"/>
    </row>
    <row r="1747" spans="13:13">
      <c r="M1747" s="20"/>
    </row>
    <row r="1748" spans="13:13">
      <c r="M1748" s="20"/>
    </row>
    <row r="1749" spans="13:13">
      <c r="M1749" s="20"/>
    </row>
    <row r="1750" spans="13:13">
      <c r="M1750" s="20"/>
    </row>
    <row r="1751" spans="13:13">
      <c r="M1751" s="20"/>
    </row>
    <row r="1752" spans="13:13">
      <c r="M1752" s="20"/>
    </row>
    <row r="1753" spans="13:13">
      <c r="M1753" s="20"/>
    </row>
    <row r="1754" spans="13:13">
      <c r="M1754" s="20"/>
    </row>
    <row r="1755" spans="13:13">
      <c r="M1755" s="20"/>
    </row>
    <row r="1756" spans="13:13">
      <c r="M1756" s="20"/>
    </row>
    <row r="1757" spans="13:13">
      <c r="M1757" s="20"/>
    </row>
    <row r="1758" spans="13:13">
      <c r="M1758" s="20"/>
    </row>
    <row r="1759" spans="13:13">
      <c r="M1759" s="20"/>
    </row>
    <row r="1760" spans="13:13">
      <c r="M1760" s="20"/>
    </row>
    <row r="1761" spans="13:13">
      <c r="M1761" s="20"/>
    </row>
    <row r="1762" spans="13:13">
      <c r="M1762" s="20"/>
    </row>
    <row r="1763" spans="13:13">
      <c r="M1763" s="20"/>
    </row>
    <row r="1764" spans="13:13">
      <c r="M1764" s="20"/>
    </row>
    <row r="1765" spans="13:13">
      <c r="M1765" s="20"/>
    </row>
    <row r="1766" spans="13:13">
      <c r="M1766" s="20"/>
    </row>
    <row r="1767" spans="13:13">
      <c r="M1767" s="20"/>
    </row>
    <row r="1768" spans="13:13">
      <c r="M1768" s="20"/>
    </row>
    <row r="1769" spans="13:13">
      <c r="M1769" s="20"/>
    </row>
    <row r="1770" spans="13:13">
      <c r="M1770" s="20"/>
    </row>
    <row r="1771" spans="13:13">
      <c r="M1771" s="20"/>
    </row>
    <row r="1772" spans="13:13">
      <c r="M1772" s="20"/>
    </row>
    <row r="1773" spans="13:13">
      <c r="M1773" s="20"/>
    </row>
    <row r="1774" spans="13:13">
      <c r="M1774" s="20"/>
    </row>
    <row r="1775" spans="13:13">
      <c r="M1775" s="20"/>
    </row>
    <row r="1776" spans="13:13">
      <c r="M1776" s="20"/>
    </row>
    <row r="1777" spans="13:13">
      <c r="M1777" s="20"/>
    </row>
    <row r="1778" spans="13:13">
      <c r="M1778" s="20"/>
    </row>
    <row r="1779" spans="13:13">
      <c r="M1779" s="20"/>
    </row>
    <row r="1780" spans="13:13">
      <c r="M1780" s="20"/>
    </row>
    <row r="1781" spans="13:13">
      <c r="M1781" s="20"/>
    </row>
    <row r="1782" spans="13:13">
      <c r="M1782" s="20"/>
    </row>
    <row r="1783" spans="13:13">
      <c r="M1783" s="20"/>
    </row>
    <row r="1784" spans="13:13">
      <c r="M1784" s="20"/>
    </row>
    <row r="1785" spans="13:13">
      <c r="M1785" s="20"/>
    </row>
    <row r="1786" spans="13:13">
      <c r="M1786" s="20"/>
    </row>
    <row r="1787" spans="13:13">
      <c r="M1787" s="20"/>
    </row>
    <row r="1788" spans="13:13">
      <c r="M1788" s="20"/>
    </row>
    <row r="1789" spans="13:13">
      <c r="M1789" s="20"/>
    </row>
    <row r="1790" spans="13:13">
      <c r="M1790" s="20"/>
    </row>
    <row r="1791" spans="13:13">
      <c r="M1791" s="20"/>
    </row>
    <row r="1792" spans="13:13">
      <c r="M1792" s="20"/>
    </row>
    <row r="1793" spans="13:13">
      <c r="M1793" s="20"/>
    </row>
    <row r="1794" spans="13:13">
      <c r="M1794" s="20"/>
    </row>
    <row r="1795" spans="13:13">
      <c r="M1795" s="20"/>
    </row>
    <row r="1796" spans="13:13">
      <c r="M1796" s="20"/>
    </row>
    <row r="1797" spans="13:13">
      <c r="M1797" s="20"/>
    </row>
    <row r="1798" spans="13:13">
      <c r="M1798" s="20"/>
    </row>
    <row r="1799" spans="13:13">
      <c r="M1799" s="20"/>
    </row>
    <row r="1800" spans="13:13">
      <c r="M1800" s="20"/>
    </row>
    <row r="1801" spans="13:13">
      <c r="M1801" s="20"/>
    </row>
    <row r="1802" spans="13:13">
      <c r="M1802" s="20"/>
    </row>
    <row r="1803" spans="13:13">
      <c r="M1803" s="20"/>
    </row>
    <row r="1804" spans="13:13">
      <c r="M1804" s="20"/>
    </row>
    <row r="1805" spans="13:13">
      <c r="M1805" s="20"/>
    </row>
    <row r="1806" spans="13:13">
      <c r="M1806" s="20"/>
    </row>
    <row r="1807" spans="13:13">
      <c r="M1807" s="20"/>
    </row>
    <row r="1808" spans="13:13">
      <c r="M1808" s="20"/>
    </row>
    <row r="1809" spans="13:13">
      <c r="M1809" s="20"/>
    </row>
    <row r="1810" spans="13:13">
      <c r="M1810" s="20"/>
    </row>
    <row r="1811" spans="13:13">
      <c r="M1811" s="20"/>
    </row>
    <row r="1812" spans="13:13">
      <c r="M1812" s="20"/>
    </row>
    <row r="1813" spans="13:13">
      <c r="M1813" s="20"/>
    </row>
    <row r="1814" spans="13:13">
      <c r="M1814" s="20"/>
    </row>
    <row r="1815" spans="13:13">
      <c r="M1815" s="20"/>
    </row>
    <row r="1816" spans="13:13">
      <c r="M1816" s="20"/>
    </row>
    <row r="1817" spans="13:13">
      <c r="M1817" s="20"/>
    </row>
    <row r="1818" spans="13:13">
      <c r="M1818" s="20"/>
    </row>
    <row r="1819" spans="13:13">
      <c r="M1819" s="20"/>
    </row>
    <row r="1820" spans="13:13">
      <c r="M1820" s="20"/>
    </row>
    <row r="1821" spans="13:13">
      <c r="M1821" s="20"/>
    </row>
    <row r="1822" spans="13:13">
      <c r="M1822" s="20"/>
    </row>
    <row r="1823" spans="13:13">
      <c r="M1823" s="20"/>
    </row>
    <row r="1824" spans="13:13">
      <c r="M1824" s="20"/>
    </row>
    <row r="1825" spans="13:13">
      <c r="M1825" s="20"/>
    </row>
    <row r="1826" spans="13:13">
      <c r="M1826" s="20"/>
    </row>
    <row r="1827" spans="13:13">
      <c r="M1827" s="20"/>
    </row>
    <row r="1828" spans="13:13">
      <c r="M1828" s="20"/>
    </row>
    <row r="1829" spans="13:13">
      <c r="M1829" s="20"/>
    </row>
    <row r="1830" spans="13:13">
      <c r="M1830" s="20"/>
    </row>
    <row r="1831" spans="13:13">
      <c r="M1831" s="20"/>
    </row>
    <row r="1832" spans="13:13">
      <c r="M1832" s="20"/>
    </row>
    <row r="1833" spans="13:13">
      <c r="M1833" s="20"/>
    </row>
    <row r="1834" spans="13:13">
      <c r="M1834" s="20"/>
    </row>
    <row r="1835" spans="13:13">
      <c r="M1835" s="20"/>
    </row>
    <row r="1836" spans="13:13">
      <c r="M1836" s="20"/>
    </row>
    <row r="1837" spans="13:13">
      <c r="M1837" s="20"/>
    </row>
    <row r="1838" spans="13:13">
      <c r="M1838" s="20"/>
    </row>
    <row r="1839" spans="13:13">
      <c r="M1839" s="20"/>
    </row>
    <row r="1840" spans="13:13">
      <c r="M1840" s="20"/>
    </row>
    <row r="1841" spans="13:13">
      <c r="M1841" s="20"/>
    </row>
    <row r="1842" spans="13:13">
      <c r="M1842" s="20"/>
    </row>
    <row r="1843" spans="13:13">
      <c r="M1843" s="20"/>
    </row>
    <row r="1844" spans="13:13">
      <c r="M1844" s="20"/>
    </row>
    <row r="1845" spans="13:13">
      <c r="M1845" s="20"/>
    </row>
    <row r="1846" spans="13:13">
      <c r="M1846" s="20"/>
    </row>
    <row r="1847" spans="13:13">
      <c r="M1847" s="20"/>
    </row>
    <row r="1848" spans="13:13">
      <c r="M1848" s="20"/>
    </row>
    <row r="1849" spans="13:13">
      <c r="M1849" s="20"/>
    </row>
    <row r="1850" spans="13:13">
      <c r="M1850" s="20"/>
    </row>
    <row r="1851" spans="13:13">
      <c r="M1851" s="20"/>
    </row>
    <row r="1852" spans="13:13">
      <c r="M1852" s="20"/>
    </row>
    <row r="1853" spans="13:13">
      <c r="M1853" s="20"/>
    </row>
    <row r="1854" spans="13:13">
      <c r="M1854" s="20"/>
    </row>
    <row r="1855" spans="13:13">
      <c r="M1855" s="20"/>
    </row>
    <row r="1856" spans="13:13">
      <c r="M1856" s="20"/>
    </row>
    <row r="1857" spans="13:13">
      <c r="M1857" s="20"/>
    </row>
    <row r="1858" spans="13:13">
      <c r="M1858" s="20"/>
    </row>
    <row r="1859" spans="13:13">
      <c r="M1859" s="20"/>
    </row>
    <row r="1860" spans="13:13">
      <c r="M1860" s="20"/>
    </row>
    <row r="1861" spans="13:13">
      <c r="M1861" s="20"/>
    </row>
    <row r="1862" spans="13:13">
      <c r="M1862" s="20"/>
    </row>
    <row r="1863" spans="13:13">
      <c r="M1863" s="20"/>
    </row>
    <row r="1864" spans="13:13">
      <c r="M1864" s="20"/>
    </row>
    <row r="1865" spans="13:13">
      <c r="M1865" s="20"/>
    </row>
    <row r="1866" spans="13:13">
      <c r="M1866" s="20"/>
    </row>
    <row r="1867" spans="13:13">
      <c r="M1867" s="20"/>
    </row>
    <row r="1868" spans="13:13">
      <c r="M1868" s="20"/>
    </row>
    <row r="1869" spans="13:13">
      <c r="M1869" s="20"/>
    </row>
    <row r="1870" spans="13:13">
      <c r="M1870" s="20"/>
    </row>
    <row r="1871" spans="13:13">
      <c r="M1871" s="20"/>
    </row>
    <row r="1872" spans="13:13">
      <c r="M1872" s="20"/>
    </row>
    <row r="1873" spans="13:13">
      <c r="M1873" s="20"/>
    </row>
    <row r="1874" spans="13:13">
      <c r="M1874" s="20"/>
    </row>
    <row r="1875" spans="13:13">
      <c r="M1875" s="20"/>
    </row>
    <row r="1876" spans="13:13">
      <c r="M1876" s="20"/>
    </row>
    <row r="1877" spans="13:13">
      <c r="M1877" s="20"/>
    </row>
    <row r="1878" spans="13:13">
      <c r="M1878" s="20"/>
    </row>
    <row r="1879" spans="13:13">
      <c r="M1879" s="20"/>
    </row>
    <row r="1880" spans="13:13">
      <c r="M1880" s="20"/>
    </row>
    <row r="1881" spans="13:13">
      <c r="M1881" s="20"/>
    </row>
    <row r="1882" spans="13:13">
      <c r="M1882" s="20"/>
    </row>
    <row r="1883" spans="13:13">
      <c r="M1883" s="20"/>
    </row>
    <row r="1884" spans="13:13">
      <c r="M1884" s="20"/>
    </row>
    <row r="1885" spans="13:13">
      <c r="M1885" s="20"/>
    </row>
    <row r="1886" spans="13:13">
      <c r="M1886" s="20"/>
    </row>
    <row r="1887" spans="13:13">
      <c r="M1887" s="20"/>
    </row>
    <row r="1888" spans="13:13">
      <c r="M1888" s="20"/>
    </row>
    <row r="1889" spans="13:13">
      <c r="M1889" s="20"/>
    </row>
    <row r="1890" spans="13:13">
      <c r="M1890" s="20"/>
    </row>
    <row r="1891" spans="13:13">
      <c r="M1891" s="20"/>
    </row>
    <row r="1892" spans="13:13">
      <c r="M1892" s="20"/>
    </row>
    <row r="1893" spans="13:13">
      <c r="M1893" s="20"/>
    </row>
    <row r="1894" spans="13:13">
      <c r="M1894" s="20"/>
    </row>
    <row r="1895" spans="13:13">
      <c r="M1895" s="20"/>
    </row>
    <row r="1896" spans="13:13">
      <c r="M1896" s="20"/>
    </row>
    <row r="1897" spans="13:13">
      <c r="M1897" s="20"/>
    </row>
    <row r="1898" spans="13:13">
      <c r="M1898" s="20"/>
    </row>
    <row r="1899" spans="13:13">
      <c r="M1899" s="20"/>
    </row>
    <row r="1900" spans="13:13">
      <c r="M1900" s="20"/>
    </row>
    <row r="1901" spans="13:13">
      <c r="M1901" s="20"/>
    </row>
    <row r="1902" spans="13:13">
      <c r="M1902" s="20"/>
    </row>
    <row r="1903" spans="13:13">
      <c r="M1903" s="20"/>
    </row>
    <row r="1904" spans="13:13">
      <c r="M1904" s="20"/>
    </row>
    <row r="1905" spans="13:13">
      <c r="M1905" s="20"/>
    </row>
    <row r="1906" spans="13:13">
      <c r="M1906" s="20"/>
    </row>
    <row r="1907" spans="13:13">
      <c r="M1907" s="20"/>
    </row>
    <row r="1908" spans="13:13">
      <c r="M1908" s="20"/>
    </row>
    <row r="1909" spans="13:13">
      <c r="M1909" s="20"/>
    </row>
    <row r="1910" spans="13:13">
      <c r="M1910" s="20"/>
    </row>
    <row r="1911" spans="13:13">
      <c r="M1911" s="20"/>
    </row>
    <row r="1912" spans="13:13">
      <c r="M1912" s="20"/>
    </row>
    <row r="1913" spans="13:13">
      <c r="M1913" s="20"/>
    </row>
    <row r="1914" spans="13:13">
      <c r="M1914" s="20"/>
    </row>
    <row r="1915" spans="13:13">
      <c r="M1915" s="20"/>
    </row>
    <row r="1916" spans="13:13">
      <c r="M1916" s="20"/>
    </row>
    <row r="1917" spans="13:13">
      <c r="M1917" s="20"/>
    </row>
    <row r="1918" spans="13:13">
      <c r="M1918" s="20"/>
    </row>
    <row r="1919" spans="13:13">
      <c r="M1919" s="20"/>
    </row>
    <row r="1920" spans="13:13">
      <c r="M1920" s="20"/>
    </row>
    <row r="1921" spans="13:13">
      <c r="M1921" s="20"/>
    </row>
    <row r="1922" spans="13:13">
      <c r="M1922" s="20"/>
    </row>
    <row r="1923" spans="13:13">
      <c r="M1923" s="20"/>
    </row>
    <row r="1924" spans="13:13">
      <c r="M1924" s="20"/>
    </row>
    <row r="1925" spans="13:13">
      <c r="M1925" s="20"/>
    </row>
    <row r="1926" spans="13:13">
      <c r="M1926" s="20"/>
    </row>
    <row r="1927" spans="13:13">
      <c r="M1927" s="20"/>
    </row>
    <row r="1928" spans="13:13">
      <c r="M1928" s="20"/>
    </row>
    <row r="1929" spans="13:13">
      <c r="M1929" s="20"/>
    </row>
    <row r="1930" spans="13:13">
      <c r="M1930" s="20"/>
    </row>
    <row r="1931" spans="13:13">
      <c r="M1931" s="20"/>
    </row>
    <row r="1932" spans="13:13">
      <c r="M1932" s="20"/>
    </row>
    <row r="1933" spans="13:13">
      <c r="M1933" s="20"/>
    </row>
    <row r="1934" spans="13:13">
      <c r="M1934" s="20"/>
    </row>
    <row r="1935" spans="13:13">
      <c r="M1935" s="20"/>
    </row>
    <row r="1936" spans="13:13">
      <c r="M1936" s="20"/>
    </row>
    <row r="1937" spans="13:13">
      <c r="M1937" s="20"/>
    </row>
    <row r="1938" spans="13:13">
      <c r="M1938" s="20"/>
    </row>
    <row r="1939" spans="13:13">
      <c r="M1939" s="20"/>
    </row>
    <row r="1940" spans="13:13">
      <c r="M1940" s="20"/>
    </row>
    <row r="1941" spans="13:13">
      <c r="M1941" s="20"/>
    </row>
    <row r="1942" spans="13:13">
      <c r="M1942" s="20"/>
    </row>
    <row r="1943" spans="13:13">
      <c r="M1943" s="20"/>
    </row>
    <row r="1944" spans="13:13">
      <c r="M1944" s="20"/>
    </row>
    <row r="1945" spans="13:13">
      <c r="M1945" s="20"/>
    </row>
    <row r="1946" spans="13:13">
      <c r="M1946" s="20"/>
    </row>
    <row r="1947" spans="13:13">
      <c r="M1947" s="20"/>
    </row>
    <row r="1948" spans="13:13">
      <c r="M1948" s="20"/>
    </row>
    <row r="1949" spans="13:13">
      <c r="M1949" s="20"/>
    </row>
    <row r="1950" spans="13:13">
      <c r="M1950" s="20"/>
    </row>
    <row r="1951" spans="13:13">
      <c r="M1951" s="20"/>
    </row>
    <row r="1952" spans="13:13">
      <c r="M1952" s="20"/>
    </row>
    <row r="1953" spans="13:13">
      <c r="M1953" s="20"/>
    </row>
    <row r="1954" spans="13:13">
      <c r="M1954" s="20"/>
    </row>
    <row r="1955" spans="13:13">
      <c r="M1955" s="20"/>
    </row>
    <row r="1956" spans="13:13">
      <c r="M1956" s="20"/>
    </row>
    <row r="1957" spans="13:13">
      <c r="M1957" s="20"/>
    </row>
    <row r="1958" spans="13:13">
      <c r="M1958" s="20"/>
    </row>
    <row r="1959" spans="13:13">
      <c r="M1959" s="20"/>
    </row>
    <row r="1960" spans="13:13">
      <c r="M1960" s="20"/>
    </row>
    <row r="1961" spans="13:13">
      <c r="M1961" s="20"/>
    </row>
    <row r="1962" spans="13:13">
      <c r="M1962" s="20"/>
    </row>
    <row r="1963" spans="13:13">
      <c r="M1963" s="20"/>
    </row>
    <row r="1964" spans="13:13">
      <c r="M1964" s="20"/>
    </row>
    <row r="1965" spans="13:13">
      <c r="M1965" s="20"/>
    </row>
    <row r="1966" spans="13:13">
      <c r="M1966" s="20"/>
    </row>
    <row r="1967" spans="13:13">
      <c r="M1967" s="20"/>
    </row>
    <row r="1968" spans="13:13">
      <c r="M1968" s="20"/>
    </row>
    <row r="1969" spans="13:13">
      <c r="M1969" s="20"/>
    </row>
    <row r="1970" spans="13:13">
      <c r="M1970" s="20"/>
    </row>
    <row r="1971" spans="13:13">
      <c r="M1971" s="20"/>
    </row>
    <row r="1972" spans="13:13">
      <c r="M1972" s="20"/>
    </row>
    <row r="1973" spans="13:13">
      <c r="M1973" s="20"/>
    </row>
    <row r="1974" spans="13:13">
      <c r="M1974" s="20"/>
    </row>
    <row r="1975" spans="13:13">
      <c r="M1975" s="20"/>
    </row>
    <row r="1976" spans="13:13">
      <c r="M1976" s="20"/>
    </row>
    <row r="1977" spans="13:13">
      <c r="M1977" s="20"/>
    </row>
    <row r="1978" spans="13:13">
      <c r="M1978" s="20"/>
    </row>
    <row r="1979" spans="13:13">
      <c r="M1979" s="20"/>
    </row>
    <row r="1980" spans="13:13">
      <c r="M1980" s="20"/>
    </row>
    <row r="1981" spans="13:13">
      <c r="M1981" s="20"/>
    </row>
    <row r="1982" spans="13:13">
      <c r="M1982" s="20"/>
    </row>
    <row r="1983" spans="13:13">
      <c r="M1983" s="20"/>
    </row>
    <row r="1984" spans="13:13">
      <c r="M1984" s="20"/>
    </row>
    <row r="1985" spans="13:13">
      <c r="M1985" s="20"/>
    </row>
    <row r="1986" spans="13:13">
      <c r="M1986" s="20"/>
    </row>
    <row r="1987" spans="13:13">
      <c r="M1987" s="20"/>
    </row>
    <row r="1988" spans="13:13">
      <c r="M1988" s="20"/>
    </row>
    <row r="1989" spans="13:13">
      <c r="M1989" s="20"/>
    </row>
    <row r="1990" spans="13:13">
      <c r="M1990" s="20"/>
    </row>
    <row r="1991" spans="13:13">
      <c r="M1991" s="20"/>
    </row>
    <row r="1992" spans="13:13">
      <c r="M1992" s="20"/>
    </row>
    <row r="1993" spans="13:13">
      <c r="M1993" s="20"/>
    </row>
    <row r="1994" spans="13:13">
      <c r="M1994" s="20"/>
    </row>
    <row r="1995" spans="13:13">
      <c r="M1995" s="20"/>
    </row>
    <row r="1996" spans="13:13">
      <c r="M1996" s="20"/>
    </row>
    <row r="1997" spans="13:13">
      <c r="M1997" s="20"/>
    </row>
    <row r="1998" spans="13:13">
      <c r="M1998" s="20"/>
    </row>
    <row r="1999" spans="13:13">
      <c r="M1999" s="20"/>
    </row>
    <row r="2000" spans="13:13">
      <c r="M2000" s="20"/>
    </row>
    <row r="2001" spans="13:13">
      <c r="M2001" s="20"/>
    </row>
    <row r="2002" spans="13:13">
      <c r="M2002" s="20"/>
    </row>
    <row r="2003" spans="13:13">
      <c r="M2003" s="20"/>
    </row>
    <row r="2004" spans="13:13">
      <c r="M2004" s="20"/>
    </row>
    <row r="2005" spans="13:13">
      <c r="M2005" s="20"/>
    </row>
    <row r="2006" spans="13:13">
      <c r="M2006" s="20"/>
    </row>
    <row r="2007" spans="13:13">
      <c r="M2007" s="20"/>
    </row>
    <row r="2008" spans="13:13">
      <c r="M2008" s="20"/>
    </row>
    <row r="2009" spans="13:13">
      <c r="M2009" s="20"/>
    </row>
    <row r="2010" spans="13:13">
      <c r="M2010" s="20"/>
    </row>
    <row r="2011" spans="13:13">
      <c r="M2011" s="20"/>
    </row>
    <row r="2012" spans="13:13">
      <c r="M2012" s="20"/>
    </row>
    <row r="2013" spans="13:13">
      <c r="M2013" s="20"/>
    </row>
    <row r="2014" spans="13:13">
      <c r="M2014" s="20"/>
    </row>
    <row r="2015" spans="13:13">
      <c r="M2015" s="20"/>
    </row>
    <row r="2016" spans="13:13">
      <c r="M2016" s="20"/>
    </row>
    <row r="2017" spans="13:13">
      <c r="M2017" s="20"/>
    </row>
    <row r="2018" spans="13:13">
      <c r="M2018" s="20"/>
    </row>
    <row r="2019" spans="13:13">
      <c r="M2019" s="20"/>
    </row>
    <row r="2020" spans="13:13">
      <c r="M2020" s="20"/>
    </row>
    <row r="2021" spans="13:13">
      <c r="M2021" s="20"/>
    </row>
    <row r="2022" spans="13:13">
      <c r="M2022" s="20"/>
    </row>
    <row r="2023" spans="13:13">
      <c r="M2023" s="20"/>
    </row>
    <row r="2024" spans="13:13">
      <c r="M2024" s="20"/>
    </row>
    <row r="2025" spans="13:13">
      <c r="M2025" s="20"/>
    </row>
    <row r="2026" spans="13:13">
      <c r="M2026" s="20"/>
    </row>
    <row r="2027" spans="13:13">
      <c r="M2027" s="20"/>
    </row>
    <row r="2028" spans="13:13">
      <c r="M2028" s="20"/>
    </row>
    <row r="2029" spans="13:13">
      <c r="M2029" s="20"/>
    </row>
    <row r="2030" spans="13:13">
      <c r="M2030" s="20"/>
    </row>
    <row r="2031" spans="13:13">
      <c r="M2031" s="20"/>
    </row>
    <row r="2032" spans="13:13">
      <c r="M2032" s="20"/>
    </row>
    <row r="2033" spans="13:13">
      <c r="M2033" s="20"/>
    </row>
    <row r="2034" spans="13:13">
      <c r="M2034" s="20"/>
    </row>
    <row r="2035" spans="13:13">
      <c r="M2035" s="20"/>
    </row>
    <row r="2036" spans="13:13">
      <c r="M2036" s="20"/>
    </row>
    <row r="2037" spans="13:13">
      <c r="M2037" s="20"/>
    </row>
    <row r="2038" spans="13:13">
      <c r="M2038" s="20"/>
    </row>
    <row r="2039" spans="13:13">
      <c r="M2039" s="20"/>
    </row>
    <row r="2040" spans="13:13">
      <c r="M2040" s="20"/>
    </row>
    <row r="2041" spans="13:13">
      <c r="M2041" s="20"/>
    </row>
    <row r="2042" spans="13:13">
      <c r="M2042" s="20"/>
    </row>
    <row r="2043" spans="13:13">
      <c r="M2043" s="20"/>
    </row>
    <row r="2044" spans="13:13">
      <c r="M2044" s="20"/>
    </row>
    <row r="2045" spans="13:13">
      <c r="M2045" s="20"/>
    </row>
    <row r="2046" spans="13:13">
      <c r="M2046" s="20"/>
    </row>
    <row r="2047" spans="13:13">
      <c r="M2047" s="20"/>
    </row>
    <row r="2048" spans="13:13">
      <c r="M2048" s="20"/>
    </row>
    <row r="2049" spans="13:13">
      <c r="M2049" s="20"/>
    </row>
    <row r="2050" spans="13:13">
      <c r="M2050" s="20"/>
    </row>
    <row r="2051" spans="13:13">
      <c r="M2051" s="20"/>
    </row>
    <row r="2052" spans="13:13">
      <c r="M2052" s="20"/>
    </row>
    <row r="2053" spans="13:13">
      <c r="M2053" s="20"/>
    </row>
    <row r="2054" spans="13:13">
      <c r="M2054" s="20"/>
    </row>
    <row r="2055" spans="13:13">
      <c r="M2055" s="20"/>
    </row>
    <row r="2056" spans="13:13">
      <c r="M2056" s="20"/>
    </row>
    <row r="2057" spans="13:13">
      <c r="M2057" s="20"/>
    </row>
    <row r="2058" spans="13:13">
      <c r="M2058" s="20"/>
    </row>
    <row r="2059" spans="13:13">
      <c r="M2059" s="20"/>
    </row>
    <row r="2060" spans="13:13">
      <c r="M2060" s="20"/>
    </row>
    <row r="2061" spans="13:13">
      <c r="M2061" s="20"/>
    </row>
    <row r="2062" spans="13:13">
      <c r="M2062" s="20"/>
    </row>
    <row r="2063" spans="13:13">
      <c r="M2063" s="20"/>
    </row>
    <row r="2064" spans="13:13">
      <c r="M2064" s="20"/>
    </row>
    <row r="2065" spans="13:13">
      <c r="M2065" s="20"/>
    </row>
    <row r="2066" spans="13:13">
      <c r="M2066" s="20"/>
    </row>
    <row r="2067" spans="13:13">
      <c r="M2067" s="20"/>
    </row>
    <row r="2068" spans="13:13">
      <c r="M2068" s="20"/>
    </row>
    <row r="2069" spans="13:13">
      <c r="M2069" s="20"/>
    </row>
    <row r="2070" spans="13:13">
      <c r="M2070" s="20"/>
    </row>
    <row r="2071" spans="13:13">
      <c r="M2071" s="20"/>
    </row>
    <row r="2072" spans="13:13">
      <c r="M2072" s="20"/>
    </row>
    <row r="2073" spans="13:13">
      <c r="M2073" s="20"/>
    </row>
    <row r="2074" spans="13:13">
      <c r="M2074" s="20"/>
    </row>
    <row r="2075" spans="13:13">
      <c r="M2075" s="20"/>
    </row>
    <row r="2076" spans="13:13">
      <c r="M2076" s="20"/>
    </row>
    <row r="2077" spans="13:13">
      <c r="M2077" s="20"/>
    </row>
    <row r="2078" spans="13:13">
      <c r="M2078" s="20"/>
    </row>
    <row r="2079" spans="13:13">
      <c r="M2079" s="20"/>
    </row>
    <row r="2080" spans="13:13">
      <c r="M2080" s="20"/>
    </row>
    <row r="2081" spans="13:13">
      <c r="M2081" s="20"/>
    </row>
    <row r="2082" spans="13:13">
      <c r="M2082" s="20"/>
    </row>
    <row r="2083" spans="13:13">
      <c r="M2083" s="20"/>
    </row>
    <row r="2084" spans="13:13">
      <c r="M2084" s="20"/>
    </row>
    <row r="2085" spans="13:13">
      <c r="M2085" s="20"/>
    </row>
    <row r="2086" spans="13:13">
      <c r="M2086" s="20"/>
    </row>
    <row r="2087" spans="13:13">
      <c r="M2087" s="20"/>
    </row>
    <row r="2088" spans="13:13">
      <c r="M2088" s="20"/>
    </row>
    <row r="2089" spans="13:13">
      <c r="M2089" s="20"/>
    </row>
    <row r="2090" spans="13:13">
      <c r="M2090" s="20"/>
    </row>
    <row r="2091" spans="13:13">
      <c r="M2091" s="20"/>
    </row>
    <row r="2092" spans="13:13">
      <c r="M2092" s="20"/>
    </row>
    <row r="2093" spans="13:13">
      <c r="M2093" s="20"/>
    </row>
    <row r="2094" spans="13:13">
      <c r="M2094" s="20"/>
    </row>
    <row r="2095" spans="13:13">
      <c r="M2095" s="20"/>
    </row>
    <row r="2096" spans="13:13">
      <c r="M2096" s="20"/>
    </row>
    <row r="2097" spans="13:13">
      <c r="M2097" s="20"/>
    </row>
    <row r="2098" spans="13:13">
      <c r="M2098" s="20"/>
    </row>
    <row r="2099" spans="13:13">
      <c r="M2099" s="20"/>
    </row>
    <row r="2100" spans="13:13">
      <c r="M2100" s="20"/>
    </row>
    <row r="2101" spans="13:13">
      <c r="M2101" s="20"/>
    </row>
    <row r="2102" spans="13:13">
      <c r="M2102" s="20"/>
    </row>
    <row r="2103" spans="13:13">
      <c r="M2103" s="20"/>
    </row>
    <row r="2104" spans="13:13">
      <c r="M2104" s="20"/>
    </row>
    <row r="2105" spans="13:13">
      <c r="M2105" s="20"/>
    </row>
    <row r="2106" spans="13:13">
      <c r="M2106" s="20"/>
    </row>
    <row r="2107" spans="13:13">
      <c r="M2107" s="20"/>
    </row>
    <row r="2108" spans="13:13">
      <c r="M2108" s="20"/>
    </row>
    <row r="2109" spans="13:13">
      <c r="M2109" s="20"/>
    </row>
    <row r="2110" spans="13:13">
      <c r="M2110" s="20"/>
    </row>
    <row r="2111" spans="13:13">
      <c r="M2111" s="20"/>
    </row>
    <row r="2112" spans="13:13">
      <c r="M2112" s="20"/>
    </row>
    <row r="2113" spans="13:13">
      <c r="M2113" s="20"/>
    </row>
    <row r="2114" spans="13:13">
      <c r="M2114" s="20"/>
    </row>
    <row r="2115" spans="13:13">
      <c r="M2115" s="20"/>
    </row>
    <row r="2116" spans="13:13">
      <c r="M2116" s="20"/>
    </row>
    <row r="2117" spans="13:13">
      <c r="M2117" s="20"/>
    </row>
    <row r="2118" spans="13:13">
      <c r="M2118" s="20"/>
    </row>
    <row r="2119" spans="13:13">
      <c r="M2119" s="20"/>
    </row>
    <row r="2120" spans="13:13">
      <c r="M2120" s="20"/>
    </row>
    <row r="2121" spans="13:13">
      <c r="M2121" s="20"/>
    </row>
    <row r="2122" spans="13:13">
      <c r="M2122" s="20"/>
    </row>
    <row r="2123" spans="13:13">
      <c r="M2123" s="20"/>
    </row>
    <row r="2124" spans="13:13">
      <c r="M2124" s="20"/>
    </row>
    <row r="2125" spans="13:13">
      <c r="M2125" s="20"/>
    </row>
    <row r="2126" spans="13:13">
      <c r="M2126" s="20"/>
    </row>
    <row r="2127" spans="13:13">
      <c r="M2127" s="20"/>
    </row>
    <row r="2128" spans="13:13">
      <c r="M2128" s="20"/>
    </row>
    <row r="2129" spans="13:13">
      <c r="M2129" s="20"/>
    </row>
    <row r="2130" spans="13:13">
      <c r="M2130" s="20"/>
    </row>
    <row r="2131" spans="13:13">
      <c r="M2131" s="20"/>
    </row>
    <row r="2132" spans="13:13">
      <c r="M2132" s="20"/>
    </row>
    <row r="2133" spans="13:13">
      <c r="M2133" s="20"/>
    </row>
    <row r="2134" spans="13:13">
      <c r="M2134" s="20"/>
    </row>
    <row r="2135" spans="13:13">
      <c r="M2135" s="20"/>
    </row>
    <row r="2136" spans="13:13">
      <c r="M2136" s="20"/>
    </row>
    <row r="2137" spans="13:13">
      <c r="M2137" s="20"/>
    </row>
    <row r="2138" spans="13:13">
      <c r="M2138" s="20"/>
    </row>
    <row r="2139" spans="13:13">
      <c r="M2139" s="20"/>
    </row>
    <row r="2140" spans="13:13">
      <c r="M2140" s="20"/>
    </row>
    <row r="2141" spans="13:13">
      <c r="M2141" s="20"/>
    </row>
    <row r="2142" spans="13:13">
      <c r="M2142" s="20"/>
    </row>
    <row r="2143" spans="13:13">
      <c r="M2143" s="20"/>
    </row>
    <row r="2144" spans="13:13">
      <c r="M2144" s="20"/>
    </row>
    <row r="2145" spans="13:13">
      <c r="M2145" s="20"/>
    </row>
    <row r="2146" spans="13:13">
      <c r="M2146" s="20"/>
    </row>
    <row r="2147" spans="13:13">
      <c r="M2147" s="20"/>
    </row>
    <row r="2148" spans="13:13">
      <c r="M2148" s="20"/>
    </row>
    <row r="2149" spans="13:13">
      <c r="M2149" s="20"/>
    </row>
    <row r="2150" spans="13:13">
      <c r="M2150" s="20"/>
    </row>
    <row r="2151" spans="13:13">
      <c r="M2151" s="20"/>
    </row>
    <row r="2152" spans="13:13">
      <c r="M2152" s="20"/>
    </row>
    <row r="2153" spans="13:13">
      <c r="M2153" s="20"/>
    </row>
    <row r="2154" spans="13:13">
      <c r="M2154" s="20"/>
    </row>
    <row r="2155" spans="13:13">
      <c r="M2155" s="20"/>
    </row>
    <row r="2156" spans="13:13">
      <c r="M2156" s="20"/>
    </row>
    <row r="2157" spans="13:13">
      <c r="M2157" s="20"/>
    </row>
    <row r="2158" spans="13:13">
      <c r="M2158" s="20"/>
    </row>
    <row r="2159" spans="13:13">
      <c r="M2159" s="20"/>
    </row>
    <row r="2160" spans="13:13">
      <c r="M2160" s="20"/>
    </row>
    <row r="2161" spans="13:13">
      <c r="M2161" s="20"/>
    </row>
    <row r="2162" spans="13:13">
      <c r="M2162" s="20"/>
    </row>
    <row r="2163" spans="13:13">
      <c r="M2163" s="20"/>
    </row>
    <row r="2164" spans="13:13">
      <c r="M2164" s="20"/>
    </row>
    <row r="2165" spans="13:13">
      <c r="M2165" s="20"/>
    </row>
    <row r="2166" spans="13:13">
      <c r="M2166" s="20"/>
    </row>
    <row r="2167" spans="13:13">
      <c r="M2167" s="20"/>
    </row>
    <row r="2168" spans="13:13">
      <c r="M2168" s="20"/>
    </row>
    <row r="2169" spans="13:13">
      <c r="M2169" s="20"/>
    </row>
    <row r="2170" spans="13:13">
      <c r="M2170" s="20"/>
    </row>
    <row r="2171" spans="13:13">
      <c r="M2171" s="20"/>
    </row>
    <row r="2172" spans="13:13">
      <c r="M2172" s="20"/>
    </row>
    <row r="2173" spans="13:13">
      <c r="M2173" s="20"/>
    </row>
    <row r="2174" spans="13:13">
      <c r="M2174" s="20"/>
    </row>
    <row r="2175" spans="13:13">
      <c r="M2175" s="20"/>
    </row>
    <row r="2176" spans="13:13">
      <c r="M2176" s="20"/>
    </row>
    <row r="2177" spans="13:13">
      <c r="M2177" s="20"/>
    </row>
    <row r="2178" spans="13:13">
      <c r="M2178" s="20"/>
    </row>
    <row r="2179" spans="13:13">
      <c r="M2179" s="20"/>
    </row>
    <row r="2180" spans="13:13">
      <c r="M2180" s="20"/>
    </row>
    <row r="2181" spans="13:13">
      <c r="M2181" s="20"/>
    </row>
    <row r="2182" spans="13:13">
      <c r="M2182" s="20"/>
    </row>
    <row r="2183" spans="13:13">
      <c r="M2183" s="20"/>
    </row>
    <row r="2184" spans="13:13">
      <c r="M2184" s="20"/>
    </row>
    <row r="2185" spans="13:13">
      <c r="M2185" s="20"/>
    </row>
    <row r="2186" spans="13:13">
      <c r="M2186" s="20"/>
    </row>
    <row r="2187" spans="13:13">
      <c r="M2187" s="20"/>
    </row>
    <row r="2188" spans="13:13">
      <c r="M2188" s="20"/>
    </row>
    <row r="2189" spans="13:13">
      <c r="M2189" s="20"/>
    </row>
    <row r="2190" spans="13:13">
      <c r="M2190" s="20"/>
    </row>
    <row r="2191" spans="13:13">
      <c r="M2191" s="20"/>
    </row>
    <row r="2192" spans="13:13">
      <c r="M2192" s="20"/>
    </row>
    <row r="2193" spans="13:13">
      <c r="M2193" s="20"/>
    </row>
    <row r="2194" spans="13:13">
      <c r="M2194" s="20"/>
    </row>
    <row r="2195" spans="13:13">
      <c r="M2195" s="20"/>
    </row>
    <row r="2196" spans="13:13">
      <c r="M2196" s="20"/>
    </row>
    <row r="2197" spans="13:13">
      <c r="M2197" s="20"/>
    </row>
    <row r="2198" spans="13:13">
      <c r="M2198" s="20"/>
    </row>
    <row r="2199" spans="13:13">
      <c r="M2199" s="20"/>
    </row>
    <row r="2200" spans="13:13">
      <c r="M2200" s="20"/>
    </row>
    <row r="2201" spans="13:13">
      <c r="M2201" s="20"/>
    </row>
    <row r="2202" spans="13:13">
      <c r="M2202" s="20"/>
    </row>
    <row r="2203" spans="13:13">
      <c r="M2203" s="20"/>
    </row>
    <row r="2204" spans="13:13">
      <c r="M2204" s="20"/>
    </row>
    <row r="2205" spans="13:13">
      <c r="M2205" s="20"/>
    </row>
    <row r="2206" spans="13:13">
      <c r="M2206" s="20"/>
    </row>
    <row r="2207" spans="13:13">
      <c r="M2207" s="20"/>
    </row>
    <row r="2208" spans="13:13">
      <c r="M2208" s="20"/>
    </row>
    <row r="2209" spans="13:13">
      <c r="M2209" s="20"/>
    </row>
    <row r="2210" spans="13:13">
      <c r="M2210" s="20"/>
    </row>
    <row r="2211" spans="13:13">
      <c r="M2211" s="20"/>
    </row>
    <row r="2212" spans="13:13">
      <c r="M2212" s="20"/>
    </row>
    <row r="2213" spans="13:13">
      <c r="M2213" s="20"/>
    </row>
    <row r="2214" spans="13:13">
      <c r="M2214" s="20"/>
    </row>
    <row r="2215" spans="13:13">
      <c r="M2215" s="20"/>
    </row>
    <row r="2216" spans="13:13">
      <c r="M2216" s="20"/>
    </row>
    <row r="2217" spans="13:13">
      <c r="M2217" s="20"/>
    </row>
    <row r="2218" spans="13:13">
      <c r="M2218" s="20"/>
    </row>
    <row r="2219" spans="13:13">
      <c r="M2219" s="20"/>
    </row>
    <row r="2220" spans="13:13">
      <c r="M2220" s="20"/>
    </row>
    <row r="2221" spans="13:13">
      <c r="M2221" s="20"/>
    </row>
    <row r="2222" spans="13:13">
      <c r="M2222" s="20"/>
    </row>
    <row r="2223" spans="13:13">
      <c r="M2223" s="20"/>
    </row>
    <row r="2224" spans="13:13">
      <c r="M2224" s="20"/>
    </row>
    <row r="2225" spans="13:13">
      <c r="M2225" s="20"/>
    </row>
    <row r="2226" spans="13:13">
      <c r="M2226" s="20"/>
    </row>
    <row r="2227" spans="13:13">
      <c r="M2227" s="20"/>
    </row>
    <row r="2228" spans="13:13">
      <c r="M2228" s="20"/>
    </row>
    <row r="2229" spans="13:13">
      <c r="M2229" s="20"/>
    </row>
    <row r="2230" spans="13:13">
      <c r="M2230" s="20"/>
    </row>
    <row r="2231" spans="13:13">
      <c r="M2231" s="20"/>
    </row>
    <row r="2232" spans="13:13">
      <c r="M2232" s="20"/>
    </row>
    <row r="2233" spans="13:13">
      <c r="M2233" s="20"/>
    </row>
    <row r="2234" spans="13:13">
      <c r="M2234" s="20"/>
    </row>
    <row r="2235" spans="13:13">
      <c r="M2235" s="20"/>
    </row>
    <row r="2236" spans="13:13">
      <c r="M2236" s="20"/>
    </row>
    <row r="2237" spans="13:13">
      <c r="M2237" s="20"/>
    </row>
    <row r="2238" spans="13:13">
      <c r="M2238" s="20"/>
    </row>
    <row r="2239" spans="13:13">
      <c r="M2239" s="20"/>
    </row>
    <row r="2240" spans="13:13">
      <c r="M2240" s="20"/>
    </row>
    <row r="2241" spans="13:13">
      <c r="M2241" s="20"/>
    </row>
    <row r="2242" spans="13:13">
      <c r="M2242" s="20"/>
    </row>
    <row r="2243" spans="13:13">
      <c r="M2243" s="20"/>
    </row>
    <row r="2244" spans="13:13">
      <c r="M2244" s="20"/>
    </row>
    <row r="2245" spans="13:13">
      <c r="M2245" s="20"/>
    </row>
    <row r="2246" spans="13:13">
      <c r="M2246" s="20"/>
    </row>
    <row r="2247" spans="13:13">
      <c r="M2247" s="20"/>
    </row>
    <row r="2248" spans="13:13">
      <c r="M2248" s="20"/>
    </row>
    <row r="2249" spans="13:13">
      <c r="M2249" s="20"/>
    </row>
    <row r="2250" spans="13:13">
      <c r="M2250" s="20"/>
    </row>
    <row r="2251" spans="13:13">
      <c r="M2251" s="20"/>
    </row>
    <row r="2252" spans="13:13">
      <c r="M2252" s="20"/>
    </row>
    <row r="2253" spans="13:13">
      <c r="M2253" s="20"/>
    </row>
    <row r="2254" spans="13:13">
      <c r="M2254" s="20"/>
    </row>
    <row r="2255" spans="13:13">
      <c r="M2255" s="20"/>
    </row>
    <row r="2256" spans="13:13">
      <c r="M2256" s="20"/>
    </row>
    <row r="2257" spans="13:13">
      <c r="M2257" s="20"/>
    </row>
    <row r="2258" spans="13:13">
      <c r="M2258" s="20"/>
    </row>
    <row r="2259" spans="13:13">
      <c r="M2259" s="20"/>
    </row>
    <row r="2260" spans="13:13">
      <c r="M2260" s="20"/>
    </row>
    <row r="2261" spans="13:13">
      <c r="M2261" s="20"/>
    </row>
    <row r="2262" spans="13:13">
      <c r="M2262" s="20"/>
    </row>
    <row r="2263" spans="13:13">
      <c r="M2263" s="20"/>
    </row>
    <row r="2264" spans="13:13">
      <c r="M2264" s="20"/>
    </row>
    <row r="2265" spans="13:13">
      <c r="M2265" s="20"/>
    </row>
    <row r="2266" spans="13:13">
      <c r="M2266" s="20"/>
    </row>
    <row r="2267" spans="13:13">
      <c r="M2267" s="20"/>
    </row>
    <row r="2268" spans="13:13">
      <c r="M2268" s="20"/>
    </row>
    <row r="2269" spans="13:13">
      <c r="M2269" s="20"/>
    </row>
    <row r="2270" spans="13:13">
      <c r="M2270" s="20"/>
    </row>
    <row r="2271" spans="13:13">
      <c r="M2271" s="20"/>
    </row>
    <row r="2272" spans="13:13">
      <c r="M2272" s="20"/>
    </row>
    <row r="2273" spans="13:13">
      <c r="M2273" s="20"/>
    </row>
    <row r="2274" spans="13:13">
      <c r="M2274" s="20"/>
    </row>
    <row r="2275" spans="13:13">
      <c r="M2275" s="20"/>
    </row>
    <row r="2276" spans="13:13">
      <c r="M2276" s="20"/>
    </row>
    <row r="2277" spans="13:13">
      <c r="M2277" s="20"/>
    </row>
    <row r="2278" spans="13:13">
      <c r="M2278" s="20"/>
    </row>
    <row r="2279" spans="13:13">
      <c r="M2279" s="20"/>
    </row>
    <row r="2280" spans="13:13">
      <c r="M2280" s="20"/>
    </row>
    <row r="2281" spans="13:13">
      <c r="M2281" s="20"/>
    </row>
    <row r="2282" spans="13:13">
      <c r="M2282" s="20"/>
    </row>
    <row r="2283" spans="13:13">
      <c r="M2283" s="20"/>
    </row>
    <row r="2284" spans="13:13">
      <c r="M2284" s="20"/>
    </row>
    <row r="2285" spans="13:13">
      <c r="M2285" s="20"/>
    </row>
    <row r="2286" spans="13:13">
      <c r="M2286" s="20"/>
    </row>
    <row r="2287" spans="13:13">
      <c r="M2287" s="20"/>
    </row>
    <row r="2288" spans="13:13">
      <c r="M2288" s="20"/>
    </row>
    <row r="2289" spans="13:13">
      <c r="M2289" s="20"/>
    </row>
    <row r="2290" spans="13:13">
      <c r="M2290" s="20"/>
    </row>
    <row r="2291" spans="13:13">
      <c r="M2291" s="20"/>
    </row>
    <row r="2292" spans="13:13">
      <c r="M2292" s="20"/>
    </row>
    <row r="2293" spans="13:13">
      <c r="M2293" s="20"/>
    </row>
    <row r="2294" spans="13:13">
      <c r="M2294" s="20"/>
    </row>
    <row r="2295" spans="13:13">
      <c r="M2295" s="20"/>
    </row>
    <row r="2296" spans="13:13">
      <c r="M2296" s="20"/>
    </row>
    <row r="2297" spans="13:13">
      <c r="M2297" s="20"/>
    </row>
    <row r="2298" spans="13:13">
      <c r="M2298" s="20"/>
    </row>
    <row r="2299" spans="13:13">
      <c r="M2299" s="20"/>
    </row>
    <row r="2300" spans="13:13">
      <c r="M2300" s="20"/>
    </row>
    <row r="2301" spans="13:13">
      <c r="M2301" s="20"/>
    </row>
    <row r="2302" spans="13:13">
      <c r="M2302" s="20"/>
    </row>
    <row r="2303" spans="13:13">
      <c r="M2303" s="20"/>
    </row>
    <row r="2304" spans="13:13">
      <c r="M2304" s="20"/>
    </row>
    <row r="2305" spans="13:13">
      <c r="M2305" s="20"/>
    </row>
    <row r="2306" spans="13:13">
      <c r="M2306" s="20"/>
    </row>
    <row r="2307" spans="13:13">
      <c r="M2307" s="20"/>
    </row>
    <row r="2308" spans="13:13">
      <c r="M2308" s="20"/>
    </row>
    <row r="2309" spans="13:13">
      <c r="M2309" s="20"/>
    </row>
    <row r="2310" spans="13:13">
      <c r="M2310" s="20"/>
    </row>
    <row r="2311" spans="13:13">
      <c r="M2311" s="20"/>
    </row>
    <row r="2312" spans="13:13">
      <c r="M2312" s="20"/>
    </row>
    <row r="2313" spans="13:13">
      <c r="M2313" s="20"/>
    </row>
    <row r="2314" spans="13:13">
      <c r="M2314" s="20"/>
    </row>
    <row r="2315" spans="13:13">
      <c r="M2315" s="20"/>
    </row>
    <row r="2316" spans="13:13">
      <c r="M2316" s="20"/>
    </row>
    <row r="2317" spans="13:13">
      <c r="M2317" s="20"/>
    </row>
    <row r="2318" spans="13:13">
      <c r="M2318" s="20"/>
    </row>
    <row r="2319" spans="13:13">
      <c r="M2319" s="20"/>
    </row>
    <row r="2320" spans="13:13">
      <c r="M2320" s="20"/>
    </row>
    <row r="2321" spans="13:13">
      <c r="M2321" s="20"/>
    </row>
    <row r="2322" spans="13:13">
      <c r="M2322" s="20"/>
    </row>
    <row r="2323" spans="13:13">
      <c r="M2323" s="20"/>
    </row>
    <row r="2324" spans="13:13">
      <c r="M2324" s="20"/>
    </row>
    <row r="2325" spans="13:13">
      <c r="M2325" s="20"/>
    </row>
    <row r="2326" spans="13:13">
      <c r="M2326" s="20"/>
    </row>
    <row r="2327" spans="13:13">
      <c r="M2327" s="20"/>
    </row>
    <row r="2328" spans="13:13">
      <c r="M2328" s="20"/>
    </row>
    <row r="2329" spans="13:13">
      <c r="M2329" s="20"/>
    </row>
    <row r="2330" spans="13:13">
      <c r="M2330" s="20"/>
    </row>
    <row r="2331" spans="13:13">
      <c r="M2331" s="20"/>
    </row>
    <row r="2332" spans="13:13">
      <c r="M2332" s="20"/>
    </row>
    <row r="2333" spans="13:13">
      <c r="M2333" s="20"/>
    </row>
    <row r="2334" spans="13:13">
      <c r="M2334" s="20"/>
    </row>
    <row r="2335" spans="13:13">
      <c r="M2335" s="20"/>
    </row>
    <row r="2336" spans="13:13">
      <c r="M2336" s="20"/>
    </row>
    <row r="2337" spans="13:13">
      <c r="M2337" s="20"/>
    </row>
    <row r="2338" spans="13:13">
      <c r="M2338" s="20"/>
    </row>
    <row r="2339" spans="13:13">
      <c r="M2339" s="20"/>
    </row>
    <row r="2340" spans="13:13">
      <c r="M2340" s="20"/>
    </row>
    <row r="2341" spans="13:13">
      <c r="M2341" s="20"/>
    </row>
    <row r="2342" spans="13:13">
      <c r="M2342" s="20"/>
    </row>
    <row r="2343" spans="13:13">
      <c r="M2343" s="20"/>
    </row>
    <row r="2344" spans="13:13">
      <c r="M2344" s="20"/>
    </row>
    <row r="2345" spans="13:13">
      <c r="M2345" s="20"/>
    </row>
    <row r="2346" spans="13:13">
      <c r="M2346" s="20"/>
    </row>
    <row r="2347" spans="13:13">
      <c r="M2347" s="20"/>
    </row>
    <row r="2348" spans="13:13">
      <c r="M2348" s="20"/>
    </row>
    <row r="2349" spans="13:13">
      <c r="M2349" s="20"/>
    </row>
    <row r="2350" spans="13:13">
      <c r="M2350" s="20"/>
    </row>
    <row r="2351" spans="13:13">
      <c r="M2351" s="20"/>
    </row>
    <row r="2352" spans="13:13">
      <c r="M2352" s="20"/>
    </row>
    <row r="2353" spans="13:13">
      <c r="M2353" s="20"/>
    </row>
    <row r="2354" spans="13:13">
      <c r="M2354" s="20"/>
    </row>
    <row r="2355" spans="13:13">
      <c r="M2355" s="20"/>
    </row>
    <row r="2356" spans="13:13">
      <c r="M2356" s="20"/>
    </row>
    <row r="2357" spans="13:13">
      <c r="M2357" s="20"/>
    </row>
    <row r="2358" spans="13:13">
      <c r="M2358" s="20"/>
    </row>
    <row r="2359" spans="13:13">
      <c r="M2359" s="20"/>
    </row>
    <row r="2360" spans="13:13">
      <c r="M2360" s="20"/>
    </row>
    <row r="2361" spans="13:13">
      <c r="M2361" s="20"/>
    </row>
    <row r="2362" spans="13:13">
      <c r="M2362" s="20"/>
    </row>
    <row r="2363" spans="13:13">
      <c r="M2363" s="20"/>
    </row>
    <row r="2364" spans="13:13">
      <c r="M2364" s="20"/>
    </row>
    <row r="2365" spans="13:13">
      <c r="M2365" s="20"/>
    </row>
    <row r="2366" spans="13:13">
      <c r="M2366" s="20"/>
    </row>
    <row r="2367" spans="13:13">
      <c r="M2367" s="20"/>
    </row>
    <row r="2368" spans="13:13">
      <c r="M2368" s="20"/>
    </row>
    <row r="2369" spans="13:13">
      <c r="M2369" s="20"/>
    </row>
    <row r="2370" spans="13:13">
      <c r="M2370" s="20"/>
    </row>
    <row r="2371" spans="13:13">
      <c r="M2371" s="20"/>
    </row>
    <row r="2372" spans="13:13">
      <c r="M2372" s="20"/>
    </row>
    <row r="2373" spans="13:13">
      <c r="M2373" s="20"/>
    </row>
    <row r="2374" spans="13:13">
      <c r="M2374" s="20"/>
    </row>
    <row r="2375" spans="13:13">
      <c r="M2375" s="20"/>
    </row>
    <row r="2376" spans="13:13">
      <c r="M2376" s="20"/>
    </row>
    <row r="2377" spans="13:13">
      <c r="M2377" s="20"/>
    </row>
    <row r="2378" spans="13:13">
      <c r="M2378" s="20"/>
    </row>
    <row r="2379" spans="13:13">
      <c r="M2379" s="20"/>
    </row>
    <row r="2380" spans="13:13">
      <c r="M2380" s="20"/>
    </row>
    <row r="2381" spans="13:13">
      <c r="M2381" s="20"/>
    </row>
    <row r="2382" spans="13:13">
      <c r="M2382" s="20"/>
    </row>
    <row r="2383" spans="13:13">
      <c r="M2383" s="20"/>
    </row>
    <row r="2384" spans="13:13">
      <c r="M2384" s="20"/>
    </row>
    <row r="2385" spans="13:13">
      <c r="M2385" s="20"/>
    </row>
    <row r="2386" spans="13:13">
      <c r="M2386" s="20"/>
    </row>
    <row r="2387" spans="13:13">
      <c r="M2387" s="20"/>
    </row>
    <row r="2388" spans="13:13">
      <c r="M2388" s="20"/>
    </row>
    <row r="2389" spans="13:13">
      <c r="M2389" s="20"/>
    </row>
    <row r="2390" spans="13:13">
      <c r="M2390" s="20"/>
    </row>
    <row r="2391" spans="13:13">
      <c r="M2391" s="20"/>
    </row>
    <row r="2392" spans="13:13">
      <c r="M2392" s="20"/>
    </row>
    <row r="2393" spans="13:13">
      <c r="M2393" s="20"/>
    </row>
    <row r="2394" spans="13:13">
      <c r="M2394" s="20"/>
    </row>
    <row r="2395" spans="13:13">
      <c r="M2395" s="20"/>
    </row>
    <row r="2396" spans="13:13">
      <c r="M2396" s="20"/>
    </row>
    <row r="2397" spans="13:13">
      <c r="M2397" s="20"/>
    </row>
    <row r="2398" spans="13:13">
      <c r="M2398" s="20"/>
    </row>
    <row r="2399" spans="13:13">
      <c r="M2399" s="20"/>
    </row>
    <row r="2400" spans="13:13">
      <c r="M2400" s="20"/>
    </row>
    <row r="2401" spans="13:13">
      <c r="M2401" s="20"/>
    </row>
    <row r="2402" spans="13:13">
      <c r="M2402" s="20"/>
    </row>
    <row r="2403" spans="13:13">
      <c r="M2403" s="20"/>
    </row>
    <row r="2404" spans="13:13">
      <c r="M2404" s="20"/>
    </row>
    <row r="2405" spans="13:13">
      <c r="M2405" s="20"/>
    </row>
    <row r="2406" spans="13:13">
      <c r="M2406" s="20"/>
    </row>
    <row r="2407" spans="13:13">
      <c r="M2407" s="20"/>
    </row>
    <row r="2408" spans="13:13">
      <c r="M2408" s="20"/>
    </row>
    <row r="2409" spans="13:13">
      <c r="M2409" s="20"/>
    </row>
    <row r="2410" spans="13:13">
      <c r="M2410" s="20"/>
    </row>
    <row r="2411" spans="13:13">
      <c r="M2411" s="20"/>
    </row>
    <row r="2412" spans="13:13">
      <c r="M2412" s="20"/>
    </row>
    <row r="2413" spans="13:13">
      <c r="M2413" s="20"/>
    </row>
    <row r="2414" spans="13:13">
      <c r="M2414" s="20"/>
    </row>
    <row r="2415" spans="13:13">
      <c r="M2415" s="20"/>
    </row>
    <row r="2416" spans="13:13">
      <c r="M2416" s="20"/>
    </row>
    <row r="2417" spans="13:13">
      <c r="M2417" s="20"/>
    </row>
    <row r="2418" spans="13:13">
      <c r="M2418" s="20"/>
    </row>
    <row r="2419" spans="13:13">
      <c r="M2419" s="20"/>
    </row>
    <row r="2420" spans="13:13">
      <c r="M2420" s="20"/>
    </row>
    <row r="2421" spans="13:13">
      <c r="M2421" s="20"/>
    </row>
    <row r="2422" spans="13:13">
      <c r="M2422" s="20"/>
    </row>
    <row r="2423" spans="13:13">
      <c r="M2423" s="20"/>
    </row>
    <row r="2424" spans="13:13">
      <c r="M2424" s="20"/>
    </row>
    <row r="2425" spans="13:13">
      <c r="M2425" s="20"/>
    </row>
    <row r="2426" spans="13:13">
      <c r="M2426" s="20"/>
    </row>
    <row r="2427" spans="13:13">
      <c r="M2427" s="20"/>
    </row>
    <row r="2428" spans="13:13">
      <c r="M2428" s="20"/>
    </row>
    <row r="2429" spans="13:13">
      <c r="M2429" s="20"/>
    </row>
    <row r="2430" spans="13:13">
      <c r="M2430" s="20"/>
    </row>
    <row r="2431" spans="13:13">
      <c r="M2431" s="20"/>
    </row>
    <row r="2432" spans="13:13">
      <c r="M2432" s="20"/>
    </row>
    <row r="2433" spans="13:13">
      <c r="M2433" s="20"/>
    </row>
    <row r="2434" spans="13:13">
      <c r="M2434" s="20"/>
    </row>
    <row r="2435" spans="13:13">
      <c r="M2435" s="20"/>
    </row>
    <row r="2436" spans="13:13">
      <c r="M2436" s="20"/>
    </row>
    <row r="2437" spans="13:13">
      <c r="M2437" s="20"/>
    </row>
    <row r="2438" spans="13:13">
      <c r="M2438" s="20"/>
    </row>
    <row r="2439" spans="13:13">
      <c r="M2439" s="20"/>
    </row>
    <row r="2440" spans="13:13">
      <c r="M2440" s="20"/>
    </row>
    <row r="2441" spans="13:13">
      <c r="M2441" s="20"/>
    </row>
    <row r="2442" spans="13:13">
      <c r="M2442" s="20"/>
    </row>
    <row r="2443" spans="13:13">
      <c r="M2443" s="20"/>
    </row>
    <row r="2444" spans="13:13">
      <c r="M2444" s="20"/>
    </row>
    <row r="2445" spans="13:13">
      <c r="M2445" s="20"/>
    </row>
    <row r="2446" spans="13:13">
      <c r="M2446" s="20"/>
    </row>
    <row r="2447" spans="13:13">
      <c r="M2447" s="20"/>
    </row>
    <row r="2448" spans="13:13">
      <c r="M2448" s="20"/>
    </row>
    <row r="2449" spans="13:13">
      <c r="M2449" s="20"/>
    </row>
    <row r="2450" spans="13:13">
      <c r="M2450" s="20"/>
    </row>
    <row r="2451" spans="13:13">
      <c r="M2451" s="20"/>
    </row>
    <row r="2452" spans="13:13">
      <c r="M2452" s="20"/>
    </row>
    <row r="2453" spans="13:13">
      <c r="M2453" s="20"/>
    </row>
    <row r="2454" spans="13:13">
      <c r="M2454" s="20"/>
    </row>
    <row r="2455" spans="13:13">
      <c r="M2455" s="20"/>
    </row>
    <row r="2456" spans="13:13">
      <c r="M2456" s="20"/>
    </row>
    <row r="2457" spans="13:13">
      <c r="M2457" s="20"/>
    </row>
    <row r="2458" spans="13:13">
      <c r="M2458" s="20"/>
    </row>
    <row r="2459" spans="13:13">
      <c r="M2459" s="20"/>
    </row>
    <row r="2460" spans="13:13">
      <c r="M2460" s="20"/>
    </row>
    <row r="2461" spans="13:13">
      <c r="M2461" s="20"/>
    </row>
    <row r="2462" spans="13:13">
      <c r="M2462" s="20"/>
    </row>
    <row r="2463" spans="13:13">
      <c r="M2463" s="20"/>
    </row>
    <row r="2464" spans="13:13">
      <c r="M2464" s="20"/>
    </row>
    <row r="2465" spans="13:13">
      <c r="M2465" s="20"/>
    </row>
    <row r="2466" spans="13:13">
      <c r="M2466" s="20"/>
    </row>
    <row r="2467" spans="13:13">
      <c r="M2467" s="20"/>
    </row>
    <row r="2468" spans="13:13">
      <c r="M2468" s="20"/>
    </row>
    <row r="2469" spans="13:13">
      <c r="M2469" s="20"/>
    </row>
    <row r="2470" spans="13:13">
      <c r="M2470" s="20"/>
    </row>
    <row r="2471" spans="13:13">
      <c r="M2471" s="20"/>
    </row>
    <row r="2472" spans="13:13">
      <c r="M2472" s="20"/>
    </row>
    <row r="2473" spans="13:13">
      <c r="M2473" s="20"/>
    </row>
    <row r="2474" spans="13:13">
      <c r="M2474" s="20"/>
    </row>
    <row r="2475" spans="13:13">
      <c r="M2475" s="20"/>
    </row>
    <row r="2476" spans="13:13">
      <c r="M2476" s="20"/>
    </row>
    <row r="2477" spans="13:13">
      <c r="M2477" s="20"/>
    </row>
    <row r="2478" spans="13:13">
      <c r="M2478" s="20"/>
    </row>
    <row r="2479" spans="13:13">
      <c r="M2479" s="20"/>
    </row>
    <row r="2480" spans="13:13">
      <c r="M2480" s="20"/>
    </row>
    <row r="2481" spans="13:13">
      <c r="M2481" s="20"/>
    </row>
    <row r="2482" spans="13:13">
      <c r="M2482" s="20"/>
    </row>
    <row r="2483" spans="13:13">
      <c r="M2483" s="20"/>
    </row>
    <row r="2484" spans="13:13">
      <c r="M2484" s="20"/>
    </row>
    <row r="2485" spans="13:13">
      <c r="M2485" s="20"/>
    </row>
    <row r="2486" spans="13:13">
      <c r="M2486" s="20"/>
    </row>
    <row r="2487" spans="13:13">
      <c r="M2487" s="20"/>
    </row>
    <row r="2488" spans="13:13">
      <c r="M2488" s="20"/>
    </row>
    <row r="2489" spans="13:13">
      <c r="M2489" s="20"/>
    </row>
    <row r="2490" spans="13:13">
      <c r="M2490" s="20"/>
    </row>
    <row r="2491" spans="13:13">
      <c r="M2491" s="20"/>
    </row>
    <row r="2492" spans="13:13">
      <c r="M2492" s="20"/>
    </row>
    <row r="2493" spans="13:13">
      <c r="M2493" s="20"/>
    </row>
    <row r="2494" spans="13:13">
      <c r="M2494" s="20"/>
    </row>
    <row r="2495" spans="13:13">
      <c r="M2495" s="20"/>
    </row>
    <row r="2496" spans="13:13">
      <c r="M2496" s="20"/>
    </row>
    <row r="2497" spans="13:13">
      <c r="M2497" s="20"/>
    </row>
    <row r="2498" spans="13:13">
      <c r="M2498" s="20"/>
    </row>
    <row r="2499" spans="13:13">
      <c r="M2499" s="20"/>
    </row>
    <row r="2500" spans="13:13">
      <c r="M2500" s="20"/>
    </row>
    <row r="2501" spans="13:13">
      <c r="M2501" s="20"/>
    </row>
    <row r="2502" spans="13:13">
      <c r="M2502" s="20"/>
    </row>
    <row r="2503" spans="13:13">
      <c r="M2503" s="20"/>
    </row>
    <row r="2504" spans="13:13">
      <c r="M2504" s="20"/>
    </row>
    <row r="2505" spans="13:13">
      <c r="M2505" s="20"/>
    </row>
    <row r="2506" spans="13:13">
      <c r="M2506" s="20"/>
    </row>
    <row r="2507" spans="13:13">
      <c r="M2507" s="20"/>
    </row>
    <row r="2508" spans="13:13">
      <c r="M2508" s="20"/>
    </row>
    <row r="2509" spans="13:13">
      <c r="M2509" s="20"/>
    </row>
    <row r="2510" spans="13:13">
      <c r="M2510" s="20"/>
    </row>
    <row r="2511" spans="13:13">
      <c r="M2511" s="20"/>
    </row>
    <row r="2512" spans="13:13">
      <c r="M2512" s="20"/>
    </row>
    <row r="2513" spans="13:13">
      <c r="M2513" s="20"/>
    </row>
    <row r="2514" spans="13:13">
      <c r="M2514" s="20"/>
    </row>
    <row r="2515" spans="13:13">
      <c r="M2515" s="20"/>
    </row>
    <row r="2516" spans="13:13">
      <c r="M2516" s="20"/>
    </row>
    <row r="2517" spans="13:13">
      <c r="M2517" s="20"/>
    </row>
    <row r="2518" spans="13:13">
      <c r="M2518" s="20"/>
    </row>
    <row r="2519" spans="13:13">
      <c r="M2519" s="20"/>
    </row>
    <row r="2520" spans="13:13">
      <c r="M2520" s="20"/>
    </row>
    <row r="2521" spans="13:13">
      <c r="M2521" s="20"/>
    </row>
    <row r="2522" spans="13:13">
      <c r="M2522" s="20"/>
    </row>
    <row r="2523" spans="13:13">
      <c r="M2523" s="20"/>
    </row>
    <row r="2524" spans="13:13">
      <c r="M2524" s="20"/>
    </row>
    <row r="2525" spans="13:13">
      <c r="M2525" s="20"/>
    </row>
    <row r="2526" spans="13:13">
      <c r="M2526" s="20"/>
    </row>
    <row r="2527" spans="13:13">
      <c r="M2527" s="20"/>
    </row>
    <row r="2528" spans="13:13">
      <c r="M2528" s="20"/>
    </row>
    <row r="2529" spans="13:13">
      <c r="M2529" s="20"/>
    </row>
    <row r="2530" spans="13:13">
      <c r="M2530" s="20"/>
    </row>
    <row r="2531" spans="13:13">
      <c r="M2531" s="20"/>
    </row>
    <row r="2532" spans="13:13">
      <c r="M2532" s="20"/>
    </row>
    <row r="2533" spans="13:13">
      <c r="M2533" s="20"/>
    </row>
    <row r="2534" spans="13:13">
      <c r="M2534" s="20"/>
    </row>
    <row r="2535" spans="13:13">
      <c r="M2535" s="20"/>
    </row>
    <row r="2536" spans="13:13">
      <c r="M2536" s="20"/>
    </row>
    <row r="2537" spans="13:13">
      <c r="M2537" s="20"/>
    </row>
    <row r="2538" spans="13:13">
      <c r="M2538" s="20"/>
    </row>
    <row r="2539" spans="13:13">
      <c r="M2539" s="20"/>
    </row>
    <row r="2540" spans="13:13">
      <c r="M2540" s="20"/>
    </row>
    <row r="2541" spans="13:13">
      <c r="M2541" s="20"/>
    </row>
    <row r="2542" spans="13:13">
      <c r="M2542" s="20"/>
    </row>
    <row r="2543" spans="13:13">
      <c r="M2543" s="20"/>
    </row>
    <row r="2544" spans="13:13">
      <c r="M2544" s="20"/>
    </row>
    <row r="2545" spans="13:13">
      <c r="M2545" s="20"/>
    </row>
    <row r="2546" spans="13:13">
      <c r="M2546" s="20"/>
    </row>
    <row r="2547" spans="13:13">
      <c r="M2547" s="20"/>
    </row>
    <row r="2548" spans="13:13">
      <c r="M2548" s="20"/>
    </row>
    <row r="2549" spans="13:13">
      <c r="M2549" s="20"/>
    </row>
    <row r="2550" spans="13:13">
      <c r="M2550" s="20"/>
    </row>
    <row r="2551" spans="13:13">
      <c r="M2551" s="20"/>
    </row>
    <row r="2552" spans="13:13">
      <c r="M2552" s="20"/>
    </row>
    <row r="2553" spans="13:13">
      <c r="M2553" s="20"/>
    </row>
    <row r="2554" spans="13:13">
      <c r="M2554" s="20"/>
    </row>
    <row r="2555" spans="13:13">
      <c r="M2555" s="20"/>
    </row>
    <row r="2556" spans="13:13">
      <c r="M2556" s="20"/>
    </row>
    <row r="2557" spans="13:13">
      <c r="M2557" s="20"/>
    </row>
    <row r="2558" spans="13:13">
      <c r="M2558" s="20"/>
    </row>
    <row r="2559" spans="13:13">
      <c r="M2559" s="20"/>
    </row>
    <row r="2560" spans="13:13">
      <c r="M2560" s="20"/>
    </row>
    <row r="2561" spans="13:13">
      <c r="M2561" s="20"/>
    </row>
    <row r="2562" spans="13:13">
      <c r="M2562" s="20"/>
    </row>
    <row r="2563" spans="13:13">
      <c r="M2563" s="20"/>
    </row>
    <row r="2564" spans="13:13">
      <c r="M2564" s="20"/>
    </row>
    <row r="2565" spans="13:13">
      <c r="M2565" s="20"/>
    </row>
    <row r="2566" spans="13:13">
      <c r="M2566" s="20"/>
    </row>
    <row r="2567" spans="13:13">
      <c r="M2567" s="20"/>
    </row>
    <row r="2568" spans="13:13">
      <c r="M2568" s="20"/>
    </row>
    <row r="2569" spans="13:13">
      <c r="M2569" s="20"/>
    </row>
    <row r="2570" spans="13:13">
      <c r="M2570" s="20"/>
    </row>
    <row r="2571" spans="13:13">
      <c r="M2571" s="20"/>
    </row>
    <row r="2572" spans="13:13">
      <c r="M2572" s="20"/>
    </row>
    <row r="2573" spans="13:13">
      <c r="M2573" s="20"/>
    </row>
    <row r="2574" spans="13:13">
      <c r="M2574" s="20"/>
    </row>
    <row r="2575" spans="13:13">
      <c r="M2575" s="20"/>
    </row>
    <row r="2576" spans="13:13">
      <c r="M2576" s="20"/>
    </row>
    <row r="2577" spans="13:13">
      <c r="M2577" s="20"/>
    </row>
    <row r="2578" spans="13:13">
      <c r="M2578" s="20"/>
    </row>
    <row r="2579" spans="13:13">
      <c r="M2579" s="20"/>
    </row>
    <row r="2580" spans="13:13">
      <c r="M2580" s="20"/>
    </row>
    <row r="2581" spans="13:13">
      <c r="M2581" s="20"/>
    </row>
    <row r="2582" spans="13:13">
      <c r="M2582" s="20"/>
    </row>
    <row r="2583" spans="13:13">
      <c r="M2583" s="20"/>
    </row>
    <row r="2584" spans="13:13">
      <c r="M2584" s="20"/>
    </row>
    <row r="2585" spans="13:13">
      <c r="M2585" s="20"/>
    </row>
    <row r="2586" spans="13:13">
      <c r="M2586" s="20"/>
    </row>
    <row r="2587" spans="13:13">
      <c r="M2587" s="20"/>
    </row>
    <row r="2588" spans="13:13">
      <c r="M2588" s="20"/>
    </row>
    <row r="2589" spans="13:13">
      <c r="M2589" s="20"/>
    </row>
    <row r="2590" spans="13:13">
      <c r="M2590" s="20"/>
    </row>
    <row r="2591" spans="13:13">
      <c r="M2591" s="20"/>
    </row>
    <row r="2592" spans="13:13">
      <c r="M2592" s="20"/>
    </row>
    <row r="2593" spans="13:13">
      <c r="M2593" s="20"/>
    </row>
    <row r="2594" spans="13:13">
      <c r="M2594" s="20"/>
    </row>
    <row r="2595" spans="13:13">
      <c r="M2595" s="20"/>
    </row>
    <row r="2596" spans="13:13">
      <c r="M2596" s="20"/>
    </row>
    <row r="2597" spans="13:13">
      <c r="M2597" s="20"/>
    </row>
    <row r="2598" spans="13:13">
      <c r="M2598" s="20"/>
    </row>
    <row r="2599" spans="13:13">
      <c r="M2599" s="20"/>
    </row>
    <row r="2600" spans="13:13">
      <c r="M2600" s="20"/>
    </row>
    <row r="2601" spans="13:13">
      <c r="M2601" s="20"/>
    </row>
    <row r="2602" spans="13:13">
      <c r="M2602" s="20"/>
    </row>
    <row r="2603" spans="13:13">
      <c r="M2603" s="20"/>
    </row>
    <row r="2604" spans="13:13">
      <c r="M2604" s="20"/>
    </row>
    <row r="2605" spans="13:13">
      <c r="M2605" s="20"/>
    </row>
    <row r="2606" spans="13:13">
      <c r="M2606" s="20"/>
    </row>
    <row r="2607" spans="13:13">
      <c r="M2607" s="20"/>
    </row>
    <row r="2608" spans="13:13">
      <c r="M2608" s="20"/>
    </row>
    <row r="2609" spans="13:13">
      <c r="M2609" s="20"/>
    </row>
    <row r="2610" spans="13:13">
      <c r="M2610" s="20"/>
    </row>
    <row r="2611" spans="13:13">
      <c r="M2611" s="20"/>
    </row>
    <row r="2612" spans="13:13">
      <c r="M2612" s="20"/>
    </row>
    <row r="2613" spans="13:13">
      <c r="M2613" s="20"/>
    </row>
    <row r="2614" spans="13:13">
      <c r="M2614" s="20"/>
    </row>
    <row r="2615" spans="13:13">
      <c r="M2615" s="20"/>
    </row>
    <row r="2616" spans="13:13">
      <c r="M2616" s="20"/>
    </row>
    <row r="2617" spans="13:13">
      <c r="M2617" s="20"/>
    </row>
    <row r="2618" spans="13:13">
      <c r="M2618" s="20"/>
    </row>
    <row r="2619" spans="13:13">
      <c r="M2619" s="20"/>
    </row>
    <row r="2620" spans="13:13">
      <c r="M2620" s="20"/>
    </row>
    <row r="2621" spans="13:13">
      <c r="M2621" s="20"/>
    </row>
    <row r="2622" spans="13:13">
      <c r="M2622" s="20"/>
    </row>
    <row r="2623" spans="13:13">
      <c r="M2623" s="20"/>
    </row>
    <row r="2624" spans="13:13">
      <c r="M2624" s="20"/>
    </row>
    <row r="2625" spans="13:13">
      <c r="M2625" s="20"/>
    </row>
    <row r="2626" spans="13:13">
      <c r="M2626" s="20"/>
    </row>
    <row r="2627" spans="13:13">
      <c r="M2627" s="20"/>
    </row>
    <row r="2628" spans="13:13">
      <c r="M2628" s="20"/>
    </row>
    <row r="2629" spans="13:13">
      <c r="M2629" s="20"/>
    </row>
    <row r="2630" spans="13:13">
      <c r="M2630" s="20"/>
    </row>
    <row r="2631" spans="13:13">
      <c r="M2631" s="20"/>
    </row>
    <row r="2632" spans="13:13">
      <c r="M2632" s="20"/>
    </row>
    <row r="2633" spans="13:13">
      <c r="M2633" s="20"/>
    </row>
    <row r="2634" spans="13:13">
      <c r="M2634" s="20"/>
    </row>
    <row r="2635" spans="13:13">
      <c r="M2635" s="20"/>
    </row>
    <row r="2636" spans="13:13">
      <c r="M2636" s="20"/>
    </row>
    <row r="2637" spans="13:13">
      <c r="M2637" s="20"/>
    </row>
    <row r="2638" spans="13:13">
      <c r="M2638" s="20"/>
    </row>
    <row r="2639" spans="13:13">
      <c r="M2639" s="20"/>
    </row>
    <row r="2640" spans="13:13">
      <c r="M2640" s="20"/>
    </row>
    <row r="2641" spans="13:13">
      <c r="M2641" s="20"/>
    </row>
    <row r="2642" spans="13:13">
      <c r="M2642" s="20"/>
    </row>
    <row r="2643" spans="13:13">
      <c r="M2643" s="20"/>
    </row>
    <row r="2644" spans="13:13">
      <c r="M2644" s="20"/>
    </row>
    <row r="2645" spans="13:13">
      <c r="M2645" s="20"/>
    </row>
    <row r="2646" spans="13:13">
      <c r="M2646" s="20"/>
    </row>
    <row r="2647" spans="13:13">
      <c r="M2647" s="20"/>
    </row>
    <row r="2648" spans="13:13">
      <c r="M2648" s="20"/>
    </row>
    <row r="2649" spans="13:13">
      <c r="M2649" s="20"/>
    </row>
    <row r="2650" spans="13:13">
      <c r="M2650" s="20"/>
    </row>
    <row r="2651" spans="13:13">
      <c r="M2651" s="20"/>
    </row>
    <row r="2652" spans="13:13">
      <c r="M2652" s="20"/>
    </row>
    <row r="2653" spans="13:13">
      <c r="M2653" s="20"/>
    </row>
    <row r="2654" spans="13:13">
      <c r="M2654" s="20"/>
    </row>
    <row r="2655" spans="13:13">
      <c r="M2655" s="20"/>
    </row>
    <row r="2656" spans="13:13">
      <c r="M2656" s="20"/>
    </row>
    <row r="2657" spans="13:13">
      <c r="M2657" s="20"/>
    </row>
    <row r="2658" spans="13:13">
      <c r="M2658" s="20"/>
    </row>
    <row r="2659" spans="13:13">
      <c r="M2659" s="20"/>
    </row>
    <row r="2660" spans="13:13">
      <c r="M2660" s="20"/>
    </row>
    <row r="2661" spans="13:13">
      <c r="M2661" s="20"/>
    </row>
    <row r="2662" spans="13:13">
      <c r="M2662" s="20"/>
    </row>
    <row r="2663" spans="13:13">
      <c r="M2663" s="20"/>
    </row>
    <row r="2664" spans="13:13">
      <c r="M2664" s="20"/>
    </row>
    <row r="2665" spans="13:13">
      <c r="M2665" s="20"/>
    </row>
    <row r="2666" spans="13:13">
      <c r="M2666" s="20"/>
    </row>
    <row r="2667" spans="13:13">
      <c r="M2667" s="20"/>
    </row>
    <row r="2668" spans="13:13">
      <c r="M2668" s="20"/>
    </row>
    <row r="2669" spans="13:13">
      <c r="M2669" s="20"/>
    </row>
    <row r="2670" spans="13:13">
      <c r="M2670" s="20"/>
    </row>
    <row r="2671" spans="13:13">
      <c r="M2671" s="20"/>
    </row>
    <row r="2672" spans="13:13">
      <c r="M2672" s="20"/>
    </row>
    <row r="2673" spans="13:13">
      <c r="M2673" s="20"/>
    </row>
    <row r="2674" spans="13:13">
      <c r="M2674" s="20"/>
    </row>
    <row r="2675" spans="13:13">
      <c r="M2675" s="20"/>
    </row>
    <row r="2676" spans="13:13">
      <c r="M2676" s="20"/>
    </row>
    <row r="2677" spans="13:13">
      <c r="M2677" s="20"/>
    </row>
    <row r="2678" spans="13:13">
      <c r="M2678" s="20"/>
    </row>
    <row r="2679" spans="13:13">
      <c r="M2679" s="20"/>
    </row>
    <row r="2680" spans="13:13">
      <c r="M2680" s="20"/>
    </row>
    <row r="2681" spans="13:13">
      <c r="M2681" s="20"/>
    </row>
    <row r="2682" spans="13:13">
      <c r="M2682" s="20"/>
    </row>
    <row r="2683" spans="13:13">
      <c r="M2683" s="20"/>
    </row>
    <row r="2684" spans="13:13">
      <c r="M2684" s="20"/>
    </row>
    <row r="2685" spans="13:13">
      <c r="M2685" s="20"/>
    </row>
    <row r="2686" spans="13:13">
      <c r="M2686" s="20"/>
    </row>
    <row r="2687" spans="13:13">
      <c r="M2687" s="20"/>
    </row>
    <row r="2688" spans="13:13">
      <c r="M2688" s="20"/>
    </row>
    <row r="2689" spans="13:13">
      <c r="M2689" s="20"/>
    </row>
    <row r="2690" spans="13:13">
      <c r="M2690" s="20"/>
    </row>
    <row r="2691" spans="13:13">
      <c r="M2691" s="20"/>
    </row>
    <row r="2692" spans="13:13">
      <c r="M2692" s="20"/>
    </row>
    <row r="2693" spans="13:13">
      <c r="M2693" s="20"/>
    </row>
    <row r="2694" spans="13:13">
      <c r="M2694" s="20"/>
    </row>
    <row r="2695" spans="13:13">
      <c r="M2695" s="20"/>
    </row>
    <row r="2696" spans="13:13">
      <c r="M2696" s="20"/>
    </row>
    <row r="2697" spans="13:13">
      <c r="M2697" s="20"/>
    </row>
    <row r="2698" spans="13:13">
      <c r="M2698" s="20"/>
    </row>
    <row r="2699" spans="13:13">
      <c r="M2699" s="20"/>
    </row>
    <row r="2700" spans="13:13">
      <c r="M2700" s="20"/>
    </row>
    <row r="2701" spans="13:13">
      <c r="M2701" s="20"/>
    </row>
    <row r="2702" spans="13:13">
      <c r="M2702" s="20"/>
    </row>
    <row r="2703" spans="13:13">
      <c r="M2703" s="20"/>
    </row>
    <row r="2704" spans="13:13">
      <c r="M2704" s="20"/>
    </row>
    <row r="2705" spans="13:13">
      <c r="M2705" s="20"/>
    </row>
    <row r="2706" spans="13:13">
      <c r="M2706" s="20"/>
    </row>
    <row r="2707" spans="13:13">
      <c r="M2707" s="20"/>
    </row>
    <row r="2708" spans="13:13">
      <c r="M2708" s="20"/>
    </row>
    <row r="2709" spans="13:13">
      <c r="M2709" s="20"/>
    </row>
    <row r="2710" spans="13:13">
      <c r="M2710" s="20"/>
    </row>
    <row r="2711" spans="13:13">
      <c r="M2711" s="20"/>
    </row>
    <row r="2712" spans="13:13">
      <c r="M2712" s="20"/>
    </row>
    <row r="2713" spans="13:13">
      <c r="M2713" s="20"/>
    </row>
    <row r="2714" spans="13:13">
      <c r="M2714" s="20"/>
    </row>
    <row r="2715" spans="13:13">
      <c r="M2715" s="20"/>
    </row>
    <row r="2716" spans="13:13">
      <c r="M2716" s="20"/>
    </row>
    <row r="2717" spans="13:13">
      <c r="M2717" s="20"/>
    </row>
    <row r="2718" spans="13:13">
      <c r="M2718" s="20"/>
    </row>
    <row r="2719" spans="13:13">
      <c r="M2719" s="20"/>
    </row>
    <row r="2720" spans="13:13">
      <c r="M2720" s="20"/>
    </row>
    <row r="2721" spans="13:13">
      <c r="M2721" s="20"/>
    </row>
    <row r="2722" spans="13:13">
      <c r="M2722" s="20"/>
    </row>
    <row r="2723" spans="13:13">
      <c r="M2723" s="20"/>
    </row>
    <row r="2724" spans="13:13">
      <c r="M2724" s="20"/>
    </row>
    <row r="2725" spans="13:13">
      <c r="M2725" s="20"/>
    </row>
    <row r="2726" spans="13:13">
      <c r="M2726" s="20"/>
    </row>
    <row r="2727" spans="13:13">
      <c r="M2727" s="20"/>
    </row>
    <row r="2728" spans="13:13">
      <c r="M2728" s="20"/>
    </row>
    <row r="2729" spans="13:13">
      <c r="M2729" s="20"/>
    </row>
    <row r="2730" spans="13:13">
      <c r="M2730" s="20"/>
    </row>
    <row r="2731" spans="13:13">
      <c r="M2731" s="20"/>
    </row>
    <row r="2732" spans="13:13">
      <c r="M2732" s="20"/>
    </row>
    <row r="2733" spans="13:13">
      <c r="M2733" s="20"/>
    </row>
    <row r="2734" spans="13:13">
      <c r="M2734" s="20"/>
    </row>
    <row r="2735" spans="13:13">
      <c r="M2735" s="20"/>
    </row>
    <row r="2736" spans="13:13">
      <c r="M2736" s="20"/>
    </row>
    <row r="2737" spans="13:13">
      <c r="M2737" s="20"/>
    </row>
    <row r="2738" spans="13:13">
      <c r="M2738" s="20"/>
    </row>
    <row r="2739" spans="13:13">
      <c r="M2739" s="20"/>
    </row>
    <row r="2740" spans="13:13">
      <c r="M2740" s="20"/>
    </row>
    <row r="2741" spans="13:13">
      <c r="M2741" s="20"/>
    </row>
    <row r="2742" spans="13:13">
      <c r="M2742" s="20"/>
    </row>
    <row r="2743" spans="13:13">
      <c r="M2743" s="20"/>
    </row>
    <row r="2744" spans="13:13">
      <c r="M2744" s="20"/>
    </row>
    <row r="2745" spans="13:13">
      <c r="M2745" s="20"/>
    </row>
    <row r="2746" spans="13:13">
      <c r="M2746" s="20"/>
    </row>
    <row r="2747" spans="13:13">
      <c r="M2747" s="20"/>
    </row>
    <row r="2748" spans="13:13">
      <c r="M2748" s="20"/>
    </row>
    <row r="2749" spans="13:13">
      <c r="M2749" s="20"/>
    </row>
    <row r="2750" spans="13:13">
      <c r="M2750" s="20"/>
    </row>
    <row r="2751" spans="13:13">
      <c r="M2751" s="20"/>
    </row>
    <row r="2752" spans="13:13">
      <c r="M2752" s="20"/>
    </row>
    <row r="2753" spans="13:13">
      <c r="M2753" s="20"/>
    </row>
    <row r="2754" spans="13:13">
      <c r="M2754" s="20"/>
    </row>
    <row r="2755" spans="13:13">
      <c r="M2755" s="20"/>
    </row>
    <row r="2756" spans="13:13">
      <c r="M2756" s="20"/>
    </row>
    <row r="2757" spans="13:13">
      <c r="M2757" s="20"/>
    </row>
    <row r="2758" spans="13:13">
      <c r="M2758" s="20"/>
    </row>
    <row r="2759" spans="13:13">
      <c r="M2759" s="20"/>
    </row>
    <row r="2760" spans="13:13">
      <c r="M2760" s="20"/>
    </row>
    <row r="2761" spans="13:13">
      <c r="M2761" s="20"/>
    </row>
    <row r="2762" spans="13:13">
      <c r="M2762" s="20"/>
    </row>
    <row r="2763" spans="13:13">
      <c r="M2763" s="20"/>
    </row>
    <row r="2764" spans="13:13">
      <c r="M2764" s="20"/>
    </row>
    <row r="2765" spans="13:13">
      <c r="M2765" s="20"/>
    </row>
    <row r="2766" spans="13:13">
      <c r="M2766" s="20"/>
    </row>
    <row r="2767" spans="13:13">
      <c r="M2767" s="20"/>
    </row>
    <row r="2768" spans="13:13">
      <c r="M2768" s="20"/>
    </row>
  </sheetData>
  <sortState ref="AL13:AM43">
    <sortCondition ref="AM13:AM43"/>
  </sortState>
  <mergeCells count="1">
    <mergeCell ref="N5:O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2850"/>
  <sheetViews>
    <sheetView topLeftCell="D1312" zoomScale="91" zoomScaleNormal="91" workbookViewId="0">
      <selection activeCell="L1454" sqref="L1454:L1455"/>
    </sheetView>
  </sheetViews>
  <sheetFormatPr defaultColWidth="9.1796875" defaultRowHeight="14.5"/>
  <cols>
    <col min="1" max="1" width="0.1796875" style="387" customWidth="1"/>
    <col min="2" max="4" width="13.7265625" style="387" customWidth="1"/>
    <col min="5" max="5" width="54.54296875" style="387" customWidth="1"/>
    <col min="6" max="6" width="5.453125" style="387" customWidth="1"/>
    <col min="7" max="7" width="7.26953125" style="387" customWidth="1"/>
    <col min="8" max="8" width="16.54296875" style="387" customWidth="1"/>
    <col min="9" max="9" width="12" style="387" customWidth="1"/>
    <col min="10" max="10" width="3.1796875" style="387" customWidth="1"/>
    <col min="11" max="11" width="14.7265625" style="387" customWidth="1"/>
    <col min="12" max="12" width="16.1796875" style="387" customWidth="1"/>
    <col min="13" max="13" width="15" style="387" customWidth="1"/>
    <col min="14" max="14" width="19.453125" style="387" bestFit="1" customWidth="1"/>
    <col min="15" max="15" width="17.7265625" style="387" customWidth="1"/>
    <col min="16" max="16" width="15.54296875" style="387" customWidth="1"/>
    <col min="17" max="16384" width="9.1796875" style="387"/>
  </cols>
  <sheetData>
    <row r="1" spans="1:12" ht="30.75" customHeight="1">
      <c r="A1" s="1052" t="s">
        <v>2329</v>
      </c>
      <c r="B1" s="1053"/>
      <c r="C1" s="1053"/>
      <c r="D1" s="1053"/>
      <c r="E1" s="1053"/>
      <c r="F1" s="1053"/>
      <c r="G1" s="1053"/>
      <c r="H1" s="1053"/>
      <c r="I1" s="1053"/>
    </row>
    <row r="3" spans="1:12">
      <c r="B3" s="388" t="s">
        <v>2330</v>
      </c>
      <c r="C3" s="388" t="s">
        <v>2331</v>
      </c>
      <c r="D3" s="388" t="s">
        <v>2332</v>
      </c>
      <c r="E3" s="388" t="s">
        <v>2333</v>
      </c>
      <c r="F3" s="388" t="s">
        <v>2334</v>
      </c>
      <c r="G3" s="388" t="s">
        <v>2335</v>
      </c>
      <c r="H3" s="388" t="s">
        <v>2336</v>
      </c>
      <c r="I3" s="1054" t="s">
        <v>2337</v>
      </c>
      <c r="J3" s="1047"/>
      <c r="K3" s="388" t="s">
        <v>2338</v>
      </c>
      <c r="L3" s="388" t="s">
        <v>2339</v>
      </c>
    </row>
    <row r="4" spans="1:12">
      <c r="B4" s="1049" t="s">
        <v>6</v>
      </c>
      <c r="C4" s="1049" t="s">
        <v>2340</v>
      </c>
      <c r="D4" s="382" t="s">
        <v>2341</v>
      </c>
      <c r="E4" s="382" t="s">
        <v>1943</v>
      </c>
      <c r="F4" s="382" t="s">
        <v>2342</v>
      </c>
      <c r="G4" s="382" t="s">
        <v>2343</v>
      </c>
      <c r="H4" s="383">
        <v>-1500</v>
      </c>
      <c r="I4" s="1046">
        <v>20</v>
      </c>
      <c r="J4" s="1047"/>
      <c r="K4" s="383">
        <v>0</v>
      </c>
      <c r="L4" s="383">
        <v>-1520</v>
      </c>
    </row>
    <row r="5" spans="1:12">
      <c r="B5" s="1050"/>
      <c r="C5" s="1050"/>
      <c r="D5" s="382" t="s">
        <v>2341</v>
      </c>
      <c r="E5" s="382" t="s">
        <v>1943</v>
      </c>
      <c r="F5" s="382" t="s">
        <v>2342</v>
      </c>
      <c r="G5" s="382" t="s">
        <v>2344</v>
      </c>
      <c r="H5" s="383">
        <v>-1500</v>
      </c>
      <c r="I5" s="1046">
        <v>1424.7</v>
      </c>
      <c r="J5" s="1047"/>
      <c r="K5" s="383">
        <v>2140.6999999999998</v>
      </c>
      <c r="L5" s="383">
        <v>-784</v>
      </c>
    </row>
    <row r="6" spans="1:12">
      <c r="B6" s="1050"/>
      <c r="C6" s="1050"/>
      <c r="D6" s="382" t="s">
        <v>2341</v>
      </c>
      <c r="E6" s="382" t="s">
        <v>1943</v>
      </c>
      <c r="F6" s="382" t="s">
        <v>2342</v>
      </c>
      <c r="G6" s="382" t="s">
        <v>2345</v>
      </c>
      <c r="H6" s="383">
        <v>-1500</v>
      </c>
      <c r="I6" s="1046">
        <v>1371</v>
      </c>
      <c r="J6" s="1047"/>
      <c r="K6" s="383">
        <v>1779</v>
      </c>
      <c r="L6" s="383">
        <v>-1092</v>
      </c>
    </row>
    <row r="7" spans="1:12">
      <c r="B7" s="1050"/>
      <c r="C7" s="1050"/>
      <c r="D7" s="382" t="s">
        <v>2341</v>
      </c>
      <c r="E7" s="382" t="s">
        <v>1943</v>
      </c>
      <c r="F7" s="382" t="s">
        <v>2342</v>
      </c>
      <c r="G7" s="382" t="s">
        <v>2346</v>
      </c>
      <c r="H7" s="383">
        <v>-1320.6</v>
      </c>
      <c r="I7" s="1046">
        <v>2294.4</v>
      </c>
      <c r="J7" s="1047"/>
      <c r="K7" s="383">
        <v>3306.6</v>
      </c>
      <c r="L7" s="383">
        <v>-308.39999999999998</v>
      </c>
    </row>
    <row r="8" spans="1:12">
      <c r="B8" s="1050"/>
      <c r="C8" s="1050"/>
      <c r="D8" s="382" t="s">
        <v>2341</v>
      </c>
      <c r="E8" s="382" t="s">
        <v>1943</v>
      </c>
      <c r="F8" s="382" t="s">
        <v>2342</v>
      </c>
      <c r="G8" s="382" t="s">
        <v>2347</v>
      </c>
      <c r="H8" s="383">
        <v>-1500</v>
      </c>
      <c r="I8" s="1046">
        <v>50</v>
      </c>
      <c r="J8" s="1047"/>
      <c r="K8" s="383">
        <v>1450.5</v>
      </c>
      <c r="L8" s="383">
        <v>-99.5</v>
      </c>
    </row>
    <row r="9" spans="1:12">
      <c r="B9" s="1050"/>
      <c r="C9" s="1050"/>
      <c r="D9" s="382" t="s">
        <v>2341</v>
      </c>
      <c r="E9" s="382" t="s">
        <v>1943</v>
      </c>
      <c r="F9" s="382" t="s">
        <v>2342</v>
      </c>
      <c r="G9" s="382" t="s">
        <v>2348</v>
      </c>
      <c r="H9" s="383">
        <v>-1500</v>
      </c>
      <c r="I9" s="1046">
        <v>1438.89</v>
      </c>
      <c r="J9" s="1047"/>
      <c r="K9" s="383">
        <v>1672.86</v>
      </c>
      <c r="L9" s="383">
        <v>-1266.03</v>
      </c>
    </row>
    <row r="10" spans="1:12">
      <c r="B10" s="1050"/>
      <c r="C10" s="1050"/>
      <c r="D10" s="382" t="s">
        <v>2341</v>
      </c>
      <c r="E10" s="382" t="s">
        <v>1943</v>
      </c>
      <c r="F10" s="382" t="s">
        <v>2342</v>
      </c>
      <c r="G10" s="382" t="s">
        <v>2349</v>
      </c>
      <c r="H10" s="383">
        <v>0</v>
      </c>
      <c r="I10" s="1046">
        <v>2968.65</v>
      </c>
      <c r="J10" s="1047"/>
      <c r="K10" s="383">
        <v>2154.3000000000002</v>
      </c>
      <c r="L10" s="383">
        <v>-814.35</v>
      </c>
    </row>
    <row r="11" spans="1:12">
      <c r="B11" s="1050"/>
      <c r="C11" s="1050"/>
      <c r="D11" s="382" t="s">
        <v>2341</v>
      </c>
      <c r="E11" s="382" t="s">
        <v>1943</v>
      </c>
      <c r="F11" s="382" t="s">
        <v>2342</v>
      </c>
      <c r="G11" s="382" t="s">
        <v>2350</v>
      </c>
      <c r="H11" s="383">
        <v>-1500</v>
      </c>
      <c r="I11" s="1046">
        <v>1465</v>
      </c>
      <c r="J11" s="1047"/>
      <c r="K11" s="383">
        <v>1465</v>
      </c>
      <c r="L11" s="383">
        <v>-1500</v>
      </c>
    </row>
    <row r="12" spans="1:12">
      <c r="B12" s="1050"/>
      <c r="C12" s="1050"/>
      <c r="D12" s="382" t="s">
        <v>2341</v>
      </c>
      <c r="E12" s="382" t="s">
        <v>1943</v>
      </c>
      <c r="F12" s="382" t="s">
        <v>2342</v>
      </c>
      <c r="G12" s="382" t="s">
        <v>2351</v>
      </c>
      <c r="H12" s="383">
        <v>-1500</v>
      </c>
      <c r="I12" s="1046">
        <v>1509.45</v>
      </c>
      <c r="J12" s="1047"/>
      <c r="K12" s="383">
        <v>2273.4499999999998</v>
      </c>
      <c r="L12" s="383">
        <v>-736</v>
      </c>
    </row>
    <row r="13" spans="1:12">
      <c r="B13" s="1050"/>
      <c r="C13" s="1050"/>
      <c r="D13" s="382" t="s">
        <v>2341</v>
      </c>
      <c r="E13" s="382" t="s">
        <v>1943</v>
      </c>
      <c r="F13" s="382" t="s">
        <v>2342</v>
      </c>
      <c r="G13" s="382" t="s">
        <v>2352</v>
      </c>
      <c r="H13" s="383">
        <v>-1428.5</v>
      </c>
      <c r="I13" s="1046">
        <v>0</v>
      </c>
      <c r="J13" s="1047"/>
      <c r="K13" s="383">
        <v>2732.5</v>
      </c>
      <c r="L13" s="383">
        <v>1304</v>
      </c>
    </row>
    <row r="14" spans="1:12">
      <c r="B14" s="1050"/>
      <c r="C14" s="1050"/>
      <c r="D14" s="382" t="s">
        <v>2341</v>
      </c>
      <c r="E14" s="382" t="s">
        <v>1943</v>
      </c>
      <c r="F14" s="382" t="s">
        <v>2342</v>
      </c>
      <c r="G14" s="382" t="s">
        <v>2353</v>
      </c>
      <c r="H14" s="383">
        <v>-1500</v>
      </c>
      <c r="I14" s="1046">
        <v>325</v>
      </c>
      <c r="J14" s="1047"/>
      <c r="K14" s="383">
        <v>1249.3</v>
      </c>
      <c r="L14" s="383">
        <v>-575.70000000000005</v>
      </c>
    </row>
    <row r="15" spans="1:12">
      <c r="B15" s="1050"/>
      <c r="C15" s="1050"/>
      <c r="D15" s="382" t="s">
        <v>2341</v>
      </c>
      <c r="E15" s="382" t="s">
        <v>1943</v>
      </c>
      <c r="F15" s="382" t="s">
        <v>2342</v>
      </c>
      <c r="G15" s="382" t="s">
        <v>405</v>
      </c>
      <c r="H15" s="383">
        <v>-1500</v>
      </c>
      <c r="I15" s="1046">
        <v>0</v>
      </c>
      <c r="J15" s="1047"/>
      <c r="K15" s="383">
        <v>1097</v>
      </c>
      <c r="L15" s="383">
        <v>-403</v>
      </c>
    </row>
    <row r="16" spans="1:12">
      <c r="B16" s="1050"/>
      <c r="C16" s="1050"/>
      <c r="D16" s="382" t="s">
        <v>2341</v>
      </c>
      <c r="E16" s="382" t="s">
        <v>1943</v>
      </c>
      <c r="F16" s="382" t="s">
        <v>2342</v>
      </c>
      <c r="G16" s="382" t="s">
        <v>2354</v>
      </c>
      <c r="H16" s="383">
        <v>-1500</v>
      </c>
      <c r="I16" s="1046">
        <v>758.5</v>
      </c>
      <c r="J16" s="1047"/>
      <c r="K16" s="383">
        <v>2258.5</v>
      </c>
      <c r="L16" s="383">
        <v>0</v>
      </c>
    </row>
    <row r="17" spans="2:12">
      <c r="B17" s="1050"/>
      <c r="C17" s="1050"/>
      <c r="D17" s="382" t="s">
        <v>2341</v>
      </c>
      <c r="E17" s="382" t="s">
        <v>1943</v>
      </c>
      <c r="F17" s="382" t="s">
        <v>2342</v>
      </c>
      <c r="G17" s="382" t="s">
        <v>2355</v>
      </c>
      <c r="H17" s="383">
        <v>-3000</v>
      </c>
      <c r="I17" s="1046">
        <v>0</v>
      </c>
      <c r="J17" s="1047"/>
      <c r="K17" s="383">
        <v>2988.15</v>
      </c>
      <c r="L17" s="383">
        <v>-11.85</v>
      </c>
    </row>
    <row r="18" spans="2:12">
      <c r="B18" s="1050"/>
      <c r="C18" s="1051"/>
      <c r="D18" s="359" t="s">
        <v>12</v>
      </c>
      <c r="E18" s="359" t="s">
        <v>111</v>
      </c>
      <c r="F18" s="359" t="s">
        <v>111</v>
      </c>
      <c r="G18" s="359" t="s">
        <v>111</v>
      </c>
      <c r="H18" s="384">
        <v>-20749.099999999999</v>
      </c>
      <c r="I18" s="1048">
        <v>13625.59</v>
      </c>
      <c r="J18" s="1047"/>
      <c r="K18" s="384">
        <v>26567.86</v>
      </c>
      <c r="L18" s="384">
        <v>-7806.83</v>
      </c>
    </row>
    <row r="19" spans="2:12">
      <c r="B19" s="1050"/>
      <c r="C19" s="1049" t="s">
        <v>2356</v>
      </c>
      <c r="D19" s="382" t="s">
        <v>2357</v>
      </c>
      <c r="E19" s="382" t="s">
        <v>1944</v>
      </c>
      <c r="F19" s="382" t="s">
        <v>2358</v>
      </c>
      <c r="G19" s="382" t="s">
        <v>2343</v>
      </c>
      <c r="H19" s="383">
        <v>0</v>
      </c>
      <c r="I19" s="1046">
        <v>0</v>
      </c>
      <c r="J19" s="1047"/>
      <c r="K19" s="383">
        <v>0</v>
      </c>
      <c r="L19" s="383">
        <v>0</v>
      </c>
    </row>
    <row r="20" spans="2:12">
      <c r="B20" s="1050"/>
      <c r="C20" s="1050"/>
      <c r="D20" s="382" t="s">
        <v>2357</v>
      </c>
      <c r="E20" s="382" t="s">
        <v>1944</v>
      </c>
      <c r="F20" s="382" t="s">
        <v>2342</v>
      </c>
      <c r="G20" s="382" t="s">
        <v>2343</v>
      </c>
      <c r="H20" s="383">
        <v>-126442.98</v>
      </c>
      <c r="I20" s="1046">
        <f>5618159.72+1000.12</f>
        <v>5619159.8399999999</v>
      </c>
      <c r="J20" s="1047"/>
      <c r="K20" s="383">
        <v>5688299.0700000003</v>
      </c>
      <c r="L20" s="383">
        <f>H20+K20-I20</f>
        <v>-57303.75</v>
      </c>
    </row>
    <row r="21" spans="2:12">
      <c r="B21" s="1050"/>
      <c r="C21" s="1050"/>
      <c r="D21" s="382" t="s">
        <v>2357</v>
      </c>
      <c r="E21" s="382" t="s">
        <v>1944</v>
      </c>
      <c r="F21" s="382" t="s">
        <v>2342</v>
      </c>
      <c r="G21" s="382" t="s">
        <v>2344</v>
      </c>
      <c r="H21" s="383">
        <v>-108852.55</v>
      </c>
      <c r="I21" s="1046">
        <v>3341742.49</v>
      </c>
      <c r="J21" s="1047"/>
      <c r="K21" s="383">
        <v>3383665.14</v>
      </c>
      <c r="L21" s="383">
        <f>H21+K21-I21</f>
        <v>-66929.899999999907</v>
      </c>
    </row>
    <row r="22" spans="2:12">
      <c r="B22" s="1050"/>
      <c r="C22" s="1050"/>
      <c r="D22" s="382" t="s">
        <v>2357</v>
      </c>
      <c r="E22" s="382" t="s">
        <v>1944</v>
      </c>
      <c r="F22" s="382" t="s">
        <v>2342</v>
      </c>
      <c r="G22" s="382" t="s">
        <v>2345</v>
      </c>
      <c r="H22" s="383">
        <v>-120928.15</v>
      </c>
      <c r="I22" s="1046">
        <f>3261276.98</f>
        <v>3261276.98</v>
      </c>
      <c r="J22" s="1047"/>
      <c r="K22" s="383">
        <v>3275580.78</v>
      </c>
      <c r="L22" s="383">
        <f>H22+K22-I22</f>
        <v>-106624.35000000009</v>
      </c>
    </row>
    <row r="23" spans="2:12">
      <c r="B23" s="1050"/>
      <c r="C23" s="1050"/>
      <c r="D23" s="382" t="s">
        <v>2357</v>
      </c>
      <c r="E23" s="382" t="s">
        <v>1944</v>
      </c>
      <c r="F23" s="382" t="s">
        <v>2342</v>
      </c>
      <c r="G23" s="382" t="s">
        <v>2346</v>
      </c>
      <c r="H23" s="383">
        <v>-65899.899999999994</v>
      </c>
      <c r="I23" s="1046">
        <v>1780267.72</v>
      </c>
      <c r="J23" s="1047"/>
      <c r="K23" s="383">
        <v>1817092.62</v>
      </c>
      <c r="L23" s="383">
        <v>-29075</v>
      </c>
    </row>
    <row r="24" spans="2:12">
      <c r="B24" s="1050"/>
      <c r="C24" s="1050"/>
      <c r="D24" s="382" t="s">
        <v>2357</v>
      </c>
      <c r="E24" s="382" t="s">
        <v>1944</v>
      </c>
      <c r="F24" s="382" t="s">
        <v>2358</v>
      </c>
      <c r="G24" s="382" t="s">
        <v>2347</v>
      </c>
      <c r="H24" s="383">
        <v>0</v>
      </c>
      <c r="I24" s="1046">
        <v>0</v>
      </c>
      <c r="J24" s="1047"/>
      <c r="K24" s="383">
        <v>0</v>
      </c>
      <c r="L24" s="383">
        <v>0</v>
      </c>
    </row>
    <row r="25" spans="2:12">
      <c r="B25" s="1050"/>
      <c r="C25" s="1050"/>
      <c r="D25" s="382" t="s">
        <v>2357</v>
      </c>
      <c r="E25" s="382" t="s">
        <v>1944</v>
      </c>
      <c r="F25" s="382" t="s">
        <v>2342</v>
      </c>
      <c r="G25" s="382" t="s">
        <v>2347</v>
      </c>
      <c r="H25" s="383">
        <v>-53855.65</v>
      </c>
      <c r="I25" s="1046">
        <v>6591154.3300000001</v>
      </c>
      <c r="J25" s="1047"/>
      <c r="K25" s="383">
        <v>6563987.6799999997</v>
      </c>
      <c r="L25" s="383">
        <v>-81022.3</v>
      </c>
    </row>
    <row r="26" spans="2:12">
      <c r="B26" s="1050"/>
      <c r="C26" s="1050"/>
      <c r="D26" s="382" t="s">
        <v>2357</v>
      </c>
      <c r="E26" s="382" t="s">
        <v>1944</v>
      </c>
      <c r="F26" s="382" t="s">
        <v>2358</v>
      </c>
      <c r="G26" s="382" t="s">
        <v>2348</v>
      </c>
      <c r="H26" s="383">
        <v>0</v>
      </c>
      <c r="I26" s="1046">
        <v>0</v>
      </c>
      <c r="J26" s="1047"/>
      <c r="K26" s="383">
        <v>0</v>
      </c>
      <c r="L26" s="383">
        <v>0</v>
      </c>
    </row>
    <row r="27" spans="2:12">
      <c r="B27" s="1050"/>
      <c r="C27" s="1050"/>
      <c r="D27" s="382" t="s">
        <v>2357</v>
      </c>
      <c r="E27" s="382" t="s">
        <v>1944</v>
      </c>
      <c r="F27" s="382" t="s">
        <v>2342</v>
      </c>
      <c r="G27" s="382" t="s">
        <v>2348</v>
      </c>
      <c r="H27" s="383">
        <v>-32245.4</v>
      </c>
      <c r="I27" s="1046">
        <v>4555195.3600000003</v>
      </c>
      <c r="J27" s="1047"/>
      <c r="K27" s="383">
        <v>4556612.3099999996</v>
      </c>
      <c r="L27" s="383">
        <v>-30828.45</v>
      </c>
    </row>
    <row r="28" spans="2:12">
      <c r="B28" s="1050"/>
      <c r="C28" s="1050"/>
      <c r="D28" s="382" t="s">
        <v>2357</v>
      </c>
      <c r="E28" s="382" t="s">
        <v>1944</v>
      </c>
      <c r="F28" s="382" t="s">
        <v>2342</v>
      </c>
      <c r="G28" s="382" t="s">
        <v>2349</v>
      </c>
      <c r="H28" s="383">
        <v>-82044.55</v>
      </c>
      <c r="I28" s="1046">
        <v>4785458.5199999996</v>
      </c>
      <c r="J28" s="1047"/>
      <c r="K28" s="383">
        <v>4753497.37</v>
      </c>
      <c r="L28" s="383">
        <v>-114005.7</v>
      </c>
    </row>
    <row r="29" spans="2:12">
      <c r="B29" s="1050"/>
      <c r="C29" s="1050"/>
      <c r="D29" s="382" t="s">
        <v>2357</v>
      </c>
      <c r="E29" s="382" t="s">
        <v>1944</v>
      </c>
      <c r="F29" s="382" t="s">
        <v>2342</v>
      </c>
      <c r="G29" s="382" t="s">
        <v>2350</v>
      </c>
      <c r="H29" s="383">
        <v>-165835.6</v>
      </c>
      <c r="I29" s="1046">
        <v>8840458.2400000002</v>
      </c>
      <c r="J29" s="1047"/>
      <c r="K29" s="383">
        <v>8926142.6400000006</v>
      </c>
      <c r="L29" s="383">
        <v>-80151.199999999997</v>
      </c>
    </row>
    <row r="30" spans="2:12">
      <c r="B30" s="1050"/>
      <c r="C30" s="1050"/>
      <c r="D30" s="382" t="s">
        <v>2357</v>
      </c>
      <c r="E30" s="382" t="s">
        <v>1944</v>
      </c>
      <c r="F30" s="382" t="s">
        <v>2342</v>
      </c>
      <c r="G30" s="382" t="s">
        <v>2351</v>
      </c>
      <c r="H30" s="383">
        <v>-68114.149999999994</v>
      </c>
      <c r="I30" s="1046">
        <v>3339916.7</v>
      </c>
      <c r="J30" s="1047"/>
      <c r="K30" s="383">
        <v>3339392.45</v>
      </c>
      <c r="L30" s="383">
        <v>-68638.399999999994</v>
      </c>
    </row>
    <row r="31" spans="2:12">
      <c r="B31" s="1050"/>
      <c r="C31" s="1050"/>
      <c r="D31" s="382" t="s">
        <v>2357</v>
      </c>
      <c r="E31" s="382" t="s">
        <v>1944</v>
      </c>
      <c r="F31" s="382" t="s">
        <v>2342</v>
      </c>
      <c r="G31" s="382" t="s">
        <v>2352</v>
      </c>
      <c r="H31" s="383">
        <v>-78575.649999999994</v>
      </c>
      <c r="I31" s="1046">
        <v>5773951.9000000004</v>
      </c>
      <c r="J31" s="1047"/>
      <c r="K31" s="383">
        <v>5821577</v>
      </c>
      <c r="L31" s="383">
        <v>-30950.55</v>
      </c>
    </row>
    <row r="32" spans="2:12">
      <c r="B32" s="1050"/>
      <c r="C32" s="1050"/>
      <c r="D32" s="382" t="s">
        <v>2357</v>
      </c>
      <c r="E32" s="382" t="s">
        <v>1944</v>
      </c>
      <c r="F32" s="382" t="s">
        <v>2342</v>
      </c>
      <c r="G32" s="382" t="s">
        <v>2353</v>
      </c>
      <c r="H32" s="383">
        <v>-106623.95</v>
      </c>
      <c r="I32" s="1046">
        <v>4041457.7</v>
      </c>
      <c r="J32" s="1047"/>
      <c r="K32" s="383">
        <v>4148081.65</v>
      </c>
      <c r="L32" s="383">
        <v>0</v>
      </c>
    </row>
    <row r="33" spans="2:12">
      <c r="B33" s="1050"/>
      <c r="C33" s="1050"/>
      <c r="D33" s="382" t="s">
        <v>2357</v>
      </c>
      <c r="E33" s="382" t="s">
        <v>1944</v>
      </c>
      <c r="F33" s="382" t="s">
        <v>2358</v>
      </c>
      <c r="G33" s="382" t="s">
        <v>405</v>
      </c>
      <c r="H33" s="383">
        <v>0</v>
      </c>
      <c r="I33" s="1046">
        <v>5077.63</v>
      </c>
      <c r="J33" s="1047"/>
      <c r="K33" s="383">
        <v>3394.12</v>
      </c>
      <c r="L33" s="383">
        <v>-1683.51</v>
      </c>
    </row>
    <row r="34" spans="2:12">
      <c r="B34" s="1050"/>
      <c r="C34" s="1050"/>
      <c r="D34" s="382" t="s">
        <v>2357</v>
      </c>
      <c r="E34" s="382" t="s">
        <v>1944</v>
      </c>
      <c r="F34" s="382" t="s">
        <v>2342</v>
      </c>
      <c r="G34" s="382" t="s">
        <v>405</v>
      </c>
      <c r="H34" s="383">
        <v>-88238.35</v>
      </c>
      <c r="I34" s="1046">
        <v>2249418.4</v>
      </c>
      <c r="J34" s="1047"/>
      <c r="K34" s="383">
        <v>2296121.25</v>
      </c>
      <c r="L34" s="383">
        <v>-41535.5</v>
      </c>
    </row>
    <row r="35" spans="2:12">
      <c r="B35" s="1050"/>
      <c r="C35" s="1050"/>
      <c r="D35" s="382" t="s">
        <v>2357</v>
      </c>
      <c r="E35" s="382" t="s">
        <v>1944</v>
      </c>
      <c r="F35" s="382" t="s">
        <v>2342</v>
      </c>
      <c r="G35" s="382" t="s">
        <v>2354</v>
      </c>
      <c r="H35" s="383">
        <v>-44617</v>
      </c>
      <c r="I35" s="1046">
        <v>1936590.6</v>
      </c>
      <c r="J35" s="1047"/>
      <c r="K35" s="383">
        <v>1917376.7</v>
      </c>
      <c r="L35" s="383">
        <v>-63830.9</v>
      </c>
    </row>
    <row r="36" spans="2:12">
      <c r="B36" s="1050"/>
      <c r="C36" s="1051"/>
      <c r="D36" s="359" t="s">
        <v>12</v>
      </c>
      <c r="E36" s="359" t="s">
        <v>111</v>
      </c>
      <c r="F36" s="359" t="s">
        <v>111</v>
      </c>
      <c r="G36" s="359" t="s">
        <v>111</v>
      </c>
      <c r="H36" s="384">
        <f>SUM(H19:H35)</f>
        <v>-1142273.8800000001</v>
      </c>
      <c r="I36" s="1048">
        <f>SUM(I19:I35)</f>
        <v>56121126.410000004</v>
      </c>
      <c r="J36" s="1047">
        <f>SUM(J19:J35)</f>
        <v>0</v>
      </c>
      <c r="K36" s="384">
        <f>SUM(K19:K35)</f>
        <v>56490820.780000001</v>
      </c>
      <c r="L36" s="384">
        <f>SUM(L19:L35)</f>
        <v>-772579.51000000013</v>
      </c>
    </row>
    <row r="37" spans="2:12">
      <c r="B37" s="1050"/>
      <c r="C37" s="1049" t="s">
        <v>2359</v>
      </c>
      <c r="D37" s="382" t="s">
        <v>2360</v>
      </c>
      <c r="E37" s="382" t="s">
        <v>1945</v>
      </c>
      <c r="F37" s="382" t="s">
        <v>2342</v>
      </c>
      <c r="G37" s="382" t="s">
        <v>2343</v>
      </c>
      <c r="H37" s="383">
        <v>-140000</v>
      </c>
      <c r="I37" s="1046">
        <v>1288371.47</v>
      </c>
      <c r="J37" s="1047"/>
      <c r="K37" s="383">
        <v>1428371.47</v>
      </c>
      <c r="L37" s="383">
        <v>0</v>
      </c>
    </row>
    <row r="38" spans="2:12">
      <c r="B38" s="1050"/>
      <c r="C38" s="1050"/>
      <c r="D38" s="382" t="s">
        <v>2360</v>
      </c>
      <c r="E38" s="382" t="s">
        <v>1945</v>
      </c>
      <c r="F38" s="382" t="s">
        <v>2342</v>
      </c>
      <c r="G38" s="382" t="s">
        <v>2344</v>
      </c>
      <c r="H38" s="383">
        <v>0</v>
      </c>
      <c r="I38" s="1046">
        <v>259067.95</v>
      </c>
      <c r="J38" s="1047"/>
      <c r="K38" s="383">
        <v>259067.95</v>
      </c>
      <c r="L38" s="383">
        <v>0</v>
      </c>
    </row>
    <row r="39" spans="2:12">
      <c r="B39" s="1050"/>
      <c r="C39" s="1050"/>
      <c r="D39" s="382" t="s">
        <v>2360</v>
      </c>
      <c r="E39" s="382" t="s">
        <v>1945</v>
      </c>
      <c r="F39" s="382" t="s">
        <v>2342</v>
      </c>
      <c r="G39" s="382" t="s">
        <v>2345</v>
      </c>
      <c r="H39" s="383">
        <v>-200000</v>
      </c>
      <c r="I39" s="1046">
        <v>519693.95</v>
      </c>
      <c r="J39" s="1047"/>
      <c r="K39" s="383">
        <v>719693.95</v>
      </c>
      <c r="L39" s="383">
        <v>0</v>
      </c>
    </row>
    <row r="40" spans="2:12">
      <c r="B40" s="1050"/>
      <c r="C40" s="1050"/>
      <c r="D40" s="382" t="s">
        <v>2360</v>
      </c>
      <c r="E40" s="382" t="s">
        <v>1945</v>
      </c>
      <c r="F40" s="382" t="s">
        <v>2342</v>
      </c>
      <c r="G40" s="382" t="s">
        <v>2346</v>
      </c>
      <c r="H40" s="383">
        <v>0</v>
      </c>
      <c r="I40" s="1046">
        <v>326839.90000000002</v>
      </c>
      <c r="J40" s="1047"/>
      <c r="K40" s="383">
        <v>326839.90000000002</v>
      </c>
      <c r="L40" s="383">
        <v>0</v>
      </c>
    </row>
    <row r="41" spans="2:12">
      <c r="B41" s="1050"/>
      <c r="C41" s="1050"/>
      <c r="D41" s="382" t="s">
        <v>2360</v>
      </c>
      <c r="E41" s="382" t="s">
        <v>1945</v>
      </c>
      <c r="F41" s="382" t="s">
        <v>2342</v>
      </c>
      <c r="G41" s="382" t="s">
        <v>2347</v>
      </c>
      <c r="H41" s="383">
        <v>-100000</v>
      </c>
      <c r="I41" s="1046">
        <v>1154869.7</v>
      </c>
      <c r="J41" s="1047"/>
      <c r="K41" s="383">
        <v>1154869.7</v>
      </c>
      <c r="L41" s="383">
        <v>-100000</v>
      </c>
    </row>
    <row r="42" spans="2:12">
      <c r="B42" s="1050"/>
      <c r="C42" s="1050"/>
      <c r="D42" s="382" t="s">
        <v>2360</v>
      </c>
      <c r="E42" s="382" t="s">
        <v>1945</v>
      </c>
      <c r="F42" s="382" t="s">
        <v>2342</v>
      </c>
      <c r="G42" s="382" t="s">
        <v>2348</v>
      </c>
      <c r="H42" s="383">
        <v>-100000</v>
      </c>
      <c r="I42" s="1046">
        <v>1139862.7</v>
      </c>
      <c r="J42" s="1047"/>
      <c r="K42" s="383">
        <v>1239862.7</v>
      </c>
      <c r="L42" s="383">
        <v>0</v>
      </c>
    </row>
    <row r="43" spans="2:12">
      <c r="B43" s="1050"/>
      <c r="C43" s="1050"/>
      <c r="D43" s="382" t="s">
        <v>2360</v>
      </c>
      <c r="E43" s="382" t="s">
        <v>1945</v>
      </c>
      <c r="F43" s="382" t="s">
        <v>2342</v>
      </c>
      <c r="G43" s="382" t="s">
        <v>2349</v>
      </c>
      <c r="H43" s="383">
        <v>0</v>
      </c>
      <c r="I43" s="1046">
        <v>729161.95</v>
      </c>
      <c r="J43" s="1047"/>
      <c r="K43" s="383">
        <v>729161.95</v>
      </c>
      <c r="L43" s="383">
        <v>0</v>
      </c>
    </row>
    <row r="44" spans="2:12">
      <c r="B44" s="1050"/>
      <c r="C44" s="1050"/>
      <c r="D44" s="382" t="s">
        <v>2360</v>
      </c>
      <c r="E44" s="382" t="s">
        <v>1945</v>
      </c>
      <c r="F44" s="382" t="s">
        <v>2342</v>
      </c>
      <c r="G44" s="382" t="s">
        <v>2350</v>
      </c>
      <c r="H44" s="383">
        <v>-70000</v>
      </c>
      <c r="I44" s="1046">
        <v>1318074.3</v>
      </c>
      <c r="J44" s="1047"/>
      <c r="K44" s="383">
        <v>1388074.3</v>
      </c>
      <c r="L44" s="383">
        <v>0</v>
      </c>
    </row>
    <row r="45" spans="2:12">
      <c r="B45" s="1050"/>
      <c r="C45" s="1050"/>
      <c r="D45" s="382" t="s">
        <v>2360</v>
      </c>
      <c r="E45" s="382" t="s">
        <v>1945</v>
      </c>
      <c r="F45" s="382" t="s">
        <v>2342</v>
      </c>
      <c r="G45" s="382" t="s">
        <v>2351</v>
      </c>
      <c r="H45" s="383">
        <v>0</v>
      </c>
      <c r="I45" s="1046">
        <v>1153295.8</v>
      </c>
      <c r="J45" s="1047"/>
      <c r="K45" s="383">
        <v>1153295.8</v>
      </c>
      <c r="L45" s="383">
        <v>0</v>
      </c>
    </row>
    <row r="46" spans="2:12">
      <c r="B46" s="1050"/>
      <c r="C46" s="1050"/>
      <c r="D46" s="382" t="s">
        <v>2360</v>
      </c>
      <c r="E46" s="382" t="s">
        <v>1945</v>
      </c>
      <c r="F46" s="382" t="s">
        <v>2342</v>
      </c>
      <c r="G46" s="382" t="s">
        <v>2352</v>
      </c>
      <c r="H46" s="383">
        <v>0</v>
      </c>
      <c r="I46" s="1046">
        <v>968151.2</v>
      </c>
      <c r="J46" s="1047"/>
      <c r="K46" s="383">
        <v>968151.2</v>
      </c>
      <c r="L46" s="383">
        <v>0</v>
      </c>
    </row>
    <row r="47" spans="2:12">
      <c r="B47" s="1050"/>
      <c r="C47" s="1050"/>
      <c r="D47" s="382" t="s">
        <v>2360</v>
      </c>
      <c r="E47" s="382" t="s">
        <v>1945</v>
      </c>
      <c r="F47" s="382" t="s">
        <v>2342</v>
      </c>
      <c r="G47" s="382" t="s">
        <v>2353</v>
      </c>
      <c r="H47" s="383">
        <v>0</v>
      </c>
      <c r="I47" s="1046">
        <v>247421.9</v>
      </c>
      <c r="J47" s="1047"/>
      <c r="K47" s="383">
        <v>161307.9</v>
      </c>
      <c r="L47" s="383">
        <v>-86114</v>
      </c>
    </row>
    <row r="48" spans="2:12">
      <c r="B48" s="1050"/>
      <c r="C48" s="1050"/>
      <c r="D48" s="382" t="s">
        <v>2360</v>
      </c>
      <c r="E48" s="382" t="s">
        <v>1945</v>
      </c>
      <c r="F48" s="382" t="s">
        <v>2358</v>
      </c>
      <c r="G48" s="382" t="s">
        <v>405</v>
      </c>
      <c r="H48" s="383">
        <v>0</v>
      </c>
      <c r="I48" s="1046">
        <v>1683.51</v>
      </c>
      <c r="J48" s="1047"/>
      <c r="K48" s="383">
        <v>1683.51</v>
      </c>
      <c r="L48" s="383">
        <v>0</v>
      </c>
    </row>
    <row r="49" spans="2:12">
      <c r="B49" s="1050"/>
      <c r="C49" s="1050"/>
      <c r="D49" s="382" t="s">
        <v>2360</v>
      </c>
      <c r="E49" s="382" t="s">
        <v>1945</v>
      </c>
      <c r="F49" s="382" t="s">
        <v>2342</v>
      </c>
      <c r="G49" s="382" t="s">
        <v>405</v>
      </c>
      <c r="H49" s="383">
        <v>-1627</v>
      </c>
      <c r="I49" s="1046">
        <v>276805.90000000002</v>
      </c>
      <c r="J49" s="1047"/>
      <c r="K49" s="383">
        <v>278432.90000000002</v>
      </c>
      <c r="L49" s="383">
        <v>0</v>
      </c>
    </row>
    <row r="50" spans="2:12">
      <c r="B50" s="1050"/>
      <c r="C50" s="1050"/>
      <c r="D50" s="382" t="s">
        <v>2360</v>
      </c>
      <c r="E50" s="382" t="s">
        <v>1945</v>
      </c>
      <c r="F50" s="382" t="s">
        <v>2342</v>
      </c>
      <c r="G50" s="382" t="s">
        <v>2354</v>
      </c>
      <c r="H50" s="383">
        <v>-90000</v>
      </c>
      <c r="I50" s="1046">
        <v>538451.6</v>
      </c>
      <c r="J50" s="1047"/>
      <c r="K50" s="383">
        <v>628451.6</v>
      </c>
      <c r="L50" s="383">
        <v>0</v>
      </c>
    </row>
    <row r="51" spans="2:12">
      <c r="B51" s="1050"/>
      <c r="C51" s="1050"/>
      <c r="D51" s="382" t="s">
        <v>2360</v>
      </c>
      <c r="E51" s="382" t="s">
        <v>1945</v>
      </c>
      <c r="F51" s="382" t="s">
        <v>2342</v>
      </c>
      <c r="G51" s="382" t="s">
        <v>2355</v>
      </c>
      <c r="H51" s="383">
        <v>0</v>
      </c>
      <c r="I51" s="1046">
        <v>100000</v>
      </c>
      <c r="J51" s="1047"/>
      <c r="K51" s="383">
        <v>100000</v>
      </c>
      <c r="L51" s="383">
        <v>0</v>
      </c>
    </row>
    <row r="52" spans="2:12">
      <c r="B52" s="1050"/>
      <c r="C52" s="1051"/>
      <c r="D52" s="359" t="s">
        <v>12</v>
      </c>
      <c r="E52" s="359" t="s">
        <v>111</v>
      </c>
      <c r="F52" s="359" t="s">
        <v>111</v>
      </c>
      <c r="G52" s="359" t="s">
        <v>111</v>
      </c>
      <c r="H52" s="384">
        <v>-701627</v>
      </c>
      <c r="I52" s="1048">
        <v>10021751.83</v>
      </c>
      <c r="J52" s="1047"/>
      <c r="K52" s="384">
        <v>10537264.83</v>
      </c>
      <c r="L52" s="384">
        <v>-186114</v>
      </c>
    </row>
    <row r="53" spans="2:12">
      <c r="B53" s="1050"/>
      <c r="C53" s="1049" t="s">
        <v>2361</v>
      </c>
      <c r="D53" s="382" t="s">
        <v>2362</v>
      </c>
      <c r="E53" s="382" t="s">
        <v>1946</v>
      </c>
      <c r="F53" s="382" t="s">
        <v>2342</v>
      </c>
      <c r="G53" s="382" t="s">
        <v>2345</v>
      </c>
      <c r="H53" s="383">
        <v>-3000</v>
      </c>
      <c r="I53" s="1046">
        <v>0</v>
      </c>
      <c r="J53" s="1047"/>
      <c r="K53" s="383">
        <v>0</v>
      </c>
      <c r="L53" s="383">
        <v>-3000</v>
      </c>
    </row>
    <row r="54" spans="2:12">
      <c r="B54" s="1050"/>
      <c r="C54" s="1050"/>
      <c r="D54" s="382" t="s">
        <v>2362</v>
      </c>
      <c r="E54" s="382" t="s">
        <v>1946</v>
      </c>
      <c r="F54" s="382" t="s">
        <v>2342</v>
      </c>
      <c r="G54" s="382" t="s">
        <v>2346</v>
      </c>
      <c r="H54" s="383">
        <v>80000</v>
      </c>
      <c r="I54" s="1046">
        <v>0</v>
      </c>
      <c r="J54" s="1047"/>
      <c r="K54" s="383">
        <v>0</v>
      </c>
      <c r="L54" s="383">
        <v>80000</v>
      </c>
    </row>
    <row r="55" spans="2:12">
      <c r="B55" s="1050"/>
      <c r="C55" s="1050"/>
      <c r="D55" s="382" t="s">
        <v>2362</v>
      </c>
      <c r="E55" s="382" t="s">
        <v>1946</v>
      </c>
      <c r="F55" s="382" t="s">
        <v>2342</v>
      </c>
      <c r="G55" s="382" t="s">
        <v>2350</v>
      </c>
      <c r="H55" s="383">
        <v>-27000</v>
      </c>
      <c r="I55" s="1046">
        <v>0</v>
      </c>
      <c r="J55" s="1047"/>
      <c r="K55" s="383">
        <v>0</v>
      </c>
      <c r="L55" s="383">
        <v>-27000</v>
      </c>
    </row>
    <row r="56" spans="2:12">
      <c r="B56" s="1050"/>
      <c r="C56" s="1050"/>
      <c r="D56" s="382" t="s">
        <v>2362</v>
      </c>
      <c r="E56" s="382" t="s">
        <v>1946</v>
      </c>
      <c r="F56" s="382" t="s">
        <v>2342</v>
      </c>
      <c r="G56" s="382" t="s">
        <v>2352</v>
      </c>
      <c r="H56" s="383">
        <v>100000</v>
      </c>
      <c r="I56" s="1046">
        <v>0</v>
      </c>
      <c r="J56" s="1047"/>
      <c r="K56" s="383">
        <v>0</v>
      </c>
      <c r="L56" s="383">
        <v>100000</v>
      </c>
    </row>
    <row r="57" spans="2:12">
      <c r="B57" s="1050"/>
      <c r="C57" s="1050"/>
      <c r="D57" s="382" t="s">
        <v>2362</v>
      </c>
      <c r="E57" s="382" t="s">
        <v>1946</v>
      </c>
      <c r="F57" s="382" t="s">
        <v>2358</v>
      </c>
      <c r="G57" s="382" t="s">
        <v>2355</v>
      </c>
      <c r="H57" s="383">
        <v>0</v>
      </c>
      <c r="I57" s="1046">
        <v>0</v>
      </c>
      <c r="J57" s="1047"/>
      <c r="K57" s="383">
        <v>0</v>
      </c>
      <c r="L57" s="383">
        <v>0</v>
      </c>
    </row>
    <row r="58" spans="2:12">
      <c r="B58" s="1050"/>
      <c r="C58" s="1050"/>
      <c r="D58" s="382" t="s">
        <v>2362</v>
      </c>
      <c r="E58" s="382" t="s">
        <v>1946</v>
      </c>
      <c r="F58" s="382" t="s">
        <v>2342</v>
      </c>
      <c r="G58" s="382" t="s">
        <v>2355</v>
      </c>
      <c r="H58" s="383">
        <v>-1944466.77</v>
      </c>
      <c r="I58" s="1046">
        <v>5384081.75</v>
      </c>
      <c r="J58" s="1047"/>
      <c r="K58" s="383">
        <v>5755811</v>
      </c>
      <c r="L58" s="383">
        <v>-1572737.52</v>
      </c>
    </row>
    <row r="59" spans="2:12">
      <c r="B59" s="1050"/>
      <c r="C59" s="1050"/>
      <c r="D59" s="382" t="s">
        <v>2363</v>
      </c>
      <c r="E59" s="382" t="s">
        <v>1947</v>
      </c>
      <c r="F59" s="382" t="s">
        <v>2342</v>
      </c>
      <c r="G59" s="382" t="s">
        <v>2346</v>
      </c>
      <c r="H59" s="383">
        <v>-71274.02</v>
      </c>
      <c r="I59" s="1046">
        <v>65902.78</v>
      </c>
      <c r="J59" s="1047"/>
      <c r="K59" s="383">
        <v>0</v>
      </c>
      <c r="L59" s="383">
        <v>-137176.79999999999</v>
      </c>
    </row>
    <row r="60" spans="2:12">
      <c r="B60" s="1050"/>
      <c r="C60" s="1050"/>
      <c r="D60" s="382" t="s">
        <v>2363</v>
      </c>
      <c r="E60" s="382" t="s">
        <v>1947</v>
      </c>
      <c r="F60" s="382" t="s">
        <v>2342</v>
      </c>
      <c r="G60" s="382" t="s">
        <v>2355</v>
      </c>
      <c r="H60" s="383">
        <v>-159177.51999999999</v>
      </c>
      <c r="I60" s="1046">
        <v>285838.34000000003</v>
      </c>
      <c r="J60" s="1047"/>
      <c r="K60" s="383">
        <v>250463</v>
      </c>
      <c r="L60" s="383">
        <v>-194552.86</v>
      </c>
    </row>
    <row r="61" spans="2:12">
      <c r="B61" s="1050"/>
      <c r="C61" s="1050"/>
      <c r="D61" s="382" t="s">
        <v>2364</v>
      </c>
      <c r="E61" s="382" t="s">
        <v>1948</v>
      </c>
      <c r="F61" s="382" t="s">
        <v>2342</v>
      </c>
      <c r="G61" s="382" t="s">
        <v>2344</v>
      </c>
      <c r="H61" s="383">
        <v>-383705.25</v>
      </c>
      <c r="I61" s="1046">
        <v>2820</v>
      </c>
      <c r="J61" s="1047"/>
      <c r="K61" s="383">
        <v>0</v>
      </c>
      <c r="L61" s="383">
        <v>-386525.25</v>
      </c>
    </row>
    <row r="62" spans="2:12">
      <c r="B62" s="1050"/>
      <c r="C62" s="1050"/>
      <c r="D62" s="382" t="s">
        <v>2364</v>
      </c>
      <c r="E62" s="382" t="s">
        <v>1948</v>
      </c>
      <c r="F62" s="382" t="s">
        <v>2342</v>
      </c>
      <c r="G62" s="382" t="s">
        <v>2354</v>
      </c>
      <c r="H62" s="383">
        <v>-314548.52</v>
      </c>
      <c r="I62" s="1046">
        <v>0</v>
      </c>
      <c r="J62" s="1047"/>
      <c r="K62" s="383">
        <v>0</v>
      </c>
      <c r="L62" s="383">
        <v>-314548.52</v>
      </c>
    </row>
    <row r="63" spans="2:12">
      <c r="B63" s="1050"/>
      <c r="C63" s="1050"/>
      <c r="D63" s="382" t="s">
        <v>2364</v>
      </c>
      <c r="E63" s="382" t="s">
        <v>1948</v>
      </c>
      <c r="F63" s="382" t="s">
        <v>2342</v>
      </c>
      <c r="G63" s="382" t="s">
        <v>2355</v>
      </c>
      <c r="H63" s="383">
        <v>-42785.8</v>
      </c>
      <c r="I63" s="1046">
        <v>205412.1</v>
      </c>
      <c r="J63" s="1047"/>
      <c r="K63" s="383">
        <v>800611.65</v>
      </c>
      <c r="L63" s="383">
        <v>552413.75</v>
      </c>
    </row>
    <row r="64" spans="2:12">
      <c r="B64" s="1050"/>
      <c r="C64" s="1050"/>
      <c r="D64" s="382" t="s">
        <v>2365</v>
      </c>
      <c r="E64" s="382" t="s">
        <v>1949</v>
      </c>
      <c r="F64" s="382" t="s">
        <v>2342</v>
      </c>
      <c r="G64" s="382" t="s">
        <v>2344</v>
      </c>
      <c r="H64" s="383">
        <v>-290</v>
      </c>
      <c r="I64" s="1046">
        <v>0</v>
      </c>
      <c r="J64" s="1047"/>
      <c r="K64" s="383">
        <v>0</v>
      </c>
      <c r="L64" s="383">
        <v>-290</v>
      </c>
    </row>
    <row r="65" spans="2:12">
      <c r="B65" s="1050"/>
      <c r="C65" s="1050"/>
      <c r="D65" s="382" t="s">
        <v>2365</v>
      </c>
      <c r="E65" s="382" t="s">
        <v>1949</v>
      </c>
      <c r="F65" s="382" t="s">
        <v>2358</v>
      </c>
      <c r="G65" s="382" t="s">
        <v>2345</v>
      </c>
      <c r="H65" s="383">
        <v>0</v>
      </c>
      <c r="I65" s="1046">
        <v>0</v>
      </c>
      <c r="J65" s="1047"/>
      <c r="K65" s="383">
        <v>0</v>
      </c>
      <c r="L65" s="383">
        <v>0</v>
      </c>
    </row>
    <row r="66" spans="2:12">
      <c r="B66" s="1050"/>
      <c r="C66" s="1050"/>
      <c r="D66" s="382" t="s">
        <v>2365</v>
      </c>
      <c r="E66" s="382" t="s">
        <v>1949</v>
      </c>
      <c r="F66" s="382" t="s">
        <v>2342</v>
      </c>
      <c r="G66" s="382" t="s">
        <v>2345</v>
      </c>
      <c r="H66" s="383">
        <v>-512718.76</v>
      </c>
      <c r="I66" s="1046">
        <v>346252.79999999999</v>
      </c>
      <c r="J66" s="1047"/>
      <c r="K66" s="383">
        <v>0</v>
      </c>
      <c r="L66" s="383">
        <v>-858971.56</v>
      </c>
    </row>
    <row r="67" spans="2:12">
      <c r="B67" s="1050"/>
      <c r="C67" s="1050"/>
      <c r="D67" s="382" t="s">
        <v>2365</v>
      </c>
      <c r="E67" s="382" t="s">
        <v>1949</v>
      </c>
      <c r="F67" s="382" t="s">
        <v>2342</v>
      </c>
      <c r="G67" s="382" t="s">
        <v>2355</v>
      </c>
      <c r="H67" s="383">
        <v>-57256.11</v>
      </c>
      <c r="I67" s="1046">
        <v>137201.95000000001</v>
      </c>
      <c r="J67" s="1047"/>
      <c r="K67" s="383">
        <v>813111.5</v>
      </c>
      <c r="L67" s="383">
        <v>618653.43999999994</v>
      </c>
    </row>
    <row r="68" spans="2:12">
      <c r="B68" s="1050"/>
      <c r="C68" s="1050"/>
      <c r="D68" s="382" t="s">
        <v>2366</v>
      </c>
      <c r="E68" s="382" t="s">
        <v>1950</v>
      </c>
      <c r="F68" s="382" t="s">
        <v>2358</v>
      </c>
      <c r="G68" s="382" t="s">
        <v>2347</v>
      </c>
      <c r="H68" s="383">
        <v>-2031.39</v>
      </c>
      <c r="I68" s="1046">
        <v>1811.04</v>
      </c>
      <c r="J68" s="1047"/>
      <c r="K68" s="383">
        <v>0</v>
      </c>
      <c r="L68" s="383">
        <v>-3842.43</v>
      </c>
    </row>
    <row r="69" spans="2:12">
      <c r="B69" s="1050"/>
      <c r="C69" s="1050"/>
      <c r="D69" s="382" t="s">
        <v>2366</v>
      </c>
      <c r="E69" s="382" t="s">
        <v>1950</v>
      </c>
      <c r="F69" s="382" t="s">
        <v>2342</v>
      </c>
      <c r="G69" s="382" t="s">
        <v>2347</v>
      </c>
      <c r="H69" s="383">
        <v>-283191.15999999997</v>
      </c>
      <c r="I69" s="1046">
        <v>150968.97</v>
      </c>
      <c r="J69" s="1047"/>
      <c r="K69" s="383">
        <v>0</v>
      </c>
      <c r="L69" s="383">
        <v>-434160.13</v>
      </c>
    </row>
    <row r="70" spans="2:12">
      <c r="B70" s="1050"/>
      <c r="C70" s="1050"/>
      <c r="D70" s="382" t="s">
        <v>2366</v>
      </c>
      <c r="E70" s="382" t="s">
        <v>1950</v>
      </c>
      <c r="F70" s="382" t="s">
        <v>2358</v>
      </c>
      <c r="G70" s="382" t="s">
        <v>2355</v>
      </c>
      <c r="H70" s="383">
        <v>0</v>
      </c>
      <c r="I70" s="1046">
        <v>0</v>
      </c>
      <c r="J70" s="1047"/>
      <c r="K70" s="383">
        <v>13281.93</v>
      </c>
      <c r="L70" s="383">
        <v>13281.93</v>
      </c>
    </row>
    <row r="71" spans="2:12">
      <c r="B71" s="1050"/>
      <c r="C71" s="1050"/>
      <c r="D71" s="382" t="s">
        <v>2366</v>
      </c>
      <c r="E71" s="382" t="s">
        <v>1950</v>
      </c>
      <c r="F71" s="382" t="s">
        <v>2342</v>
      </c>
      <c r="G71" s="382" t="s">
        <v>2355</v>
      </c>
      <c r="H71" s="383">
        <v>-173342.41</v>
      </c>
      <c r="I71" s="1046">
        <v>61634.85</v>
      </c>
      <c r="J71" s="1047"/>
      <c r="K71" s="383">
        <v>501162.56</v>
      </c>
      <c r="L71" s="383">
        <v>266185.3</v>
      </c>
    </row>
    <row r="72" spans="2:12">
      <c r="B72" s="1050"/>
      <c r="C72" s="1050"/>
      <c r="D72" s="382" t="s">
        <v>2367</v>
      </c>
      <c r="E72" s="382" t="s">
        <v>1951</v>
      </c>
      <c r="F72" s="382" t="s">
        <v>2342</v>
      </c>
      <c r="G72" s="382" t="s">
        <v>2348</v>
      </c>
      <c r="H72" s="383">
        <v>-455035.25</v>
      </c>
      <c r="I72" s="1046">
        <v>190575</v>
      </c>
      <c r="J72" s="1047"/>
      <c r="K72" s="383">
        <v>0</v>
      </c>
      <c r="L72" s="383">
        <v>-645610.25</v>
      </c>
    </row>
    <row r="73" spans="2:12">
      <c r="B73" s="1050"/>
      <c r="C73" s="1050"/>
      <c r="D73" s="382" t="s">
        <v>2367</v>
      </c>
      <c r="E73" s="382" t="s">
        <v>1951</v>
      </c>
      <c r="F73" s="382" t="s">
        <v>2342</v>
      </c>
      <c r="G73" s="382" t="s">
        <v>2355</v>
      </c>
      <c r="H73" s="383">
        <v>98478.81</v>
      </c>
      <c r="I73" s="1046">
        <v>221</v>
      </c>
      <c r="J73" s="1047"/>
      <c r="K73" s="383">
        <v>401144</v>
      </c>
      <c r="L73" s="383">
        <v>499401.81</v>
      </c>
    </row>
    <row r="74" spans="2:12">
      <c r="B74" s="1050"/>
      <c r="C74" s="1050"/>
      <c r="D74" s="382" t="s">
        <v>2368</v>
      </c>
      <c r="E74" s="382" t="s">
        <v>1952</v>
      </c>
      <c r="F74" s="382" t="s">
        <v>2342</v>
      </c>
      <c r="G74" s="382" t="s">
        <v>2355</v>
      </c>
      <c r="H74" s="383">
        <v>-34943.599999999999</v>
      </c>
      <c r="I74" s="1046">
        <v>349.69</v>
      </c>
      <c r="J74" s="1047"/>
      <c r="K74" s="383">
        <v>24</v>
      </c>
      <c r="L74" s="383">
        <v>-35269.29</v>
      </c>
    </row>
    <row r="75" spans="2:12">
      <c r="B75" s="1050"/>
      <c r="C75" s="1050"/>
      <c r="D75" s="382" t="s">
        <v>2369</v>
      </c>
      <c r="E75" s="382" t="s">
        <v>1953</v>
      </c>
      <c r="F75" s="382" t="s">
        <v>2342</v>
      </c>
      <c r="G75" s="382" t="s">
        <v>2347</v>
      </c>
      <c r="H75" s="383">
        <v>0</v>
      </c>
      <c r="I75" s="1046">
        <v>1160</v>
      </c>
      <c r="J75" s="1047"/>
      <c r="K75" s="383">
        <v>0</v>
      </c>
      <c r="L75" s="383">
        <v>-1160</v>
      </c>
    </row>
    <row r="76" spans="2:12">
      <c r="B76" s="1050"/>
      <c r="C76" s="1050"/>
      <c r="D76" s="382" t="s">
        <v>2369</v>
      </c>
      <c r="E76" s="382" t="s">
        <v>1953</v>
      </c>
      <c r="F76" s="382" t="s">
        <v>2342</v>
      </c>
      <c r="G76" s="382" t="s">
        <v>2355</v>
      </c>
      <c r="H76" s="383">
        <v>-2130951.14</v>
      </c>
      <c r="I76" s="1046">
        <v>18301324.379999999</v>
      </c>
      <c r="J76" s="1047"/>
      <c r="K76" s="383">
        <v>19601425.5</v>
      </c>
      <c r="L76" s="383">
        <v>-830850.02</v>
      </c>
    </row>
    <row r="77" spans="2:12">
      <c r="B77" s="1050"/>
      <c r="C77" s="1050"/>
      <c r="D77" s="382" t="s">
        <v>2370</v>
      </c>
      <c r="E77" s="382" t="s">
        <v>1954</v>
      </c>
      <c r="F77" s="382" t="s">
        <v>2342</v>
      </c>
      <c r="G77" s="382" t="s">
        <v>2355</v>
      </c>
      <c r="H77" s="383">
        <v>-33076.89</v>
      </c>
      <c r="I77" s="1046">
        <v>21971870.219999999</v>
      </c>
      <c r="J77" s="1047"/>
      <c r="K77" s="383">
        <v>21455185.870000001</v>
      </c>
      <c r="L77" s="383">
        <v>-549761.24</v>
      </c>
    </row>
    <row r="78" spans="2:12">
      <c r="B78" s="1050"/>
      <c r="C78" s="1050"/>
      <c r="D78" s="382" t="s">
        <v>2371</v>
      </c>
      <c r="E78" s="382" t="s">
        <v>1955</v>
      </c>
      <c r="F78" s="382" t="s">
        <v>2342</v>
      </c>
      <c r="G78" s="382" t="s">
        <v>2355</v>
      </c>
      <c r="H78" s="383">
        <v>-26929.439999999999</v>
      </c>
      <c r="I78" s="1046">
        <v>217</v>
      </c>
      <c r="J78" s="1047"/>
      <c r="K78" s="383">
        <v>463</v>
      </c>
      <c r="L78" s="383">
        <v>-26683.439999999999</v>
      </c>
    </row>
    <row r="79" spans="2:12">
      <c r="B79" s="1050"/>
      <c r="C79" s="1050"/>
      <c r="D79" s="382" t="s">
        <v>2372</v>
      </c>
      <c r="E79" s="382" t="s">
        <v>1956</v>
      </c>
      <c r="F79" s="382" t="s">
        <v>2342</v>
      </c>
      <c r="G79" s="382" t="s">
        <v>2355</v>
      </c>
      <c r="H79" s="383">
        <v>-3598.42</v>
      </c>
      <c r="I79" s="1046">
        <v>0</v>
      </c>
      <c r="J79" s="1047"/>
      <c r="K79" s="383">
        <v>0</v>
      </c>
      <c r="L79" s="383">
        <v>-3598.42</v>
      </c>
    </row>
    <row r="80" spans="2:12">
      <c r="B80" s="1050"/>
      <c r="C80" s="1050"/>
      <c r="D80" s="382" t="s">
        <v>2373</v>
      </c>
      <c r="E80" s="382" t="s">
        <v>1957</v>
      </c>
      <c r="F80" s="382" t="s">
        <v>2342</v>
      </c>
      <c r="G80" s="382" t="s">
        <v>2345</v>
      </c>
      <c r="H80" s="383">
        <v>-126786.04</v>
      </c>
      <c r="I80" s="1046">
        <v>56088.5</v>
      </c>
      <c r="J80" s="1047"/>
      <c r="K80" s="383">
        <v>0</v>
      </c>
      <c r="L80" s="383">
        <v>-182874.54</v>
      </c>
    </row>
    <row r="81" spans="2:12">
      <c r="B81" s="1050"/>
      <c r="C81" s="1050"/>
      <c r="D81" s="382" t="s">
        <v>2373</v>
      </c>
      <c r="E81" s="382" t="s">
        <v>1957</v>
      </c>
      <c r="F81" s="382" t="s">
        <v>2342</v>
      </c>
      <c r="G81" s="382" t="s">
        <v>2346</v>
      </c>
      <c r="H81" s="383">
        <v>-287112.01</v>
      </c>
      <c r="I81" s="1046">
        <v>164541.9</v>
      </c>
      <c r="J81" s="1047"/>
      <c r="K81" s="383">
        <v>0</v>
      </c>
      <c r="L81" s="383">
        <v>-451653.91</v>
      </c>
    </row>
    <row r="82" spans="2:12">
      <c r="B82" s="1050"/>
      <c r="C82" s="1050"/>
      <c r="D82" s="382" t="s">
        <v>2373</v>
      </c>
      <c r="E82" s="382" t="s">
        <v>1957</v>
      </c>
      <c r="F82" s="382" t="s">
        <v>2342</v>
      </c>
      <c r="G82" s="382" t="s">
        <v>2351</v>
      </c>
      <c r="H82" s="383">
        <v>0</v>
      </c>
      <c r="I82" s="1046">
        <v>62617</v>
      </c>
      <c r="J82" s="1047"/>
      <c r="K82" s="383">
        <v>0</v>
      </c>
      <c r="L82" s="383">
        <v>-62617</v>
      </c>
    </row>
    <row r="83" spans="2:12">
      <c r="B83" s="1050"/>
      <c r="C83" s="1050"/>
      <c r="D83" s="382" t="s">
        <v>2373</v>
      </c>
      <c r="E83" s="382" t="s">
        <v>1957</v>
      </c>
      <c r="F83" s="382" t="s">
        <v>2342</v>
      </c>
      <c r="G83" s="382" t="s">
        <v>2355</v>
      </c>
      <c r="H83" s="383">
        <v>-245695.09</v>
      </c>
      <c r="I83" s="1046">
        <f>323734.74+23576.17</f>
        <v>347310.91</v>
      </c>
      <c r="J83" s="1047"/>
      <c r="K83" s="383">
        <v>1109725</v>
      </c>
      <c r="L83" s="383">
        <f>H83+K83-I83</f>
        <v>516719.00000000006</v>
      </c>
    </row>
    <row r="84" spans="2:12">
      <c r="B84" s="1050"/>
      <c r="C84" s="1051"/>
      <c r="D84" s="359" t="s">
        <v>12</v>
      </c>
      <c r="E84" s="359" t="s">
        <v>111</v>
      </c>
      <c r="F84" s="359" t="s">
        <v>111</v>
      </c>
      <c r="G84" s="359" t="s">
        <v>111</v>
      </c>
      <c r="H84" s="384">
        <f>SUM(H53:H83)</f>
        <v>-7040436.7800000003</v>
      </c>
      <c r="I84" s="1048">
        <f>SUM(I53:I83)</f>
        <v>47738200.179999992</v>
      </c>
      <c r="J84" s="1047">
        <f>SUM(J53:J83)</f>
        <v>0</v>
      </c>
      <c r="K84" s="384">
        <f>SUM(K53:K83)</f>
        <v>50702409.010000005</v>
      </c>
      <c r="L84" s="384">
        <f>SUM(L53:L83)</f>
        <v>-4076227.95</v>
      </c>
    </row>
    <row r="85" spans="2:12">
      <c r="B85" s="1050"/>
      <c r="C85" s="1049" t="s">
        <v>2374</v>
      </c>
      <c r="D85" s="382" t="s">
        <v>2375</v>
      </c>
      <c r="E85" s="382" t="s">
        <v>1958</v>
      </c>
      <c r="F85" s="382" t="s">
        <v>2342</v>
      </c>
      <c r="G85" s="382" t="s">
        <v>2355</v>
      </c>
      <c r="H85" s="383">
        <v>0</v>
      </c>
      <c r="I85" s="1046">
        <v>0</v>
      </c>
      <c r="J85" s="1047"/>
      <c r="K85" s="383">
        <v>0</v>
      </c>
      <c r="L85" s="383">
        <v>0</v>
      </c>
    </row>
    <row r="86" spans="2:12">
      <c r="B86" s="1050"/>
      <c r="C86" s="1051"/>
      <c r="D86" s="359" t="s">
        <v>12</v>
      </c>
      <c r="E86" s="359" t="s">
        <v>111</v>
      </c>
      <c r="F86" s="359" t="s">
        <v>111</v>
      </c>
      <c r="G86" s="359" t="s">
        <v>111</v>
      </c>
      <c r="H86" s="384">
        <v>0</v>
      </c>
      <c r="I86" s="1048">
        <v>0</v>
      </c>
      <c r="J86" s="1047"/>
      <c r="K86" s="384">
        <v>0</v>
      </c>
      <c r="L86" s="384">
        <v>0</v>
      </c>
    </row>
    <row r="87" spans="2:12">
      <c r="B87" s="1050"/>
      <c r="C87" s="1049" t="s">
        <v>2376</v>
      </c>
      <c r="D87" s="382" t="s">
        <v>2377</v>
      </c>
      <c r="E87" s="382" t="s">
        <v>1959</v>
      </c>
      <c r="F87" s="382" t="s">
        <v>2342</v>
      </c>
      <c r="G87" s="382" t="s">
        <v>2355</v>
      </c>
      <c r="H87" s="383">
        <v>-60000</v>
      </c>
      <c r="I87" s="1046">
        <v>15000000</v>
      </c>
      <c r="J87" s="1047"/>
      <c r="K87" s="383">
        <v>6000000</v>
      </c>
      <c r="L87" s="383">
        <v>-9060000</v>
      </c>
    </row>
    <row r="88" spans="2:12">
      <c r="B88" s="1050"/>
      <c r="C88" s="1051"/>
      <c r="D88" s="359" t="s">
        <v>12</v>
      </c>
      <c r="E88" s="359" t="s">
        <v>111</v>
      </c>
      <c r="F88" s="359" t="s">
        <v>111</v>
      </c>
      <c r="G88" s="359" t="s">
        <v>111</v>
      </c>
      <c r="H88" s="384">
        <v>-60000</v>
      </c>
      <c r="I88" s="1048">
        <v>15000000</v>
      </c>
      <c r="J88" s="1047"/>
      <c r="K88" s="384">
        <v>6000000</v>
      </c>
      <c r="L88" s="384">
        <v>-9060000</v>
      </c>
    </row>
    <row r="89" spans="2:12">
      <c r="B89" s="1050"/>
      <c r="C89" s="1049" t="s">
        <v>2378</v>
      </c>
      <c r="D89" s="382" t="s">
        <v>2379</v>
      </c>
      <c r="E89" s="382" t="s">
        <v>1960</v>
      </c>
      <c r="F89" s="382" t="s">
        <v>2342</v>
      </c>
      <c r="G89" s="382" t="s">
        <v>2355</v>
      </c>
      <c r="H89" s="383">
        <v>-2368587.6800000002</v>
      </c>
      <c r="I89" s="1046">
        <v>123148.54</v>
      </c>
      <c r="J89" s="1047"/>
      <c r="K89" s="383">
        <v>270307.96000000002</v>
      </c>
      <c r="L89" s="383">
        <v>-2221428.2599999998</v>
      </c>
    </row>
    <row r="90" spans="2:12">
      <c r="B90" s="1050"/>
      <c r="C90" s="1051"/>
      <c r="D90" s="359" t="s">
        <v>12</v>
      </c>
      <c r="E90" s="359" t="s">
        <v>111</v>
      </c>
      <c r="F90" s="359" t="s">
        <v>111</v>
      </c>
      <c r="G90" s="359" t="s">
        <v>111</v>
      </c>
      <c r="H90" s="384">
        <v>-2368587.6800000002</v>
      </c>
      <c r="I90" s="1048">
        <v>123148.54</v>
      </c>
      <c r="J90" s="1047"/>
      <c r="K90" s="384">
        <v>270307.96000000002</v>
      </c>
      <c r="L90" s="384">
        <v>-2221428.2599999998</v>
      </c>
    </row>
    <row r="91" spans="2:12">
      <c r="B91" s="1050"/>
      <c r="C91" s="1049" t="s">
        <v>2380</v>
      </c>
      <c r="D91" s="382" t="s">
        <v>2381</v>
      </c>
      <c r="E91" s="382" t="s">
        <v>2382</v>
      </c>
      <c r="F91" s="382" t="s">
        <v>2342</v>
      </c>
      <c r="G91" s="382" t="s">
        <v>2355</v>
      </c>
      <c r="H91" s="383">
        <v>-62329.05</v>
      </c>
      <c r="I91" s="1046">
        <v>7258.48</v>
      </c>
      <c r="J91" s="1047"/>
      <c r="K91" s="383">
        <v>13745.08</v>
      </c>
      <c r="L91" s="383">
        <v>-55842.45</v>
      </c>
    </row>
    <row r="92" spans="2:12">
      <c r="B92" s="1050"/>
      <c r="C92" s="1051"/>
      <c r="D92" s="359" t="s">
        <v>12</v>
      </c>
      <c r="E92" s="359" t="s">
        <v>111</v>
      </c>
      <c r="F92" s="359" t="s">
        <v>111</v>
      </c>
      <c r="G92" s="359" t="s">
        <v>111</v>
      </c>
      <c r="H92" s="384">
        <v>-62329.05</v>
      </c>
      <c r="I92" s="1048">
        <v>7258.48</v>
      </c>
      <c r="J92" s="1047"/>
      <c r="K92" s="384">
        <v>13745.08</v>
      </c>
      <c r="L92" s="384">
        <v>-55842.45</v>
      </c>
    </row>
    <row r="93" spans="2:12">
      <c r="B93" s="1050"/>
      <c r="C93" s="1049" t="s">
        <v>2383</v>
      </c>
      <c r="D93" s="382" t="s">
        <v>2384</v>
      </c>
      <c r="E93" s="382" t="s">
        <v>1961</v>
      </c>
      <c r="F93" s="382" t="s">
        <v>2342</v>
      </c>
      <c r="G93" s="382" t="s">
        <v>2343</v>
      </c>
      <c r="H93" s="383">
        <v>-2608935.41</v>
      </c>
      <c r="I93" s="1046">
        <v>839561.94</v>
      </c>
      <c r="J93" s="1047"/>
      <c r="K93" s="383">
        <v>647610.1</v>
      </c>
      <c r="L93" s="383">
        <v>-2800887.25</v>
      </c>
    </row>
    <row r="94" spans="2:12">
      <c r="B94" s="1050"/>
      <c r="C94" s="1050"/>
      <c r="D94" s="382" t="s">
        <v>2384</v>
      </c>
      <c r="E94" s="382" t="s">
        <v>1961</v>
      </c>
      <c r="F94" s="382" t="s">
        <v>2342</v>
      </c>
      <c r="G94" s="382" t="s">
        <v>2344</v>
      </c>
      <c r="H94" s="383">
        <v>-1533529.02</v>
      </c>
      <c r="I94" s="1046">
        <v>260200</v>
      </c>
      <c r="J94" s="1047"/>
      <c r="K94" s="383">
        <v>396070.58</v>
      </c>
      <c r="L94" s="383">
        <v>-1397658.44</v>
      </c>
    </row>
    <row r="95" spans="2:12">
      <c r="B95" s="1050"/>
      <c r="C95" s="1050"/>
      <c r="D95" s="382" t="s">
        <v>2384</v>
      </c>
      <c r="E95" s="382" t="s">
        <v>1961</v>
      </c>
      <c r="F95" s="382" t="s">
        <v>2342</v>
      </c>
      <c r="G95" s="382" t="s">
        <v>2345</v>
      </c>
      <c r="H95" s="383">
        <v>-1118371.8</v>
      </c>
      <c r="I95" s="1046">
        <v>148552.1</v>
      </c>
      <c r="J95" s="1047"/>
      <c r="K95" s="383">
        <v>288263.21999999997</v>
      </c>
      <c r="L95" s="383">
        <v>-978660.68</v>
      </c>
    </row>
    <row r="96" spans="2:12">
      <c r="B96" s="1050"/>
      <c r="C96" s="1050"/>
      <c r="D96" s="382" t="s">
        <v>2384</v>
      </c>
      <c r="E96" s="382" t="s">
        <v>1961</v>
      </c>
      <c r="F96" s="382" t="s">
        <v>2342</v>
      </c>
      <c r="G96" s="382" t="s">
        <v>2346</v>
      </c>
      <c r="H96" s="383">
        <v>-879371.57</v>
      </c>
      <c r="I96" s="1046">
        <v>42720.94</v>
      </c>
      <c r="J96" s="1047"/>
      <c r="K96" s="383">
        <f>187282.67+17335.17</f>
        <v>204617.84000000003</v>
      </c>
      <c r="L96" s="383">
        <f>H96+K96-I96</f>
        <v>-717474.66999999993</v>
      </c>
    </row>
    <row r="97" spans="2:12">
      <c r="B97" s="1050"/>
      <c r="C97" s="1050"/>
      <c r="D97" s="382" t="s">
        <v>2384</v>
      </c>
      <c r="E97" s="382" t="s">
        <v>1961</v>
      </c>
      <c r="F97" s="382" t="s">
        <v>2342</v>
      </c>
      <c r="G97" s="382" t="s">
        <v>2347</v>
      </c>
      <c r="H97" s="383">
        <v>-1993245</v>
      </c>
      <c r="I97" s="1046">
        <v>424088.15</v>
      </c>
      <c r="J97" s="1047"/>
      <c r="K97" s="383">
        <v>505295.44</v>
      </c>
      <c r="L97" s="383">
        <v>-1912037.71</v>
      </c>
    </row>
    <row r="98" spans="2:12">
      <c r="B98" s="1050"/>
      <c r="C98" s="1050"/>
      <c r="D98" s="382" t="s">
        <v>2384</v>
      </c>
      <c r="E98" s="382" t="s">
        <v>1961</v>
      </c>
      <c r="F98" s="382" t="s">
        <v>2342</v>
      </c>
      <c r="G98" s="382" t="s">
        <v>2348</v>
      </c>
      <c r="H98" s="383">
        <v>-2519054.33</v>
      </c>
      <c r="I98" s="1046">
        <v>347963.4</v>
      </c>
      <c r="J98" s="1047"/>
      <c r="K98" s="383">
        <v>592832.6</v>
      </c>
      <c r="L98" s="383">
        <v>-2274185.13</v>
      </c>
    </row>
    <row r="99" spans="2:12">
      <c r="B99" s="1050"/>
      <c r="C99" s="1050"/>
      <c r="D99" s="382" t="s">
        <v>2384</v>
      </c>
      <c r="E99" s="382" t="s">
        <v>1961</v>
      </c>
      <c r="F99" s="382" t="s">
        <v>2342</v>
      </c>
      <c r="G99" s="382" t="s">
        <v>2349</v>
      </c>
      <c r="H99" s="383">
        <v>-2632094.3199999998</v>
      </c>
      <c r="I99" s="1046">
        <v>630297.15</v>
      </c>
      <c r="J99" s="1047"/>
      <c r="K99" s="383">
        <v>609487.53</v>
      </c>
      <c r="L99" s="383">
        <v>-2652903.94</v>
      </c>
    </row>
    <row r="100" spans="2:12">
      <c r="B100" s="1050"/>
      <c r="C100" s="1050"/>
      <c r="D100" s="382" t="s">
        <v>2384</v>
      </c>
      <c r="E100" s="382" t="s">
        <v>1961</v>
      </c>
      <c r="F100" s="382" t="s">
        <v>2342</v>
      </c>
      <c r="G100" s="382" t="s">
        <v>2350</v>
      </c>
      <c r="H100" s="383">
        <v>-1623569.65</v>
      </c>
      <c r="I100" s="1046">
        <v>636340.91</v>
      </c>
      <c r="J100" s="1047"/>
      <c r="K100" s="383">
        <v>439390.98</v>
      </c>
      <c r="L100" s="383">
        <v>-1820519.58</v>
      </c>
    </row>
    <row r="101" spans="2:12">
      <c r="B101" s="1050"/>
      <c r="C101" s="1050"/>
      <c r="D101" s="382" t="s">
        <v>2384</v>
      </c>
      <c r="E101" s="382" t="s">
        <v>1961</v>
      </c>
      <c r="F101" s="382" t="s">
        <v>2342</v>
      </c>
      <c r="G101" s="382" t="s">
        <v>2351</v>
      </c>
      <c r="H101" s="383">
        <v>-435909.52</v>
      </c>
      <c r="I101" s="1046">
        <v>32053.29</v>
      </c>
      <c r="J101" s="1047"/>
      <c r="K101" s="383">
        <v>123654.15</v>
      </c>
      <c r="L101" s="383">
        <v>-344308.66</v>
      </c>
    </row>
    <row r="102" spans="2:12">
      <c r="B102" s="1050"/>
      <c r="C102" s="1050"/>
      <c r="D102" s="382" t="s">
        <v>2384</v>
      </c>
      <c r="E102" s="382" t="s">
        <v>1961</v>
      </c>
      <c r="F102" s="382" t="s">
        <v>2342</v>
      </c>
      <c r="G102" s="382" t="s">
        <v>2352</v>
      </c>
      <c r="H102" s="383">
        <v>-1085307</v>
      </c>
      <c r="I102" s="1046">
        <v>186584.77</v>
      </c>
      <c r="J102" s="1047"/>
      <c r="K102" s="383">
        <v>273039.15000000002</v>
      </c>
      <c r="L102" s="383">
        <v>-998852.62</v>
      </c>
    </row>
    <row r="103" spans="2:12">
      <c r="B103" s="1050"/>
      <c r="C103" s="1050"/>
      <c r="D103" s="382" t="s">
        <v>2384</v>
      </c>
      <c r="E103" s="382" t="s">
        <v>1961</v>
      </c>
      <c r="F103" s="382" t="s">
        <v>2342</v>
      </c>
      <c r="G103" s="382" t="s">
        <v>2353</v>
      </c>
      <c r="H103" s="383">
        <v>-1834554.53</v>
      </c>
      <c r="I103" s="1046">
        <v>478395.75</v>
      </c>
      <c r="J103" s="1047"/>
      <c r="K103" s="383">
        <v>428869.02</v>
      </c>
      <c r="L103" s="383">
        <v>-1884081.26</v>
      </c>
    </row>
    <row r="104" spans="2:12">
      <c r="B104" s="1050"/>
      <c r="C104" s="1050"/>
      <c r="D104" s="382" t="s">
        <v>2384</v>
      </c>
      <c r="E104" s="382" t="s">
        <v>1961</v>
      </c>
      <c r="F104" s="382" t="s">
        <v>2342</v>
      </c>
      <c r="G104" s="382" t="s">
        <v>405</v>
      </c>
      <c r="H104" s="383">
        <v>-1434221.36</v>
      </c>
      <c r="I104" s="1046">
        <v>384079.37</v>
      </c>
      <c r="J104" s="1047"/>
      <c r="K104" s="383">
        <v>267033.74</v>
      </c>
      <c r="L104" s="383">
        <v>-1551266.99</v>
      </c>
    </row>
    <row r="105" spans="2:12">
      <c r="B105" s="1050"/>
      <c r="C105" s="1050"/>
      <c r="D105" s="382" t="s">
        <v>2384</v>
      </c>
      <c r="E105" s="382" t="s">
        <v>1961</v>
      </c>
      <c r="F105" s="382" t="s">
        <v>2342</v>
      </c>
      <c r="G105" s="382" t="s">
        <v>2354</v>
      </c>
      <c r="H105" s="383">
        <v>-212450</v>
      </c>
      <c r="I105" s="1046">
        <v>216300</v>
      </c>
      <c r="J105" s="1047"/>
      <c r="K105" s="383">
        <v>31972.18</v>
      </c>
      <c r="L105" s="383">
        <v>-396777.82</v>
      </c>
    </row>
    <row r="106" spans="2:12">
      <c r="B106" s="1050"/>
      <c r="C106" s="1050"/>
      <c r="D106" s="382" t="s">
        <v>2385</v>
      </c>
      <c r="E106" s="382" t="s">
        <v>1962</v>
      </c>
      <c r="F106" s="382" t="s">
        <v>2342</v>
      </c>
      <c r="G106" s="382" t="s">
        <v>2353</v>
      </c>
      <c r="H106" s="383">
        <v>-197875.73</v>
      </c>
      <c r="I106" s="1046">
        <v>87000</v>
      </c>
      <c r="J106" s="1047"/>
      <c r="K106" s="383">
        <v>30262.25</v>
      </c>
      <c r="L106" s="383">
        <v>-254613.48</v>
      </c>
    </row>
    <row r="107" spans="2:12">
      <c r="B107" s="1050"/>
      <c r="C107" s="1050"/>
      <c r="D107" s="382" t="s">
        <v>2386</v>
      </c>
      <c r="E107" s="382" t="s">
        <v>1963</v>
      </c>
      <c r="F107" s="382" t="s">
        <v>2342</v>
      </c>
      <c r="G107" s="382" t="s">
        <v>2343</v>
      </c>
      <c r="H107" s="383">
        <v>-1028735.46</v>
      </c>
      <c r="I107" s="1046">
        <v>243573.66</v>
      </c>
      <c r="J107" s="1047"/>
      <c r="K107" s="383">
        <v>253757.13</v>
      </c>
      <c r="L107" s="383">
        <v>-1018551.99</v>
      </c>
    </row>
    <row r="108" spans="2:12">
      <c r="B108" s="1050"/>
      <c r="C108" s="1050"/>
      <c r="D108" s="382" t="s">
        <v>2386</v>
      </c>
      <c r="E108" s="382" t="s">
        <v>1963</v>
      </c>
      <c r="F108" s="382" t="s">
        <v>2342</v>
      </c>
      <c r="G108" s="382" t="s">
        <v>2344</v>
      </c>
      <c r="H108" s="383">
        <v>-1426730.84</v>
      </c>
      <c r="I108" s="1046">
        <v>281500</v>
      </c>
      <c r="J108" s="1047"/>
      <c r="K108" s="383">
        <v>361726.14</v>
      </c>
      <c r="L108" s="383">
        <v>-1346504.7</v>
      </c>
    </row>
    <row r="109" spans="2:12">
      <c r="B109" s="1050"/>
      <c r="C109" s="1050"/>
      <c r="D109" s="382" t="s">
        <v>2386</v>
      </c>
      <c r="E109" s="382" t="s">
        <v>1963</v>
      </c>
      <c r="F109" s="382" t="s">
        <v>2342</v>
      </c>
      <c r="G109" s="382" t="s">
        <v>2345</v>
      </c>
      <c r="H109" s="383">
        <v>-1445650.65</v>
      </c>
      <c r="I109" s="1046">
        <v>254987.1</v>
      </c>
      <c r="J109" s="1047"/>
      <c r="K109" s="383">
        <v>284115</v>
      </c>
      <c r="L109" s="383">
        <v>-1416522.75</v>
      </c>
    </row>
    <row r="110" spans="2:12">
      <c r="B110" s="1050"/>
      <c r="C110" s="1050"/>
      <c r="D110" s="382" t="s">
        <v>2386</v>
      </c>
      <c r="E110" s="382" t="s">
        <v>1963</v>
      </c>
      <c r="F110" s="382" t="s">
        <v>2342</v>
      </c>
      <c r="G110" s="382" t="s">
        <v>2346</v>
      </c>
      <c r="H110" s="383">
        <v>-638072.55000000005</v>
      </c>
      <c r="I110" s="1046">
        <v>78510.22</v>
      </c>
      <c r="J110" s="1047"/>
      <c r="K110" s="383">
        <v>155255.03</v>
      </c>
      <c r="L110" s="383">
        <v>-561327.74</v>
      </c>
    </row>
    <row r="111" spans="2:12">
      <c r="B111" s="1050"/>
      <c r="C111" s="1050"/>
      <c r="D111" s="382" t="s">
        <v>2386</v>
      </c>
      <c r="E111" s="382" t="s">
        <v>1963</v>
      </c>
      <c r="F111" s="382" t="s">
        <v>2342</v>
      </c>
      <c r="G111" s="382" t="s">
        <v>2347</v>
      </c>
      <c r="H111" s="383">
        <v>-2742178.79</v>
      </c>
      <c r="I111" s="1046">
        <v>762297.77</v>
      </c>
      <c r="J111" s="1047"/>
      <c r="K111" s="383">
        <v>660853.51</v>
      </c>
      <c r="L111" s="383">
        <v>-2843623.05</v>
      </c>
    </row>
    <row r="112" spans="2:12">
      <c r="B112" s="1050"/>
      <c r="C112" s="1050"/>
      <c r="D112" s="382" t="s">
        <v>2386</v>
      </c>
      <c r="E112" s="382" t="s">
        <v>1963</v>
      </c>
      <c r="F112" s="382" t="s">
        <v>2342</v>
      </c>
      <c r="G112" s="382" t="s">
        <v>2348</v>
      </c>
      <c r="H112" s="383">
        <v>-1795506.01</v>
      </c>
      <c r="I112" s="1046">
        <v>240524.43</v>
      </c>
      <c r="J112" s="1047"/>
      <c r="K112" s="383">
        <v>415063.97</v>
      </c>
      <c r="L112" s="383">
        <v>-1620966.47</v>
      </c>
    </row>
    <row r="113" spans="2:12">
      <c r="B113" s="1050"/>
      <c r="C113" s="1050"/>
      <c r="D113" s="382" t="s">
        <v>2386</v>
      </c>
      <c r="E113" s="382" t="s">
        <v>1963</v>
      </c>
      <c r="F113" s="382" t="s">
        <v>2342</v>
      </c>
      <c r="G113" s="382" t="s">
        <v>2349</v>
      </c>
      <c r="H113" s="383">
        <v>-1889836.87</v>
      </c>
      <c r="I113" s="1046">
        <v>185900</v>
      </c>
      <c r="J113" s="1047"/>
      <c r="K113" s="383">
        <v>408644.97</v>
      </c>
      <c r="L113" s="383">
        <v>-1667091.9</v>
      </c>
    </row>
    <row r="114" spans="2:12">
      <c r="B114" s="1050"/>
      <c r="C114" s="1050"/>
      <c r="D114" s="382" t="s">
        <v>2386</v>
      </c>
      <c r="E114" s="382" t="s">
        <v>1963</v>
      </c>
      <c r="F114" s="382" t="s">
        <v>2342</v>
      </c>
      <c r="G114" s="382" t="s">
        <v>2350</v>
      </c>
      <c r="H114" s="383">
        <v>-3290089.7</v>
      </c>
      <c r="I114" s="1046">
        <v>948723.5</v>
      </c>
      <c r="J114" s="1047"/>
      <c r="K114" s="383">
        <v>777626.56</v>
      </c>
      <c r="L114" s="383">
        <v>-3461186.64</v>
      </c>
    </row>
    <row r="115" spans="2:12">
      <c r="B115" s="1050"/>
      <c r="C115" s="1050"/>
      <c r="D115" s="382" t="s">
        <v>2386</v>
      </c>
      <c r="E115" s="382" t="s">
        <v>1963</v>
      </c>
      <c r="F115" s="382" t="s">
        <v>2342</v>
      </c>
      <c r="G115" s="382" t="s">
        <v>2351</v>
      </c>
      <c r="H115" s="383">
        <v>-1526949.66</v>
      </c>
      <c r="I115" s="1046">
        <v>107600</v>
      </c>
      <c r="J115" s="1047"/>
      <c r="K115" s="383">
        <v>352911.23</v>
      </c>
      <c r="L115" s="383">
        <v>-1281638.43</v>
      </c>
    </row>
    <row r="116" spans="2:12">
      <c r="B116" s="1050"/>
      <c r="C116" s="1050"/>
      <c r="D116" s="382" t="s">
        <v>2386</v>
      </c>
      <c r="E116" s="382" t="s">
        <v>1963</v>
      </c>
      <c r="F116" s="382" t="s">
        <v>2342</v>
      </c>
      <c r="G116" s="382" t="s">
        <v>2352</v>
      </c>
      <c r="H116" s="383">
        <v>-1034325.84</v>
      </c>
      <c r="I116" s="1046">
        <v>169400</v>
      </c>
      <c r="J116" s="1047"/>
      <c r="K116" s="383">
        <v>216085.13</v>
      </c>
      <c r="L116" s="383">
        <v>-987640.71</v>
      </c>
    </row>
    <row r="117" spans="2:12">
      <c r="B117" s="1050"/>
      <c r="C117" s="1050"/>
      <c r="D117" s="382" t="s">
        <v>2386</v>
      </c>
      <c r="E117" s="382" t="s">
        <v>1963</v>
      </c>
      <c r="F117" s="382" t="s">
        <v>2342</v>
      </c>
      <c r="G117" s="382" t="s">
        <v>2353</v>
      </c>
      <c r="H117" s="383">
        <v>-1944452.98</v>
      </c>
      <c r="I117" s="1046">
        <v>438200</v>
      </c>
      <c r="J117" s="1047"/>
      <c r="K117" s="383">
        <v>415417.85</v>
      </c>
      <c r="L117" s="383">
        <v>-1967235.13</v>
      </c>
    </row>
    <row r="118" spans="2:12">
      <c r="B118" s="1050"/>
      <c r="C118" s="1050"/>
      <c r="D118" s="382" t="s">
        <v>2386</v>
      </c>
      <c r="E118" s="382" t="s">
        <v>1963</v>
      </c>
      <c r="F118" s="382" t="s">
        <v>2342</v>
      </c>
      <c r="G118" s="382" t="s">
        <v>405</v>
      </c>
      <c r="H118" s="383">
        <v>-906714.96</v>
      </c>
      <c r="I118" s="1046">
        <v>161389.76000000001</v>
      </c>
      <c r="J118" s="1047"/>
      <c r="K118" s="383">
        <v>206919</v>
      </c>
      <c r="L118" s="383">
        <v>-861185.72</v>
      </c>
    </row>
    <row r="119" spans="2:12">
      <c r="B119" s="1050"/>
      <c r="C119" s="1050"/>
      <c r="D119" s="382" t="s">
        <v>2386</v>
      </c>
      <c r="E119" s="382" t="s">
        <v>1963</v>
      </c>
      <c r="F119" s="382" t="s">
        <v>2342</v>
      </c>
      <c r="G119" s="382" t="s">
        <v>2354</v>
      </c>
      <c r="H119" s="383">
        <v>-129200</v>
      </c>
      <c r="I119" s="1046">
        <v>262300</v>
      </c>
      <c r="J119" s="1047"/>
      <c r="K119" s="383">
        <v>9312.11</v>
      </c>
      <c r="L119" s="383">
        <v>-382187.89</v>
      </c>
    </row>
    <row r="120" spans="2:12">
      <c r="B120" s="1050"/>
      <c r="C120" s="1050"/>
      <c r="D120" s="382" t="s">
        <v>2387</v>
      </c>
      <c r="E120" s="382" t="s">
        <v>1964</v>
      </c>
      <c r="F120" s="382" t="s">
        <v>2342</v>
      </c>
      <c r="G120" s="382" t="s">
        <v>2343</v>
      </c>
      <c r="H120" s="383">
        <v>-1085065.8400000001</v>
      </c>
      <c r="I120" s="1046">
        <v>220986.35</v>
      </c>
      <c r="J120" s="1047"/>
      <c r="K120" s="383">
        <v>274084.87</v>
      </c>
      <c r="L120" s="383">
        <v>-1031967.32</v>
      </c>
    </row>
    <row r="121" spans="2:12">
      <c r="B121" s="1050"/>
      <c r="C121" s="1050"/>
      <c r="D121" s="382" t="s">
        <v>2387</v>
      </c>
      <c r="E121" s="382" t="s">
        <v>1964</v>
      </c>
      <c r="F121" s="382" t="s">
        <v>2342</v>
      </c>
      <c r="G121" s="382" t="s">
        <v>2344</v>
      </c>
      <c r="H121" s="383">
        <v>-1649266.85</v>
      </c>
      <c r="I121" s="1046">
        <v>196500</v>
      </c>
      <c r="J121" s="1047"/>
      <c r="K121" s="383">
        <v>301858.48</v>
      </c>
      <c r="L121" s="383">
        <v>-1543908.37</v>
      </c>
    </row>
    <row r="122" spans="2:12">
      <c r="B122" s="1050"/>
      <c r="C122" s="1050"/>
      <c r="D122" s="382" t="s">
        <v>2387</v>
      </c>
      <c r="E122" s="382" t="s">
        <v>1964</v>
      </c>
      <c r="F122" s="382" t="s">
        <v>2342</v>
      </c>
      <c r="G122" s="382" t="s">
        <v>2345</v>
      </c>
      <c r="H122" s="383">
        <v>-718661.43</v>
      </c>
      <c r="I122" s="1046">
        <v>141236.25</v>
      </c>
      <c r="J122" s="1047"/>
      <c r="K122" s="383">
        <v>131574.63</v>
      </c>
      <c r="L122" s="383">
        <v>-728323.05</v>
      </c>
    </row>
    <row r="123" spans="2:12">
      <c r="B123" s="1050"/>
      <c r="C123" s="1050"/>
      <c r="D123" s="382" t="s">
        <v>2387</v>
      </c>
      <c r="E123" s="382" t="s">
        <v>1964</v>
      </c>
      <c r="F123" s="382" t="s">
        <v>2342</v>
      </c>
      <c r="G123" s="382" t="s">
        <v>2346</v>
      </c>
      <c r="H123" s="383">
        <v>-1133136.4099999999</v>
      </c>
      <c r="I123" s="1046">
        <v>232000</v>
      </c>
      <c r="J123" s="1047"/>
      <c r="K123" s="383">
        <v>192155.9</v>
      </c>
      <c r="L123" s="383">
        <v>-1172980.51</v>
      </c>
    </row>
    <row r="124" spans="2:12">
      <c r="B124" s="1050"/>
      <c r="C124" s="1050"/>
      <c r="D124" s="382" t="s">
        <v>2387</v>
      </c>
      <c r="E124" s="382" t="s">
        <v>1964</v>
      </c>
      <c r="F124" s="382" t="s">
        <v>2342</v>
      </c>
      <c r="G124" s="382" t="s">
        <v>2347</v>
      </c>
      <c r="H124" s="383">
        <v>-2471432.09</v>
      </c>
      <c r="I124" s="1046">
        <v>424264.59</v>
      </c>
      <c r="J124" s="1047"/>
      <c r="K124" s="383">
        <v>407821.75</v>
      </c>
      <c r="L124" s="383">
        <v>-2487874.9300000002</v>
      </c>
    </row>
    <row r="125" spans="2:12">
      <c r="B125" s="1050"/>
      <c r="C125" s="1050"/>
      <c r="D125" s="382" t="s">
        <v>2387</v>
      </c>
      <c r="E125" s="382" t="s">
        <v>1964</v>
      </c>
      <c r="F125" s="382" t="s">
        <v>2342</v>
      </c>
      <c r="G125" s="382" t="s">
        <v>2348</v>
      </c>
      <c r="H125" s="383">
        <v>-1326206.33</v>
      </c>
      <c r="I125" s="1046">
        <v>58594.720000000001</v>
      </c>
      <c r="J125" s="1047"/>
      <c r="K125" s="383">
        <v>211710.13</v>
      </c>
      <c r="L125" s="383">
        <v>-1173090.92</v>
      </c>
    </row>
    <row r="126" spans="2:12">
      <c r="B126" s="1050"/>
      <c r="C126" s="1050"/>
      <c r="D126" s="382" t="s">
        <v>2387</v>
      </c>
      <c r="E126" s="382" t="s">
        <v>1964</v>
      </c>
      <c r="F126" s="382" t="s">
        <v>2342</v>
      </c>
      <c r="G126" s="382" t="s">
        <v>2349</v>
      </c>
      <c r="H126" s="383">
        <v>-3338125.4</v>
      </c>
      <c r="I126" s="1046">
        <v>314153.25</v>
      </c>
      <c r="J126" s="1047"/>
      <c r="K126" s="383">
        <v>511630.8</v>
      </c>
      <c r="L126" s="383">
        <v>-3140647.85</v>
      </c>
    </row>
    <row r="127" spans="2:12">
      <c r="B127" s="1050"/>
      <c r="C127" s="1050"/>
      <c r="D127" s="382" t="s">
        <v>2387</v>
      </c>
      <c r="E127" s="382" t="s">
        <v>1964</v>
      </c>
      <c r="F127" s="382" t="s">
        <v>2342</v>
      </c>
      <c r="G127" s="382" t="s">
        <v>2350</v>
      </c>
      <c r="H127" s="383">
        <v>-1378702.7</v>
      </c>
      <c r="I127" s="1046">
        <v>300000</v>
      </c>
      <c r="J127" s="1047"/>
      <c r="K127" s="383">
        <v>229710.21</v>
      </c>
      <c r="L127" s="383">
        <v>-1448992.49</v>
      </c>
    </row>
    <row r="128" spans="2:12">
      <c r="B128" s="1050"/>
      <c r="C128" s="1050"/>
      <c r="D128" s="382" t="s">
        <v>2387</v>
      </c>
      <c r="E128" s="382" t="s">
        <v>1964</v>
      </c>
      <c r="F128" s="382" t="s">
        <v>2342</v>
      </c>
      <c r="G128" s="382" t="s">
        <v>2351</v>
      </c>
      <c r="H128" s="383">
        <v>-1469822.17</v>
      </c>
      <c r="I128" s="1046">
        <v>123062.18</v>
      </c>
      <c r="J128" s="1047"/>
      <c r="K128" s="383">
        <v>236348.29</v>
      </c>
      <c r="L128" s="383">
        <v>-1356536.06</v>
      </c>
    </row>
    <row r="129" spans="2:12">
      <c r="B129" s="1050"/>
      <c r="C129" s="1050"/>
      <c r="D129" s="382" t="s">
        <v>2387</v>
      </c>
      <c r="E129" s="382" t="s">
        <v>1964</v>
      </c>
      <c r="F129" s="382" t="s">
        <v>2342</v>
      </c>
      <c r="G129" s="382" t="s">
        <v>2352</v>
      </c>
      <c r="H129" s="383">
        <v>-1606646.83</v>
      </c>
      <c r="I129" s="1046">
        <v>276500</v>
      </c>
      <c r="J129" s="1047"/>
      <c r="K129" s="383">
        <v>248803.8</v>
      </c>
      <c r="L129" s="383">
        <v>-1634343.03</v>
      </c>
    </row>
    <row r="130" spans="2:12">
      <c r="B130" s="1050"/>
      <c r="C130" s="1050"/>
      <c r="D130" s="382" t="s">
        <v>2387</v>
      </c>
      <c r="E130" s="382" t="s">
        <v>1964</v>
      </c>
      <c r="F130" s="382" t="s">
        <v>2342</v>
      </c>
      <c r="G130" s="382" t="s">
        <v>2353</v>
      </c>
      <c r="H130" s="383">
        <v>-1456974.66</v>
      </c>
      <c r="I130" s="1046">
        <v>213000</v>
      </c>
      <c r="J130" s="1047"/>
      <c r="K130" s="383">
        <v>247110.12</v>
      </c>
      <c r="L130" s="383">
        <v>-1422864.54</v>
      </c>
    </row>
    <row r="131" spans="2:12">
      <c r="B131" s="1050"/>
      <c r="C131" s="1050"/>
      <c r="D131" s="382" t="s">
        <v>2387</v>
      </c>
      <c r="E131" s="382" t="s">
        <v>1964</v>
      </c>
      <c r="F131" s="382" t="s">
        <v>2342</v>
      </c>
      <c r="G131" s="382" t="s">
        <v>405</v>
      </c>
      <c r="H131" s="383">
        <v>-756941.46</v>
      </c>
      <c r="I131" s="1046">
        <v>141000</v>
      </c>
      <c r="J131" s="1047"/>
      <c r="K131" s="383">
        <v>110224.08</v>
      </c>
      <c r="L131" s="383">
        <v>-787717.38</v>
      </c>
    </row>
    <row r="132" spans="2:12">
      <c r="B132" s="1050"/>
      <c r="C132" s="1050"/>
      <c r="D132" s="382" t="s">
        <v>2387</v>
      </c>
      <c r="E132" s="382" t="s">
        <v>1964</v>
      </c>
      <c r="F132" s="382" t="s">
        <v>2342</v>
      </c>
      <c r="G132" s="382" t="s">
        <v>2354</v>
      </c>
      <c r="H132" s="383">
        <v>-50500</v>
      </c>
      <c r="I132" s="1046">
        <v>78000</v>
      </c>
      <c r="J132" s="1047"/>
      <c r="K132" s="383">
        <v>1981.04</v>
      </c>
      <c r="L132" s="383">
        <v>-126518.96</v>
      </c>
    </row>
    <row r="133" spans="2:12">
      <c r="B133" s="1050"/>
      <c r="C133" s="1050"/>
      <c r="D133" s="382" t="s">
        <v>2388</v>
      </c>
      <c r="E133" s="382" t="s">
        <v>1965</v>
      </c>
      <c r="F133" s="382" t="s">
        <v>2342</v>
      </c>
      <c r="G133" s="382" t="s">
        <v>2343</v>
      </c>
      <c r="H133" s="383">
        <v>-1859863.83</v>
      </c>
      <c r="I133" s="1046">
        <v>292189.78000000003</v>
      </c>
      <c r="J133" s="1047"/>
      <c r="K133" s="383">
        <v>309147.38</v>
      </c>
      <c r="L133" s="383">
        <v>-1842906.23</v>
      </c>
    </row>
    <row r="134" spans="2:12">
      <c r="B134" s="1050"/>
      <c r="C134" s="1050"/>
      <c r="D134" s="382" t="s">
        <v>2388</v>
      </c>
      <c r="E134" s="382" t="s">
        <v>1965</v>
      </c>
      <c r="F134" s="382" t="s">
        <v>2342</v>
      </c>
      <c r="G134" s="382" t="s">
        <v>2344</v>
      </c>
      <c r="H134" s="383">
        <v>-2137107.41</v>
      </c>
      <c r="I134" s="1046">
        <v>390000</v>
      </c>
      <c r="J134" s="1047"/>
      <c r="K134" s="383">
        <v>246885.63</v>
      </c>
      <c r="L134" s="383">
        <v>-2280221.7799999998</v>
      </c>
    </row>
    <row r="135" spans="2:12">
      <c r="B135" s="1050"/>
      <c r="C135" s="1050"/>
      <c r="D135" s="382" t="s">
        <v>2388</v>
      </c>
      <c r="E135" s="382" t="s">
        <v>1965</v>
      </c>
      <c r="F135" s="382" t="s">
        <v>2342</v>
      </c>
      <c r="G135" s="382" t="s">
        <v>2345</v>
      </c>
      <c r="H135" s="383">
        <v>-2027617.14</v>
      </c>
      <c r="I135" s="1046">
        <v>479917.04</v>
      </c>
      <c r="J135" s="1047"/>
      <c r="K135" s="383">
        <v>259653.23</v>
      </c>
      <c r="L135" s="383">
        <v>-2247880.9500000002</v>
      </c>
    </row>
    <row r="136" spans="2:12">
      <c r="B136" s="1050"/>
      <c r="C136" s="1050"/>
      <c r="D136" s="382" t="s">
        <v>2388</v>
      </c>
      <c r="E136" s="382" t="s">
        <v>1965</v>
      </c>
      <c r="F136" s="382" t="s">
        <v>2342</v>
      </c>
      <c r="G136" s="382" t="s">
        <v>2346</v>
      </c>
      <c r="H136" s="383">
        <v>-1444555.62</v>
      </c>
      <c r="I136" s="1046">
        <v>175000</v>
      </c>
      <c r="J136" s="1047"/>
      <c r="K136" s="383">
        <f>228770.42+6241</f>
        <v>235011.42</v>
      </c>
      <c r="L136" s="383">
        <f>H136+K136-I136</f>
        <v>-1384544.2000000002</v>
      </c>
    </row>
    <row r="137" spans="2:12">
      <c r="B137" s="1050"/>
      <c r="C137" s="1050"/>
      <c r="D137" s="382" t="s">
        <v>2388</v>
      </c>
      <c r="E137" s="382" t="s">
        <v>1965</v>
      </c>
      <c r="F137" s="382" t="s">
        <v>2342</v>
      </c>
      <c r="G137" s="382" t="s">
        <v>2347</v>
      </c>
      <c r="H137" s="383">
        <v>-2662445.4300000002</v>
      </c>
      <c r="I137" s="1046">
        <v>75000</v>
      </c>
      <c r="J137" s="1047"/>
      <c r="K137" s="383">
        <v>250430.57</v>
      </c>
      <c r="L137" s="383">
        <v>-2487014.86</v>
      </c>
    </row>
    <row r="138" spans="2:12">
      <c r="B138" s="1050"/>
      <c r="C138" s="1050"/>
      <c r="D138" s="382" t="s">
        <v>2388</v>
      </c>
      <c r="E138" s="382" t="s">
        <v>1965</v>
      </c>
      <c r="F138" s="382" t="s">
        <v>2342</v>
      </c>
      <c r="G138" s="382" t="s">
        <v>2348</v>
      </c>
      <c r="H138" s="383">
        <v>-1506501.89</v>
      </c>
      <c r="I138" s="1046">
        <v>97582.15</v>
      </c>
      <c r="J138" s="1047"/>
      <c r="K138" s="383">
        <v>187651.41</v>
      </c>
      <c r="L138" s="383">
        <v>-1416432.63</v>
      </c>
    </row>
    <row r="139" spans="2:12">
      <c r="B139" s="1050"/>
      <c r="C139" s="1050"/>
      <c r="D139" s="382" t="s">
        <v>2388</v>
      </c>
      <c r="E139" s="382" t="s">
        <v>1965</v>
      </c>
      <c r="F139" s="382" t="s">
        <v>2342</v>
      </c>
      <c r="G139" s="382" t="s">
        <v>2349</v>
      </c>
      <c r="H139" s="383">
        <v>-4585841.4800000004</v>
      </c>
      <c r="I139" s="1046">
        <v>312000</v>
      </c>
      <c r="J139" s="1047"/>
      <c r="K139" s="383">
        <v>589352.91</v>
      </c>
      <c r="L139" s="383">
        <v>-4308488.57</v>
      </c>
    </row>
    <row r="140" spans="2:12">
      <c r="B140" s="1050"/>
      <c r="C140" s="1050"/>
      <c r="D140" s="382" t="s">
        <v>2388</v>
      </c>
      <c r="E140" s="382" t="s">
        <v>1965</v>
      </c>
      <c r="F140" s="382" t="s">
        <v>2342</v>
      </c>
      <c r="G140" s="382" t="s">
        <v>2350</v>
      </c>
      <c r="H140" s="383">
        <v>-3863419.3</v>
      </c>
      <c r="I140" s="1046">
        <v>828136.57</v>
      </c>
      <c r="J140" s="1047"/>
      <c r="K140" s="383">
        <v>465756.67</v>
      </c>
      <c r="L140" s="383">
        <v>-4225799.2</v>
      </c>
    </row>
    <row r="141" spans="2:12">
      <c r="B141" s="1050"/>
      <c r="C141" s="1050"/>
      <c r="D141" s="382" t="s">
        <v>2388</v>
      </c>
      <c r="E141" s="382" t="s">
        <v>1965</v>
      </c>
      <c r="F141" s="382" t="s">
        <v>2342</v>
      </c>
      <c r="G141" s="382" t="s">
        <v>2351</v>
      </c>
      <c r="H141" s="383">
        <v>-1667677.48</v>
      </c>
      <c r="I141" s="1046">
        <v>226000</v>
      </c>
      <c r="J141" s="1047"/>
      <c r="K141" s="383">
        <v>271885.96000000002</v>
      </c>
      <c r="L141" s="383">
        <v>-1621791.52</v>
      </c>
    </row>
    <row r="142" spans="2:12">
      <c r="B142" s="1050"/>
      <c r="C142" s="1050"/>
      <c r="D142" s="382" t="s">
        <v>2388</v>
      </c>
      <c r="E142" s="382" t="s">
        <v>1965</v>
      </c>
      <c r="F142" s="382" t="s">
        <v>2342</v>
      </c>
      <c r="G142" s="382" t="s">
        <v>2352</v>
      </c>
      <c r="H142" s="383">
        <v>-2081264.71</v>
      </c>
      <c r="I142" s="1046">
        <v>360964.76</v>
      </c>
      <c r="J142" s="1047"/>
      <c r="K142" s="383">
        <v>283821.84999999998</v>
      </c>
      <c r="L142" s="383">
        <v>-2158407.62</v>
      </c>
    </row>
    <row r="143" spans="2:12">
      <c r="B143" s="1050"/>
      <c r="C143" s="1050"/>
      <c r="D143" s="382" t="s">
        <v>2388</v>
      </c>
      <c r="E143" s="382" t="s">
        <v>1965</v>
      </c>
      <c r="F143" s="382" t="s">
        <v>2342</v>
      </c>
      <c r="G143" s="382" t="s">
        <v>2353</v>
      </c>
      <c r="H143" s="383">
        <v>-1422403.18</v>
      </c>
      <c r="I143" s="1046">
        <v>166000</v>
      </c>
      <c r="J143" s="1047"/>
      <c r="K143" s="383">
        <v>149462.75</v>
      </c>
      <c r="L143" s="383">
        <v>-1438940.43</v>
      </c>
    </row>
    <row r="144" spans="2:12">
      <c r="B144" s="1050"/>
      <c r="C144" s="1050"/>
      <c r="D144" s="382" t="s">
        <v>2388</v>
      </c>
      <c r="E144" s="382" t="s">
        <v>1965</v>
      </c>
      <c r="F144" s="382" t="s">
        <v>2342</v>
      </c>
      <c r="G144" s="382" t="s">
        <v>405</v>
      </c>
      <c r="H144" s="383">
        <v>-869335.26</v>
      </c>
      <c r="I144" s="1046">
        <v>175000</v>
      </c>
      <c r="J144" s="1047"/>
      <c r="K144" s="383">
        <v>101405.57</v>
      </c>
      <c r="L144" s="383">
        <v>-942929.69</v>
      </c>
    </row>
    <row r="145" spans="2:12">
      <c r="B145" s="1050"/>
      <c r="C145" s="1050"/>
      <c r="D145" s="382" t="s">
        <v>2388</v>
      </c>
      <c r="E145" s="382" t="s">
        <v>1965</v>
      </c>
      <c r="F145" s="382" t="s">
        <v>2342</v>
      </c>
      <c r="G145" s="382" t="s">
        <v>2354</v>
      </c>
      <c r="H145" s="383">
        <v>0</v>
      </c>
      <c r="I145" s="1046">
        <v>175000</v>
      </c>
      <c r="J145" s="1047"/>
      <c r="K145" s="383">
        <v>0</v>
      </c>
      <c r="L145" s="383">
        <v>-175000</v>
      </c>
    </row>
    <row r="146" spans="2:12">
      <c r="B146" s="1050"/>
      <c r="C146" s="1050"/>
      <c r="D146" s="382" t="s">
        <v>2389</v>
      </c>
      <c r="E146" s="382" t="s">
        <v>1966</v>
      </c>
      <c r="F146" s="382" t="s">
        <v>2342</v>
      </c>
      <c r="G146" s="382" t="s">
        <v>2343</v>
      </c>
      <c r="H146" s="383">
        <v>-1305131.45</v>
      </c>
      <c r="I146" s="1046">
        <v>122500</v>
      </c>
      <c r="J146" s="1047"/>
      <c r="K146" s="383">
        <v>146468.1</v>
      </c>
      <c r="L146" s="383">
        <v>-1281163.3500000001</v>
      </c>
    </row>
    <row r="147" spans="2:12">
      <c r="B147" s="1050"/>
      <c r="C147" s="1050"/>
      <c r="D147" s="382" t="s">
        <v>2389</v>
      </c>
      <c r="E147" s="382" t="s">
        <v>1966</v>
      </c>
      <c r="F147" s="382" t="s">
        <v>2342</v>
      </c>
      <c r="G147" s="382" t="s">
        <v>2344</v>
      </c>
      <c r="H147" s="383">
        <v>-138658</v>
      </c>
      <c r="I147" s="1046">
        <v>0</v>
      </c>
      <c r="J147" s="1047"/>
      <c r="K147" s="383">
        <v>14645.1</v>
      </c>
      <c r="L147" s="383">
        <v>-124012.9</v>
      </c>
    </row>
    <row r="148" spans="2:12">
      <c r="B148" s="1050"/>
      <c r="C148" s="1050"/>
      <c r="D148" s="382" t="s">
        <v>2389</v>
      </c>
      <c r="E148" s="382" t="s">
        <v>1966</v>
      </c>
      <c r="F148" s="382" t="s">
        <v>2342</v>
      </c>
      <c r="G148" s="382" t="s">
        <v>2345</v>
      </c>
      <c r="H148" s="383">
        <v>-1000035.13</v>
      </c>
      <c r="I148" s="1046">
        <v>0</v>
      </c>
      <c r="J148" s="1047"/>
      <c r="K148" s="383">
        <v>27910.84</v>
      </c>
      <c r="L148" s="383">
        <v>-972124.29</v>
      </c>
    </row>
    <row r="149" spans="2:12">
      <c r="B149" s="1050"/>
      <c r="C149" s="1050"/>
      <c r="D149" s="382" t="s">
        <v>2389</v>
      </c>
      <c r="E149" s="382" t="s">
        <v>1966</v>
      </c>
      <c r="F149" s="382" t="s">
        <v>2342</v>
      </c>
      <c r="G149" s="382" t="s">
        <v>2346</v>
      </c>
      <c r="H149" s="383">
        <v>-372178.12</v>
      </c>
      <c r="I149" s="1046">
        <v>0</v>
      </c>
      <c r="J149" s="1047"/>
      <c r="K149" s="383">
        <v>11570.67</v>
      </c>
      <c r="L149" s="383">
        <v>-360607.45</v>
      </c>
    </row>
    <row r="150" spans="2:12">
      <c r="B150" s="1050"/>
      <c r="C150" s="1050"/>
      <c r="D150" s="382" t="s">
        <v>2389</v>
      </c>
      <c r="E150" s="382" t="s">
        <v>1966</v>
      </c>
      <c r="F150" s="382" t="s">
        <v>2342</v>
      </c>
      <c r="G150" s="382" t="s">
        <v>2347</v>
      </c>
      <c r="H150" s="383">
        <v>-5201282.38</v>
      </c>
      <c r="I150" s="1046">
        <v>0</v>
      </c>
      <c r="J150" s="1047"/>
      <c r="K150" s="383">
        <v>201471.82</v>
      </c>
      <c r="L150" s="383">
        <v>-4999810.5599999996</v>
      </c>
    </row>
    <row r="151" spans="2:12">
      <c r="B151" s="1050"/>
      <c r="C151" s="1050"/>
      <c r="D151" s="382" t="s">
        <v>2389</v>
      </c>
      <c r="E151" s="382" t="s">
        <v>1966</v>
      </c>
      <c r="F151" s="382" t="s">
        <v>2342</v>
      </c>
      <c r="G151" s="382" t="s">
        <v>2348</v>
      </c>
      <c r="H151" s="383">
        <v>-1975206.73</v>
      </c>
      <c r="I151" s="1046">
        <v>430000</v>
      </c>
      <c r="J151" s="1047"/>
      <c r="K151" s="383">
        <v>76559.600000000006</v>
      </c>
      <c r="L151" s="383">
        <v>-2328647.13</v>
      </c>
    </row>
    <row r="152" spans="2:12">
      <c r="B152" s="1050"/>
      <c r="C152" s="1050"/>
      <c r="D152" s="382" t="s">
        <v>2389</v>
      </c>
      <c r="E152" s="382" t="s">
        <v>1966</v>
      </c>
      <c r="F152" s="382" t="s">
        <v>2342</v>
      </c>
      <c r="G152" s="382" t="s">
        <v>2349</v>
      </c>
      <c r="H152" s="383">
        <v>-617945.75</v>
      </c>
      <c r="I152" s="1046">
        <v>200000</v>
      </c>
      <c r="J152" s="1047"/>
      <c r="K152" s="383">
        <v>123428.56</v>
      </c>
      <c r="L152" s="383">
        <v>-694517.19</v>
      </c>
    </row>
    <row r="153" spans="2:12">
      <c r="B153" s="1050"/>
      <c r="C153" s="1050"/>
      <c r="D153" s="382" t="s">
        <v>2389</v>
      </c>
      <c r="E153" s="382" t="s">
        <v>1966</v>
      </c>
      <c r="F153" s="382" t="s">
        <v>2342</v>
      </c>
      <c r="G153" s="382" t="s">
        <v>2350</v>
      </c>
      <c r="H153" s="383">
        <v>-2756830.8</v>
      </c>
      <c r="I153" s="1046">
        <v>500000</v>
      </c>
      <c r="J153" s="1047"/>
      <c r="K153" s="383">
        <v>220454.29</v>
      </c>
      <c r="L153" s="383">
        <v>-3036376.51</v>
      </c>
    </row>
    <row r="154" spans="2:12">
      <c r="B154" s="1050"/>
      <c r="C154" s="1050"/>
      <c r="D154" s="382" t="s">
        <v>2389</v>
      </c>
      <c r="E154" s="382" t="s">
        <v>1966</v>
      </c>
      <c r="F154" s="382" t="s">
        <v>2342</v>
      </c>
      <c r="G154" s="382" t="s">
        <v>2351</v>
      </c>
      <c r="H154" s="383">
        <v>-437776.19</v>
      </c>
      <c r="I154" s="1046">
        <v>250000</v>
      </c>
      <c r="J154" s="1047"/>
      <c r="K154" s="383">
        <v>16132.38</v>
      </c>
      <c r="L154" s="383">
        <v>-671643.81</v>
      </c>
    </row>
    <row r="155" spans="2:12">
      <c r="B155" s="1050"/>
      <c r="C155" s="1050"/>
      <c r="D155" s="382" t="s">
        <v>2389</v>
      </c>
      <c r="E155" s="382" t="s">
        <v>1966</v>
      </c>
      <c r="F155" s="382" t="s">
        <v>2342</v>
      </c>
      <c r="G155" s="382" t="s">
        <v>2352</v>
      </c>
      <c r="H155" s="383">
        <v>-595987.74</v>
      </c>
      <c r="I155" s="1046">
        <v>0</v>
      </c>
      <c r="J155" s="1047"/>
      <c r="K155" s="383">
        <v>34475.17</v>
      </c>
      <c r="L155" s="383">
        <v>-561512.56999999995</v>
      </c>
    </row>
    <row r="156" spans="2:12">
      <c r="B156" s="1050"/>
      <c r="C156" s="1050"/>
      <c r="D156" s="382" t="s">
        <v>2389</v>
      </c>
      <c r="E156" s="382" t="s">
        <v>1966</v>
      </c>
      <c r="F156" s="382" t="s">
        <v>2342</v>
      </c>
      <c r="G156" s="382" t="s">
        <v>2353</v>
      </c>
      <c r="H156" s="383">
        <v>-1262418.0900000001</v>
      </c>
      <c r="I156" s="1046">
        <v>120000</v>
      </c>
      <c r="J156" s="1047"/>
      <c r="K156" s="383">
        <v>84399.93</v>
      </c>
      <c r="L156" s="383">
        <v>-1298018.1599999999</v>
      </c>
    </row>
    <row r="157" spans="2:12">
      <c r="B157" s="1050"/>
      <c r="C157" s="1050"/>
      <c r="D157" s="382" t="s">
        <v>2389</v>
      </c>
      <c r="E157" s="382" t="s">
        <v>1966</v>
      </c>
      <c r="F157" s="382" t="s">
        <v>2342</v>
      </c>
      <c r="G157" s="382" t="s">
        <v>405</v>
      </c>
      <c r="H157" s="383">
        <v>-193376.05</v>
      </c>
      <c r="I157" s="1046">
        <v>0</v>
      </c>
      <c r="J157" s="1047"/>
      <c r="K157" s="383">
        <v>6897.74</v>
      </c>
      <c r="L157" s="383">
        <v>-186478.31</v>
      </c>
    </row>
    <row r="158" spans="2:12">
      <c r="B158" s="1050"/>
      <c r="C158" s="1051"/>
      <c r="D158" s="359" t="s">
        <v>12</v>
      </c>
      <c r="E158" s="359" t="s">
        <v>111</v>
      </c>
      <c r="F158" s="359" t="s">
        <v>111</v>
      </c>
      <c r="G158" s="359" t="s">
        <v>111</v>
      </c>
      <c r="H158" s="384">
        <f>SUM(H93:H157)</f>
        <v>-100333274.88</v>
      </c>
      <c r="I158" s="1048">
        <f>SUM(I93:I157)</f>
        <v>16943631.849999998</v>
      </c>
      <c r="J158" s="1047">
        <f>SUM(J93:J157)</f>
        <v>0</v>
      </c>
      <c r="K158" s="384">
        <f>SUM(K93:K157)</f>
        <v>16775980.060000002</v>
      </c>
      <c r="L158" s="384">
        <f>SUM(L93:L157)</f>
        <v>-100500926.67</v>
      </c>
    </row>
    <row r="159" spans="2:12">
      <c r="B159" s="1050"/>
      <c r="C159" s="1049" t="s">
        <v>2390</v>
      </c>
      <c r="D159" s="382" t="s">
        <v>2391</v>
      </c>
      <c r="E159" s="382" t="s">
        <v>2392</v>
      </c>
      <c r="F159" s="382" t="s">
        <v>2342</v>
      </c>
      <c r="G159" s="382" t="s">
        <v>2343</v>
      </c>
      <c r="H159" s="383">
        <v>-63559.64</v>
      </c>
      <c r="I159" s="1046">
        <v>12341.1</v>
      </c>
      <c r="J159" s="1047"/>
      <c r="K159" s="383">
        <v>28348.6</v>
      </c>
      <c r="L159" s="383">
        <v>-47552.14</v>
      </c>
    </row>
    <row r="160" spans="2:12">
      <c r="B160" s="1050"/>
      <c r="C160" s="1050"/>
      <c r="D160" s="382" t="s">
        <v>2391</v>
      </c>
      <c r="E160" s="382" t="s">
        <v>2392</v>
      </c>
      <c r="F160" s="382" t="s">
        <v>2342</v>
      </c>
      <c r="G160" s="382" t="s">
        <v>2344</v>
      </c>
      <c r="H160" s="383">
        <v>-25349.35</v>
      </c>
      <c r="I160" s="1046">
        <v>5753.39</v>
      </c>
      <c r="J160" s="1047"/>
      <c r="K160" s="383">
        <v>1139.08</v>
      </c>
      <c r="L160" s="383">
        <v>-29963.66</v>
      </c>
    </row>
    <row r="161" spans="2:12">
      <c r="B161" s="1050"/>
      <c r="C161" s="1050"/>
      <c r="D161" s="382" t="s">
        <v>2391</v>
      </c>
      <c r="E161" s="382" t="s">
        <v>2392</v>
      </c>
      <c r="F161" s="382" t="s">
        <v>2342</v>
      </c>
      <c r="G161" s="382" t="s">
        <v>2345</v>
      </c>
      <c r="H161" s="383">
        <v>-11606.02</v>
      </c>
      <c r="I161" s="1046">
        <v>8975.5</v>
      </c>
      <c r="J161" s="1047"/>
      <c r="K161" s="383">
        <v>2190.89</v>
      </c>
      <c r="L161" s="383">
        <v>-18390.63</v>
      </c>
    </row>
    <row r="162" spans="2:12">
      <c r="B162" s="1050"/>
      <c r="C162" s="1050"/>
      <c r="D162" s="382" t="s">
        <v>2391</v>
      </c>
      <c r="E162" s="382" t="s">
        <v>2392</v>
      </c>
      <c r="F162" s="382" t="s">
        <v>2342</v>
      </c>
      <c r="G162" s="382" t="s">
        <v>2346</v>
      </c>
      <c r="H162" s="383">
        <v>-20427.900000000001</v>
      </c>
      <c r="I162" s="1046">
        <v>5661.46</v>
      </c>
      <c r="J162" s="1047"/>
      <c r="K162" s="383">
        <v>3965.59</v>
      </c>
      <c r="L162" s="383">
        <v>-22123.77</v>
      </c>
    </row>
    <row r="163" spans="2:12">
      <c r="B163" s="1050"/>
      <c r="C163" s="1050"/>
      <c r="D163" s="382" t="s">
        <v>2391</v>
      </c>
      <c r="E163" s="382" t="s">
        <v>2392</v>
      </c>
      <c r="F163" s="382" t="s">
        <v>2342</v>
      </c>
      <c r="G163" s="382" t="s">
        <v>2347</v>
      </c>
      <c r="H163" s="383">
        <v>-50455.35</v>
      </c>
      <c r="I163" s="1046">
        <v>34643.839999999997</v>
      </c>
      <c r="J163" s="1047"/>
      <c r="K163" s="383">
        <v>6232.43</v>
      </c>
      <c r="L163" s="383">
        <v>-78866.759999999995</v>
      </c>
    </row>
    <row r="164" spans="2:12">
      <c r="B164" s="1050"/>
      <c r="C164" s="1050"/>
      <c r="D164" s="382" t="s">
        <v>2391</v>
      </c>
      <c r="E164" s="382" t="s">
        <v>2392</v>
      </c>
      <c r="F164" s="382" t="s">
        <v>2342</v>
      </c>
      <c r="G164" s="382" t="s">
        <v>2348</v>
      </c>
      <c r="H164" s="383">
        <v>-27627.61</v>
      </c>
      <c r="I164" s="1046">
        <v>15719.29</v>
      </c>
      <c r="J164" s="1047"/>
      <c r="K164" s="383">
        <v>10924.01</v>
      </c>
      <c r="L164" s="383">
        <v>-32422.89</v>
      </c>
    </row>
    <row r="165" spans="2:12">
      <c r="B165" s="1050"/>
      <c r="C165" s="1050"/>
      <c r="D165" s="382" t="s">
        <v>2391</v>
      </c>
      <c r="E165" s="382" t="s">
        <v>2392</v>
      </c>
      <c r="F165" s="382" t="s">
        <v>2342</v>
      </c>
      <c r="G165" s="382" t="s">
        <v>2349</v>
      </c>
      <c r="H165" s="383">
        <v>-107289.25</v>
      </c>
      <c r="I165" s="1046">
        <v>51452.35</v>
      </c>
      <c r="J165" s="1047"/>
      <c r="K165" s="383">
        <v>19128.25</v>
      </c>
      <c r="L165" s="383">
        <v>-139613.35</v>
      </c>
    </row>
    <row r="166" spans="2:12">
      <c r="B166" s="1050"/>
      <c r="C166" s="1050"/>
      <c r="D166" s="382" t="s">
        <v>2391</v>
      </c>
      <c r="E166" s="382" t="s">
        <v>2392</v>
      </c>
      <c r="F166" s="382" t="s">
        <v>2342</v>
      </c>
      <c r="G166" s="382" t="s">
        <v>2350</v>
      </c>
      <c r="H166" s="383">
        <v>-97621.53</v>
      </c>
      <c r="I166" s="1046">
        <v>6877.48</v>
      </c>
      <c r="J166" s="1047"/>
      <c r="K166" s="383">
        <v>39265.629999999997</v>
      </c>
      <c r="L166" s="383">
        <v>-65233.38</v>
      </c>
    </row>
    <row r="167" spans="2:12">
      <c r="B167" s="1050"/>
      <c r="C167" s="1050"/>
      <c r="D167" s="382" t="s">
        <v>2391</v>
      </c>
      <c r="E167" s="382" t="s">
        <v>2392</v>
      </c>
      <c r="F167" s="382" t="s">
        <v>2342</v>
      </c>
      <c r="G167" s="382" t="s">
        <v>2351</v>
      </c>
      <c r="H167" s="383">
        <v>-273604.49</v>
      </c>
      <c r="I167" s="1046">
        <v>17185.16</v>
      </c>
      <c r="J167" s="1047"/>
      <c r="K167" s="383">
        <v>24236.85</v>
      </c>
      <c r="L167" s="383">
        <v>-266552.8</v>
      </c>
    </row>
    <row r="168" spans="2:12">
      <c r="B168" s="1050"/>
      <c r="C168" s="1050"/>
      <c r="D168" s="382" t="s">
        <v>2391</v>
      </c>
      <c r="E168" s="382" t="s">
        <v>2392</v>
      </c>
      <c r="F168" s="382" t="s">
        <v>2342</v>
      </c>
      <c r="G168" s="382" t="s">
        <v>2352</v>
      </c>
      <c r="H168" s="383">
        <v>-27960.04</v>
      </c>
      <c r="I168" s="1046">
        <v>19205.689999999999</v>
      </c>
      <c r="J168" s="1047"/>
      <c r="K168" s="383">
        <v>10709.32</v>
      </c>
      <c r="L168" s="383">
        <v>-36456.410000000003</v>
      </c>
    </row>
    <row r="169" spans="2:12">
      <c r="B169" s="1050"/>
      <c r="C169" s="1050"/>
      <c r="D169" s="382" t="s">
        <v>2391</v>
      </c>
      <c r="E169" s="382" t="s">
        <v>2392</v>
      </c>
      <c r="F169" s="382" t="s">
        <v>2342</v>
      </c>
      <c r="G169" s="382" t="s">
        <v>2353</v>
      </c>
      <c r="H169" s="383">
        <v>-27970.66</v>
      </c>
      <c r="I169" s="1046">
        <v>11762.48</v>
      </c>
      <c r="J169" s="1047"/>
      <c r="K169" s="383">
        <v>2959.36</v>
      </c>
      <c r="L169" s="383">
        <v>-36773.78</v>
      </c>
    </row>
    <row r="170" spans="2:12">
      <c r="B170" s="1050"/>
      <c r="C170" s="1050"/>
      <c r="D170" s="382" t="s">
        <v>2391</v>
      </c>
      <c r="E170" s="382" t="s">
        <v>2392</v>
      </c>
      <c r="F170" s="382" t="s">
        <v>2342</v>
      </c>
      <c r="G170" s="382" t="s">
        <v>405</v>
      </c>
      <c r="H170" s="383">
        <v>0</v>
      </c>
      <c r="I170" s="1046">
        <v>14244.13</v>
      </c>
      <c r="J170" s="1047"/>
      <c r="K170" s="383">
        <v>1291.95</v>
      </c>
      <c r="L170" s="383">
        <v>-12952.18</v>
      </c>
    </row>
    <row r="171" spans="2:12">
      <c r="B171" s="1050"/>
      <c r="C171" s="1050"/>
      <c r="D171" s="382" t="s">
        <v>2393</v>
      </c>
      <c r="E171" s="382" t="s">
        <v>2394</v>
      </c>
      <c r="F171" s="382" t="s">
        <v>2342</v>
      </c>
      <c r="G171" s="382" t="s">
        <v>2343</v>
      </c>
      <c r="H171" s="383">
        <v>-44123.45</v>
      </c>
      <c r="I171" s="1046">
        <v>15350.8</v>
      </c>
      <c r="J171" s="1047"/>
      <c r="K171" s="383">
        <v>9561.2999999999993</v>
      </c>
      <c r="L171" s="383">
        <v>-49912.95</v>
      </c>
    </row>
    <row r="172" spans="2:12">
      <c r="B172" s="1050"/>
      <c r="C172" s="1050"/>
      <c r="D172" s="382" t="s">
        <v>2393</v>
      </c>
      <c r="E172" s="382" t="s">
        <v>2394</v>
      </c>
      <c r="F172" s="382" t="s">
        <v>2342</v>
      </c>
      <c r="G172" s="382" t="s">
        <v>2344</v>
      </c>
      <c r="H172" s="383">
        <v>-42851.03</v>
      </c>
      <c r="I172" s="1046">
        <v>3687.57</v>
      </c>
      <c r="J172" s="1047"/>
      <c r="K172" s="383">
        <v>549.96</v>
      </c>
      <c r="L172" s="383">
        <v>-45988.639999999999</v>
      </c>
    </row>
    <row r="173" spans="2:12">
      <c r="B173" s="1050"/>
      <c r="C173" s="1050"/>
      <c r="D173" s="382" t="s">
        <v>2393</v>
      </c>
      <c r="E173" s="382" t="s">
        <v>2394</v>
      </c>
      <c r="F173" s="382" t="s">
        <v>2342</v>
      </c>
      <c r="G173" s="382" t="s">
        <v>2345</v>
      </c>
      <c r="H173" s="383">
        <v>-27448.080000000002</v>
      </c>
      <c r="I173" s="1046">
        <v>11325.19</v>
      </c>
      <c r="J173" s="1047"/>
      <c r="K173" s="383">
        <v>2733.57</v>
      </c>
      <c r="L173" s="383">
        <v>-36039.699999999997</v>
      </c>
    </row>
    <row r="174" spans="2:12">
      <c r="B174" s="1050"/>
      <c r="C174" s="1050"/>
      <c r="D174" s="382" t="s">
        <v>2393</v>
      </c>
      <c r="E174" s="382" t="s">
        <v>2394</v>
      </c>
      <c r="F174" s="382" t="s">
        <v>2342</v>
      </c>
      <c r="G174" s="382" t="s">
        <v>2346</v>
      </c>
      <c r="H174" s="383">
        <v>-17813.259999999998</v>
      </c>
      <c r="I174" s="1046">
        <v>3597.81</v>
      </c>
      <c r="J174" s="1047"/>
      <c r="K174" s="383">
        <v>2528.29</v>
      </c>
      <c r="L174" s="383">
        <v>-18882.78</v>
      </c>
    </row>
    <row r="175" spans="2:12">
      <c r="B175" s="1050"/>
      <c r="C175" s="1050"/>
      <c r="D175" s="382" t="s">
        <v>2393</v>
      </c>
      <c r="E175" s="382" t="s">
        <v>2394</v>
      </c>
      <c r="F175" s="382" t="s">
        <v>2342</v>
      </c>
      <c r="G175" s="382" t="s">
        <v>2347</v>
      </c>
      <c r="H175" s="383">
        <v>-52296.37</v>
      </c>
      <c r="I175" s="1046">
        <v>6426.87</v>
      </c>
      <c r="J175" s="1047"/>
      <c r="K175" s="383">
        <v>7568.95</v>
      </c>
      <c r="L175" s="383">
        <v>-51154.29</v>
      </c>
    </row>
    <row r="176" spans="2:12">
      <c r="B176" s="1050"/>
      <c r="C176" s="1050"/>
      <c r="D176" s="382" t="s">
        <v>2393</v>
      </c>
      <c r="E176" s="382" t="s">
        <v>2394</v>
      </c>
      <c r="F176" s="382" t="s">
        <v>2342</v>
      </c>
      <c r="G176" s="382" t="s">
        <v>2348</v>
      </c>
      <c r="H176" s="383">
        <v>-48485.29</v>
      </c>
      <c r="I176" s="1046">
        <v>12031.64</v>
      </c>
      <c r="J176" s="1047"/>
      <c r="K176" s="383">
        <v>12145.46</v>
      </c>
      <c r="L176" s="383">
        <v>-48371.47</v>
      </c>
    </row>
    <row r="177" spans="2:12">
      <c r="B177" s="1050"/>
      <c r="C177" s="1050"/>
      <c r="D177" s="382" t="s">
        <v>2393</v>
      </c>
      <c r="E177" s="382" t="s">
        <v>2394</v>
      </c>
      <c r="F177" s="382" t="s">
        <v>2342</v>
      </c>
      <c r="G177" s="382" t="s">
        <v>2349</v>
      </c>
      <c r="H177" s="383">
        <v>-73713.5</v>
      </c>
      <c r="I177" s="1046">
        <v>8650.8799999999992</v>
      </c>
      <c r="J177" s="1047"/>
      <c r="K177" s="383">
        <v>6711.39</v>
      </c>
      <c r="L177" s="383">
        <v>-75652.990000000005</v>
      </c>
    </row>
    <row r="178" spans="2:12">
      <c r="B178" s="1050"/>
      <c r="C178" s="1050"/>
      <c r="D178" s="382" t="s">
        <v>2393</v>
      </c>
      <c r="E178" s="382" t="s">
        <v>2394</v>
      </c>
      <c r="F178" s="382" t="s">
        <v>2342</v>
      </c>
      <c r="G178" s="382" t="s">
        <v>2350</v>
      </c>
      <c r="H178" s="383">
        <v>-118476.18</v>
      </c>
      <c r="I178" s="1046">
        <v>13859.53</v>
      </c>
      <c r="J178" s="1047"/>
      <c r="K178" s="383">
        <v>17535.3</v>
      </c>
      <c r="L178" s="383">
        <v>-114800.41</v>
      </c>
    </row>
    <row r="179" spans="2:12">
      <c r="B179" s="1050"/>
      <c r="C179" s="1050"/>
      <c r="D179" s="382" t="s">
        <v>2393</v>
      </c>
      <c r="E179" s="382" t="s">
        <v>2394</v>
      </c>
      <c r="F179" s="382" t="s">
        <v>2342</v>
      </c>
      <c r="G179" s="382" t="s">
        <v>2351</v>
      </c>
      <c r="H179" s="383">
        <v>-81306.83</v>
      </c>
      <c r="I179" s="1046">
        <v>22756.04</v>
      </c>
      <c r="J179" s="1047"/>
      <c r="K179" s="383">
        <v>23066.31</v>
      </c>
      <c r="L179" s="383">
        <v>-80996.56</v>
      </c>
    </row>
    <row r="180" spans="2:12">
      <c r="B180" s="1050"/>
      <c r="C180" s="1050"/>
      <c r="D180" s="382" t="s">
        <v>2393</v>
      </c>
      <c r="E180" s="382" t="s">
        <v>2394</v>
      </c>
      <c r="F180" s="382" t="s">
        <v>2342</v>
      </c>
      <c r="G180" s="382" t="s">
        <v>2352</v>
      </c>
      <c r="H180" s="383">
        <v>-12306.72</v>
      </c>
      <c r="I180" s="1046">
        <v>1791.53</v>
      </c>
      <c r="J180" s="1047"/>
      <c r="K180" s="383">
        <v>2567.1</v>
      </c>
      <c r="L180" s="383">
        <v>-11531.15</v>
      </c>
    </row>
    <row r="181" spans="2:12">
      <c r="B181" s="1050"/>
      <c r="C181" s="1050"/>
      <c r="D181" s="382" t="s">
        <v>2393</v>
      </c>
      <c r="E181" s="382" t="s">
        <v>2394</v>
      </c>
      <c r="F181" s="382" t="s">
        <v>2342</v>
      </c>
      <c r="G181" s="382" t="s">
        <v>2353</v>
      </c>
      <c r="H181" s="383">
        <v>-10108.42</v>
      </c>
      <c r="I181" s="1046">
        <v>4929.79</v>
      </c>
      <c r="J181" s="1047"/>
      <c r="K181" s="383">
        <v>5065.68</v>
      </c>
      <c r="L181" s="383">
        <v>-9972.5300000000007</v>
      </c>
    </row>
    <row r="182" spans="2:12">
      <c r="B182" s="1050"/>
      <c r="C182" s="1050"/>
      <c r="D182" s="382" t="s">
        <v>2393</v>
      </c>
      <c r="E182" s="382" t="s">
        <v>2394</v>
      </c>
      <c r="F182" s="382" t="s">
        <v>2342</v>
      </c>
      <c r="G182" s="382" t="s">
        <v>405</v>
      </c>
      <c r="H182" s="383">
        <v>-20417.21</v>
      </c>
      <c r="I182" s="1046">
        <v>9552.6</v>
      </c>
      <c r="J182" s="1047"/>
      <c r="K182" s="383">
        <v>4456.93</v>
      </c>
      <c r="L182" s="383">
        <v>-25512.880000000001</v>
      </c>
    </row>
    <row r="183" spans="2:12">
      <c r="B183" s="1050"/>
      <c r="C183" s="1050"/>
      <c r="D183" s="382" t="s">
        <v>2395</v>
      </c>
      <c r="E183" s="382" t="s">
        <v>1964</v>
      </c>
      <c r="F183" s="382" t="s">
        <v>2342</v>
      </c>
      <c r="G183" s="382" t="s">
        <v>2343</v>
      </c>
      <c r="H183" s="383">
        <v>-144788.94</v>
      </c>
      <c r="I183" s="1046">
        <v>35665.79</v>
      </c>
      <c r="J183" s="1047"/>
      <c r="K183" s="383">
        <v>57884.06</v>
      </c>
      <c r="L183" s="383">
        <v>-122570.67</v>
      </c>
    </row>
    <row r="184" spans="2:12">
      <c r="B184" s="1050"/>
      <c r="C184" s="1050"/>
      <c r="D184" s="382" t="s">
        <v>2395</v>
      </c>
      <c r="E184" s="382" t="s">
        <v>1964</v>
      </c>
      <c r="F184" s="382" t="s">
        <v>2342</v>
      </c>
      <c r="G184" s="382" t="s">
        <v>2344</v>
      </c>
      <c r="H184" s="383">
        <v>-38986.199999999997</v>
      </c>
      <c r="I184" s="1046">
        <v>2168.88</v>
      </c>
      <c r="J184" s="1047"/>
      <c r="K184" s="383">
        <v>811.35</v>
      </c>
      <c r="L184" s="383">
        <v>-40343.730000000003</v>
      </c>
    </row>
    <row r="185" spans="2:12">
      <c r="B185" s="1050"/>
      <c r="C185" s="1050"/>
      <c r="D185" s="382" t="s">
        <v>2395</v>
      </c>
      <c r="E185" s="382" t="s">
        <v>1964</v>
      </c>
      <c r="F185" s="382" t="s">
        <v>2342</v>
      </c>
      <c r="G185" s="382" t="s">
        <v>2345</v>
      </c>
      <c r="H185" s="383">
        <v>-28339.13</v>
      </c>
      <c r="I185" s="1046">
        <v>8777.19</v>
      </c>
      <c r="J185" s="1047"/>
      <c r="K185" s="383">
        <v>1000</v>
      </c>
      <c r="L185" s="383">
        <v>-36116.32</v>
      </c>
    </row>
    <row r="186" spans="2:12">
      <c r="B186" s="1050"/>
      <c r="C186" s="1050"/>
      <c r="D186" s="382" t="s">
        <v>2395</v>
      </c>
      <c r="E186" s="382" t="s">
        <v>1964</v>
      </c>
      <c r="F186" s="382" t="s">
        <v>2342</v>
      </c>
      <c r="G186" s="382" t="s">
        <v>2346</v>
      </c>
      <c r="H186" s="383">
        <v>-8336.81</v>
      </c>
      <c r="I186" s="1046">
        <v>4123.8900000000003</v>
      </c>
      <c r="J186" s="1047"/>
      <c r="K186" s="383">
        <v>2870.83</v>
      </c>
      <c r="L186" s="383">
        <v>-9589.8700000000008</v>
      </c>
    </row>
    <row r="187" spans="2:12">
      <c r="B187" s="1050"/>
      <c r="C187" s="1050"/>
      <c r="D187" s="382" t="s">
        <v>2395</v>
      </c>
      <c r="E187" s="382" t="s">
        <v>1964</v>
      </c>
      <c r="F187" s="382" t="s">
        <v>2342</v>
      </c>
      <c r="G187" s="382" t="s">
        <v>2347</v>
      </c>
      <c r="H187" s="383">
        <v>-80706.37</v>
      </c>
      <c r="I187" s="1046">
        <v>12263.12</v>
      </c>
      <c r="J187" s="1047"/>
      <c r="K187" s="383">
        <v>8359.56</v>
      </c>
      <c r="L187" s="383">
        <v>-84609.93</v>
      </c>
    </row>
    <row r="188" spans="2:12">
      <c r="B188" s="1050"/>
      <c r="C188" s="1050"/>
      <c r="D188" s="382" t="s">
        <v>2395</v>
      </c>
      <c r="E188" s="382" t="s">
        <v>1964</v>
      </c>
      <c r="F188" s="382" t="s">
        <v>2342</v>
      </c>
      <c r="G188" s="382" t="s">
        <v>2348</v>
      </c>
      <c r="H188" s="383">
        <v>-26406.55</v>
      </c>
      <c r="I188" s="1046">
        <v>9442.84</v>
      </c>
      <c r="J188" s="1047"/>
      <c r="K188" s="383">
        <v>13578.64</v>
      </c>
      <c r="L188" s="383">
        <v>-22270.75</v>
      </c>
    </row>
    <row r="189" spans="2:12">
      <c r="B189" s="1050"/>
      <c r="C189" s="1050"/>
      <c r="D189" s="382" t="s">
        <v>2395</v>
      </c>
      <c r="E189" s="382" t="s">
        <v>1964</v>
      </c>
      <c r="F189" s="382" t="s">
        <v>2342</v>
      </c>
      <c r="G189" s="382" t="s">
        <v>2349</v>
      </c>
      <c r="H189" s="383">
        <v>-172185.34</v>
      </c>
      <c r="I189" s="1046">
        <v>37729.93</v>
      </c>
      <c r="J189" s="1047"/>
      <c r="K189" s="383">
        <v>18936.509999999998</v>
      </c>
      <c r="L189" s="383">
        <v>-190978.76</v>
      </c>
    </row>
    <row r="190" spans="2:12">
      <c r="B190" s="1050"/>
      <c r="C190" s="1050"/>
      <c r="D190" s="382" t="s">
        <v>2395</v>
      </c>
      <c r="E190" s="382" t="s">
        <v>1964</v>
      </c>
      <c r="F190" s="382" t="s">
        <v>2342</v>
      </c>
      <c r="G190" s="382" t="s">
        <v>2350</v>
      </c>
      <c r="H190" s="383">
        <v>-34626.83</v>
      </c>
      <c r="I190" s="1046">
        <v>2521.13</v>
      </c>
      <c r="J190" s="1047"/>
      <c r="K190" s="383">
        <v>3883.97</v>
      </c>
      <c r="L190" s="383">
        <v>-33263.99</v>
      </c>
    </row>
    <row r="191" spans="2:12">
      <c r="B191" s="1050"/>
      <c r="C191" s="1050"/>
      <c r="D191" s="382" t="s">
        <v>2395</v>
      </c>
      <c r="E191" s="382" t="s">
        <v>1964</v>
      </c>
      <c r="F191" s="382" t="s">
        <v>2342</v>
      </c>
      <c r="G191" s="382" t="s">
        <v>2351</v>
      </c>
      <c r="H191" s="383">
        <v>-36901.82</v>
      </c>
      <c r="I191" s="1046">
        <v>2353.5</v>
      </c>
      <c r="J191" s="1047"/>
      <c r="K191" s="383">
        <v>0</v>
      </c>
      <c r="L191" s="383">
        <v>-39255.32</v>
      </c>
    </row>
    <row r="192" spans="2:12">
      <c r="B192" s="1050"/>
      <c r="C192" s="1050"/>
      <c r="D192" s="382" t="s">
        <v>2395</v>
      </c>
      <c r="E192" s="382" t="s">
        <v>1964</v>
      </c>
      <c r="F192" s="382" t="s">
        <v>2342</v>
      </c>
      <c r="G192" s="382" t="s">
        <v>2352</v>
      </c>
      <c r="H192" s="383">
        <v>-49002.46</v>
      </c>
      <c r="I192" s="1046">
        <v>1464.63</v>
      </c>
      <c r="J192" s="1047"/>
      <c r="K192" s="383">
        <v>2055.3200000000002</v>
      </c>
      <c r="L192" s="383">
        <v>-48411.77</v>
      </c>
    </row>
    <row r="193" spans="2:12">
      <c r="B193" s="1050"/>
      <c r="C193" s="1050"/>
      <c r="D193" s="382" t="s">
        <v>2395</v>
      </c>
      <c r="E193" s="382" t="s">
        <v>1964</v>
      </c>
      <c r="F193" s="382" t="s">
        <v>2342</v>
      </c>
      <c r="G193" s="382" t="s">
        <v>2353</v>
      </c>
      <c r="H193" s="383">
        <v>-10505.68</v>
      </c>
      <c r="I193" s="1046">
        <v>15089.51</v>
      </c>
      <c r="J193" s="1047"/>
      <c r="K193" s="383">
        <v>8414.44</v>
      </c>
      <c r="L193" s="383">
        <v>-17180.75</v>
      </c>
    </row>
    <row r="194" spans="2:12">
      <c r="B194" s="1050"/>
      <c r="C194" s="1050"/>
      <c r="D194" s="382" t="s">
        <v>2395</v>
      </c>
      <c r="E194" s="382" t="s">
        <v>1964</v>
      </c>
      <c r="F194" s="382" t="s">
        <v>2342</v>
      </c>
      <c r="G194" s="382" t="s">
        <v>405</v>
      </c>
      <c r="H194" s="383">
        <v>-20170.97</v>
      </c>
      <c r="I194" s="1046">
        <v>0</v>
      </c>
      <c r="J194" s="1047"/>
      <c r="K194" s="383">
        <v>133.26</v>
      </c>
      <c r="L194" s="383">
        <v>-20037.71</v>
      </c>
    </row>
    <row r="195" spans="2:12">
      <c r="B195" s="1050"/>
      <c r="C195" s="1050"/>
      <c r="D195" s="382" t="s">
        <v>2396</v>
      </c>
      <c r="E195" s="382" t="s">
        <v>2397</v>
      </c>
      <c r="F195" s="382" t="s">
        <v>2342</v>
      </c>
      <c r="G195" s="382" t="s">
        <v>2343</v>
      </c>
      <c r="H195" s="383">
        <v>-100411.58</v>
      </c>
      <c r="I195" s="1046">
        <v>0</v>
      </c>
      <c r="J195" s="1047"/>
      <c r="K195" s="383">
        <v>5021.43</v>
      </c>
      <c r="L195" s="383">
        <v>-95390.15</v>
      </c>
    </row>
    <row r="196" spans="2:12">
      <c r="B196" s="1050"/>
      <c r="C196" s="1050"/>
      <c r="D196" s="382" t="s">
        <v>2396</v>
      </c>
      <c r="E196" s="382" t="s">
        <v>2397</v>
      </c>
      <c r="F196" s="382" t="s">
        <v>2342</v>
      </c>
      <c r="G196" s="382" t="s">
        <v>2344</v>
      </c>
      <c r="H196" s="383">
        <v>-43486.48</v>
      </c>
      <c r="I196" s="1046">
        <v>0</v>
      </c>
      <c r="J196" s="1047"/>
      <c r="K196" s="383">
        <v>115.26</v>
      </c>
      <c r="L196" s="383">
        <v>-43371.22</v>
      </c>
    </row>
    <row r="197" spans="2:12">
      <c r="B197" s="1050"/>
      <c r="C197" s="1050"/>
      <c r="D197" s="382" t="s">
        <v>2396</v>
      </c>
      <c r="E197" s="382" t="s">
        <v>2397</v>
      </c>
      <c r="F197" s="382" t="s">
        <v>2342</v>
      </c>
      <c r="G197" s="382" t="s">
        <v>2345</v>
      </c>
      <c r="H197" s="383">
        <v>-22366.43</v>
      </c>
      <c r="I197" s="1046">
        <v>26000</v>
      </c>
      <c r="J197" s="1047"/>
      <c r="K197" s="383">
        <v>7006.65</v>
      </c>
      <c r="L197" s="383">
        <v>-41359.78</v>
      </c>
    </row>
    <row r="198" spans="2:12">
      <c r="B198" s="1050"/>
      <c r="C198" s="1050"/>
      <c r="D198" s="382" t="s">
        <v>2396</v>
      </c>
      <c r="E198" s="382" t="s">
        <v>2397</v>
      </c>
      <c r="F198" s="382" t="s">
        <v>2342</v>
      </c>
      <c r="G198" s="382" t="s">
        <v>2346</v>
      </c>
      <c r="H198" s="383">
        <v>0</v>
      </c>
      <c r="I198" s="1046">
        <v>0</v>
      </c>
      <c r="J198" s="1047"/>
      <c r="K198" s="383">
        <v>0</v>
      </c>
      <c r="L198" s="383">
        <v>0</v>
      </c>
    </row>
    <row r="199" spans="2:12">
      <c r="B199" s="1050"/>
      <c r="C199" s="1050"/>
      <c r="D199" s="382" t="s">
        <v>2396</v>
      </c>
      <c r="E199" s="382" t="s">
        <v>2397</v>
      </c>
      <c r="F199" s="382" t="s">
        <v>2342</v>
      </c>
      <c r="G199" s="382" t="s">
        <v>2347</v>
      </c>
      <c r="H199" s="383">
        <v>-2963.02</v>
      </c>
      <c r="I199" s="1046">
        <v>0</v>
      </c>
      <c r="J199" s="1047"/>
      <c r="K199" s="383">
        <v>0</v>
      </c>
      <c r="L199" s="383">
        <v>-2963.02</v>
      </c>
    </row>
    <row r="200" spans="2:12">
      <c r="B200" s="1050"/>
      <c r="C200" s="1050"/>
      <c r="D200" s="382" t="s">
        <v>2396</v>
      </c>
      <c r="E200" s="382" t="s">
        <v>2397</v>
      </c>
      <c r="F200" s="382" t="s">
        <v>2342</v>
      </c>
      <c r="G200" s="382" t="s">
        <v>2348</v>
      </c>
      <c r="H200" s="383">
        <v>-8685.49</v>
      </c>
      <c r="I200" s="1046">
        <v>11858.01</v>
      </c>
      <c r="J200" s="1047"/>
      <c r="K200" s="383">
        <v>11858.01</v>
      </c>
      <c r="L200" s="383">
        <v>-8685.49</v>
      </c>
    </row>
    <row r="201" spans="2:12">
      <c r="B201" s="1050"/>
      <c r="C201" s="1050"/>
      <c r="D201" s="382" t="s">
        <v>2396</v>
      </c>
      <c r="E201" s="382" t="s">
        <v>2397</v>
      </c>
      <c r="F201" s="382" t="s">
        <v>2342</v>
      </c>
      <c r="G201" s="382" t="s">
        <v>2349</v>
      </c>
      <c r="H201" s="383">
        <v>-95487.33</v>
      </c>
      <c r="I201" s="1046">
        <v>12127.02</v>
      </c>
      <c r="J201" s="1047"/>
      <c r="K201" s="383">
        <v>41658.980000000003</v>
      </c>
      <c r="L201" s="383">
        <v>-65955.37</v>
      </c>
    </row>
    <row r="202" spans="2:12">
      <c r="B202" s="1050"/>
      <c r="C202" s="1050"/>
      <c r="D202" s="382" t="s">
        <v>2396</v>
      </c>
      <c r="E202" s="382" t="s">
        <v>2397</v>
      </c>
      <c r="F202" s="382" t="s">
        <v>2342</v>
      </c>
      <c r="G202" s="382" t="s">
        <v>2350</v>
      </c>
      <c r="H202" s="383">
        <v>-98006.81</v>
      </c>
      <c r="I202" s="1046">
        <v>5208.13</v>
      </c>
      <c r="J202" s="1047"/>
      <c r="K202" s="383">
        <v>14487.25</v>
      </c>
      <c r="L202" s="383">
        <v>-88727.69</v>
      </c>
    </row>
    <row r="203" spans="2:12">
      <c r="B203" s="1050"/>
      <c r="C203" s="1050"/>
      <c r="D203" s="382" t="s">
        <v>2396</v>
      </c>
      <c r="E203" s="382" t="s">
        <v>2397</v>
      </c>
      <c r="F203" s="382" t="s">
        <v>2342</v>
      </c>
      <c r="G203" s="382" t="s">
        <v>2351</v>
      </c>
      <c r="H203" s="383">
        <v>-17.059999999999999</v>
      </c>
      <c r="I203" s="1046">
        <v>15263.91</v>
      </c>
      <c r="J203" s="1047"/>
      <c r="K203" s="383">
        <v>1741.8</v>
      </c>
      <c r="L203" s="383">
        <v>-13539.17</v>
      </c>
    </row>
    <row r="204" spans="2:12">
      <c r="B204" s="1050"/>
      <c r="C204" s="1050"/>
      <c r="D204" s="382" t="s">
        <v>2396</v>
      </c>
      <c r="E204" s="382" t="s">
        <v>2397</v>
      </c>
      <c r="F204" s="382" t="s">
        <v>2342</v>
      </c>
      <c r="G204" s="382" t="s">
        <v>2352</v>
      </c>
      <c r="H204" s="383">
        <v>-12156.34</v>
      </c>
      <c r="I204" s="1046">
        <v>36978.49</v>
      </c>
      <c r="J204" s="1047"/>
      <c r="K204" s="383">
        <v>19118.21</v>
      </c>
      <c r="L204" s="383">
        <v>-30016.62</v>
      </c>
    </row>
    <row r="205" spans="2:12">
      <c r="B205" s="1050"/>
      <c r="C205" s="1050"/>
      <c r="D205" s="382" t="s">
        <v>2396</v>
      </c>
      <c r="E205" s="382" t="s">
        <v>2397</v>
      </c>
      <c r="F205" s="382" t="s">
        <v>2342</v>
      </c>
      <c r="G205" s="382" t="s">
        <v>2353</v>
      </c>
      <c r="H205" s="383">
        <v>-17410.05</v>
      </c>
      <c r="I205" s="1046">
        <v>0</v>
      </c>
      <c r="J205" s="1047"/>
      <c r="K205" s="383">
        <v>6490.55</v>
      </c>
      <c r="L205" s="383">
        <v>-10919.5</v>
      </c>
    </row>
    <row r="206" spans="2:12">
      <c r="B206" s="1050"/>
      <c r="C206" s="1050"/>
      <c r="D206" s="382" t="s">
        <v>2398</v>
      </c>
      <c r="E206" s="382" t="s">
        <v>1966</v>
      </c>
      <c r="F206" s="382" t="s">
        <v>2342</v>
      </c>
      <c r="G206" s="382" t="s">
        <v>2343</v>
      </c>
      <c r="H206" s="383">
        <v>0</v>
      </c>
      <c r="I206" s="1046">
        <v>63118.68</v>
      </c>
      <c r="J206" s="1047"/>
      <c r="K206" s="383">
        <v>36.51</v>
      </c>
      <c r="L206" s="383">
        <v>-63082.17</v>
      </c>
    </row>
    <row r="207" spans="2:12">
      <c r="B207" s="1050"/>
      <c r="C207" s="1051"/>
      <c r="D207" s="359" t="s">
        <v>12</v>
      </c>
      <c r="E207" s="359" t="s">
        <v>111</v>
      </c>
      <c r="F207" s="359" t="s">
        <v>111</v>
      </c>
      <c r="G207" s="359" t="s">
        <v>111</v>
      </c>
      <c r="H207" s="384">
        <v>-2334765.87</v>
      </c>
      <c r="I207" s="1048">
        <v>619936.77</v>
      </c>
      <c r="J207" s="1047"/>
      <c r="K207" s="384">
        <v>470344.79</v>
      </c>
      <c r="L207" s="384">
        <v>-2484357.85</v>
      </c>
    </row>
    <row r="208" spans="2:12">
      <c r="B208" s="1050"/>
      <c r="C208" s="1049" t="s">
        <v>2399</v>
      </c>
      <c r="D208" s="382" t="s">
        <v>2400</v>
      </c>
      <c r="E208" s="382" t="s">
        <v>1967</v>
      </c>
      <c r="F208" s="382" t="s">
        <v>2342</v>
      </c>
      <c r="G208" s="382" t="s">
        <v>2343</v>
      </c>
      <c r="H208" s="383">
        <v>0</v>
      </c>
      <c r="I208" s="1046">
        <v>0</v>
      </c>
      <c r="J208" s="1047"/>
      <c r="K208" s="383">
        <v>0</v>
      </c>
      <c r="L208" s="383">
        <v>0</v>
      </c>
    </row>
    <row r="209" spans="2:12">
      <c r="B209" s="1050"/>
      <c r="C209" s="1050"/>
      <c r="D209" s="382" t="s">
        <v>2400</v>
      </c>
      <c r="E209" s="382" t="s">
        <v>1967</v>
      </c>
      <c r="F209" s="382" t="s">
        <v>2342</v>
      </c>
      <c r="G209" s="382" t="s">
        <v>2344</v>
      </c>
      <c r="H209" s="383">
        <v>0</v>
      </c>
      <c r="I209" s="1046">
        <v>38.93</v>
      </c>
      <c r="J209" s="1047"/>
      <c r="K209" s="383">
        <v>0</v>
      </c>
      <c r="L209" s="383">
        <v>-38.93</v>
      </c>
    </row>
    <row r="210" spans="2:12">
      <c r="B210" s="1050"/>
      <c r="C210" s="1050"/>
      <c r="D210" s="382" t="s">
        <v>2400</v>
      </c>
      <c r="E210" s="382" t="s">
        <v>1967</v>
      </c>
      <c r="F210" s="382" t="s">
        <v>2342</v>
      </c>
      <c r="G210" s="382" t="s">
        <v>2346</v>
      </c>
      <c r="H210" s="383">
        <v>0</v>
      </c>
      <c r="I210" s="1046">
        <v>0</v>
      </c>
      <c r="J210" s="1047"/>
      <c r="K210" s="383">
        <v>0</v>
      </c>
      <c r="L210" s="383">
        <v>0</v>
      </c>
    </row>
    <row r="211" spans="2:12">
      <c r="B211" s="1050"/>
      <c r="C211" s="1050"/>
      <c r="D211" s="382" t="s">
        <v>2400</v>
      </c>
      <c r="E211" s="382" t="s">
        <v>1967</v>
      </c>
      <c r="F211" s="382" t="s">
        <v>2342</v>
      </c>
      <c r="G211" s="382" t="s">
        <v>2348</v>
      </c>
      <c r="H211" s="383">
        <v>-96</v>
      </c>
      <c r="I211" s="1046">
        <v>4910.18</v>
      </c>
      <c r="J211" s="1047"/>
      <c r="K211" s="383">
        <v>4910.18</v>
      </c>
      <c r="L211" s="383">
        <v>-96</v>
      </c>
    </row>
    <row r="212" spans="2:12">
      <c r="B212" s="1050"/>
      <c r="C212" s="1050"/>
      <c r="D212" s="382" t="s">
        <v>2400</v>
      </c>
      <c r="E212" s="382" t="s">
        <v>1967</v>
      </c>
      <c r="F212" s="382" t="s">
        <v>2342</v>
      </c>
      <c r="G212" s="382" t="s">
        <v>2349</v>
      </c>
      <c r="H212" s="383">
        <v>-155.33000000000001</v>
      </c>
      <c r="I212" s="1046">
        <v>0</v>
      </c>
      <c r="J212" s="1047"/>
      <c r="K212" s="383">
        <v>6.07</v>
      </c>
      <c r="L212" s="383">
        <v>-149.26</v>
      </c>
    </row>
    <row r="213" spans="2:12">
      <c r="B213" s="1050"/>
      <c r="C213" s="1050"/>
      <c r="D213" s="382" t="s">
        <v>2401</v>
      </c>
      <c r="E213" s="382" t="s">
        <v>1968</v>
      </c>
      <c r="F213" s="382" t="s">
        <v>2342</v>
      </c>
      <c r="G213" s="382" t="s">
        <v>2347</v>
      </c>
      <c r="H213" s="383">
        <v>0</v>
      </c>
      <c r="I213" s="1046">
        <v>3497.05</v>
      </c>
      <c r="J213" s="1047"/>
      <c r="K213" s="383">
        <v>3497.05</v>
      </c>
      <c r="L213" s="383">
        <v>0</v>
      </c>
    </row>
    <row r="214" spans="2:12">
      <c r="B214" s="1050"/>
      <c r="C214" s="1050"/>
      <c r="D214" s="382" t="s">
        <v>2401</v>
      </c>
      <c r="E214" s="382" t="s">
        <v>1968</v>
      </c>
      <c r="F214" s="382" t="s">
        <v>2342</v>
      </c>
      <c r="G214" s="382" t="s">
        <v>2349</v>
      </c>
      <c r="H214" s="383">
        <v>0</v>
      </c>
      <c r="I214" s="1046">
        <v>0</v>
      </c>
      <c r="J214" s="1047"/>
      <c r="K214" s="383">
        <v>0</v>
      </c>
      <c r="L214" s="383">
        <v>0</v>
      </c>
    </row>
    <row r="215" spans="2:12">
      <c r="B215" s="1050"/>
      <c r="C215" s="1051"/>
      <c r="D215" s="359" t="s">
        <v>12</v>
      </c>
      <c r="E215" s="359" t="s">
        <v>111</v>
      </c>
      <c r="F215" s="359" t="s">
        <v>111</v>
      </c>
      <c r="G215" s="359" t="s">
        <v>111</v>
      </c>
      <c r="H215" s="384">
        <v>-251.33</v>
      </c>
      <c r="I215" s="1048">
        <v>8446.16</v>
      </c>
      <c r="J215" s="1047"/>
      <c r="K215" s="384">
        <v>8413.2999999999993</v>
      </c>
      <c r="L215" s="389">
        <v>-284.19</v>
      </c>
    </row>
    <row r="216" spans="2:12">
      <c r="B216" s="1050"/>
      <c r="C216" s="1049" t="s">
        <v>2402</v>
      </c>
      <c r="D216" s="382" t="s">
        <v>2403</v>
      </c>
      <c r="E216" s="382" t="s">
        <v>2404</v>
      </c>
      <c r="F216" s="382" t="s">
        <v>2342</v>
      </c>
      <c r="G216" s="382" t="s">
        <v>2355</v>
      </c>
      <c r="H216" s="383">
        <v>-977455.77</v>
      </c>
      <c r="I216" s="1046">
        <v>0</v>
      </c>
      <c r="J216" s="1047"/>
      <c r="K216" s="383">
        <v>0</v>
      </c>
      <c r="L216" s="383">
        <v>-977455.77</v>
      </c>
    </row>
    <row r="217" spans="2:12">
      <c r="B217" s="1050"/>
      <c r="C217" s="1050"/>
      <c r="D217" s="382" t="s">
        <v>2405</v>
      </c>
      <c r="E217" s="382" t="s">
        <v>1969</v>
      </c>
      <c r="F217" s="382" t="s">
        <v>2342</v>
      </c>
      <c r="G217" s="382" t="s">
        <v>2355</v>
      </c>
      <c r="H217" s="383">
        <v>-111276.87</v>
      </c>
      <c r="I217" s="1046">
        <v>0</v>
      </c>
      <c r="J217" s="1047"/>
      <c r="K217" s="383">
        <v>0</v>
      </c>
      <c r="L217" s="383">
        <v>-111276.87</v>
      </c>
    </row>
    <row r="218" spans="2:12">
      <c r="B218" s="1050"/>
      <c r="C218" s="1050"/>
      <c r="D218" s="382" t="s">
        <v>2406</v>
      </c>
      <c r="E218" s="382" t="s">
        <v>1970</v>
      </c>
      <c r="F218" s="382" t="s">
        <v>2342</v>
      </c>
      <c r="G218" s="382" t="s">
        <v>2355</v>
      </c>
      <c r="H218" s="383">
        <v>-77744.95</v>
      </c>
      <c r="I218" s="1046">
        <v>0</v>
      </c>
      <c r="J218" s="1047"/>
      <c r="K218" s="383">
        <v>0</v>
      </c>
      <c r="L218" s="383">
        <v>-77744.95</v>
      </c>
    </row>
    <row r="219" spans="2:12">
      <c r="B219" s="1050"/>
      <c r="C219" s="1050"/>
      <c r="D219" s="382" t="s">
        <v>2407</v>
      </c>
      <c r="E219" s="382" t="s">
        <v>1971</v>
      </c>
      <c r="F219" s="382" t="s">
        <v>2342</v>
      </c>
      <c r="G219" s="382" t="s">
        <v>2355</v>
      </c>
      <c r="H219" s="383">
        <v>1166477.5900000001</v>
      </c>
      <c r="I219" s="1046">
        <v>0</v>
      </c>
      <c r="J219" s="1047"/>
      <c r="K219" s="383">
        <v>0</v>
      </c>
      <c r="L219" s="383">
        <v>1166477.5900000001</v>
      </c>
    </row>
    <row r="220" spans="2:12">
      <c r="B220" s="1050"/>
      <c r="C220" s="1051"/>
      <c r="D220" s="359" t="s">
        <v>12</v>
      </c>
      <c r="E220" s="359" t="s">
        <v>111</v>
      </c>
      <c r="F220" s="359" t="s">
        <v>111</v>
      </c>
      <c r="G220" s="359" t="s">
        <v>111</v>
      </c>
      <c r="H220" s="384">
        <v>0</v>
      </c>
      <c r="I220" s="1048">
        <v>0</v>
      </c>
      <c r="J220" s="1047"/>
      <c r="K220" s="384">
        <v>0</v>
      </c>
      <c r="L220" s="384">
        <v>0</v>
      </c>
    </row>
    <row r="221" spans="2:12">
      <c r="B221" s="1050"/>
      <c r="C221" s="1049" t="s">
        <v>2408</v>
      </c>
      <c r="D221" s="382" t="s">
        <v>2409</v>
      </c>
      <c r="E221" s="382" t="s">
        <v>1972</v>
      </c>
      <c r="F221" s="382" t="s">
        <v>2342</v>
      </c>
      <c r="G221" s="382" t="s">
        <v>2352</v>
      </c>
      <c r="H221" s="383">
        <v>0</v>
      </c>
      <c r="I221" s="1046">
        <v>0</v>
      </c>
      <c r="J221" s="1047"/>
      <c r="K221" s="383">
        <v>0</v>
      </c>
      <c r="L221" s="383">
        <v>0</v>
      </c>
    </row>
    <row r="222" spans="2:12">
      <c r="B222" s="1050"/>
      <c r="C222" s="1051"/>
      <c r="D222" s="359" t="s">
        <v>12</v>
      </c>
      <c r="E222" s="359" t="s">
        <v>111</v>
      </c>
      <c r="F222" s="359" t="s">
        <v>111</v>
      </c>
      <c r="G222" s="359" t="s">
        <v>111</v>
      </c>
      <c r="H222" s="384">
        <v>0</v>
      </c>
      <c r="I222" s="1048">
        <v>0</v>
      </c>
      <c r="J222" s="1047"/>
      <c r="K222" s="384">
        <v>0</v>
      </c>
      <c r="L222" s="384">
        <v>0</v>
      </c>
    </row>
    <row r="223" spans="2:12">
      <c r="B223" s="1050"/>
      <c r="C223" s="1049" t="s">
        <v>2410</v>
      </c>
      <c r="D223" s="382" t="s">
        <v>2411</v>
      </c>
      <c r="E223" s="382" t="s">
        <v>1973</v>
      </c>
      <c r="F223" s="382" t="s">
        <v>2342</v>
      </c>
      <c r="G223" s="382" t="s">
        <v>2355</v>
      </c>
      <c r="H223" s="383">
        <v>-985053.41</v>
      </c>
      <c r="I223" s="1046">
        <v>815368.52</v>
      </c>
      <c r="J223" s="1047"/>
      <c r="K223" s="383">
        <v>1220600.8</v>
      </c>
      <c r="L223" s="383">
        <v>-579821.13</v>
      </c>
    </row>
    <row r="224" spans="2:12">
      <c r="B224" s="1050"/>
      <c r="C224" s="1050"/>
      <c r="D224" s="382" t="s">
        <v>2412</v>
      </c>
      <c r="E224" s="382" t="s">
        <v>1974</v>
      </c>
      <c r="F224" s="382" t="s">
        <v>2342</v>
      </c>
      <c r="G224" s="382" t="s">
        <v>2355</v>
      </c>
      <c r="H224" s="383">
        <v>-486.25</v>
      </c>
      <c r="I224" s="1046">
        <v>57086.720000000001</v>
      </c>
      <c r="J224" s="1047"/>
      <c r="K224" s="383">
        <v>15975.34</v>
      </c>
      <c r="L224" s="383">
        <v>-41597.629999999997</v>
      </c>
    </row>
    <row r="225" spans="2:12">
      <c r="B225" s="1050"/>
      <c r="C225" s="1051"/>
      <c r="D225" s="359" t="s">
        <v>12</v>
      </c>
      <c r="E225" s="359" t="s">
        <v>111</v>
      </c>
      <c r="F225" s="359" t="s">
        <v>111</v>
      </c>
      <c r="G225" s="359" t="s">
        <v>111</v>
      </c>
      <c r="H225" s="384">
        <v>-985539.66</v>
      </c>
      <c r="I225" s="1048">
        <v>872455.24</v>
      </c>
      <c r="J225" s="1047"/>
      <c r="K225" s="384">
        <v>1236576.1399999999</v>
      </c>
      <c r="L225" s="384">
        <v>-621418.76</v>
      </c>
    </row>
    <row r="226" spans="2:12">
      <c r="B226" s="1050"/>
      <c r="C226" s="1049" t="s">
        <v>2413</v>
      </c>
      <c r="D226" s="382" t="s">
        <v>2414</v>
      </c>
      <c r="E226" s="382" t="s">
        <v>1975</v>
      </c>
      <c r="F226" s="382" t="s">
        <v>2342</v>
      </c>
      <c r="G226" s="382" t="s">
        <v>2355</v>
      </c>
      <c r="H226" s="383">
        <v>-93902.07</v>
      </c>
      <c r="I226" s="1046">
        <v>10074.120000000001</v>
      </c>
      <c r="J226" s="1047"/>
      <c r="K226" s="383">
        <v>0</v>
      </c>
      <c r="L226" s="383">
        <v>-103976.19</v>
      </c>
    </row>
    <row r="227" spans="2:12">
      <c r="B227" s="1050"/>
      <c r="C227" s="1051"/>
      <c r="D227" s="359" t="s">
        <v>12</v>
      </c>
      <c r="E227" s="359" t="s">
        <v>111</v>
      </c>
      <c r="F227" s="359" t="s">
        <v>111</v>
      </c>
      <c r="G227" s="359" t="s">
        <v>111</v>
      </c>
      <c r="H227" s="384">
        <v>-93902.07</v>
      </c>
      <c r="I227" s="1048">
        <v>10074.120000000001</v>
      </c>
      <c r="J227" s="1047"/>
      <c r="K227" s="384">
        <v>0</v>
      </c>
      <c r="L227" s="384">
        <v>-103976.19</v>
      </c>
    </row>
    <row r="228" spans="2:12">
      <c r="B228" s="1050"/>
      <c r="C228" s="1049" t="s">
        <v>2415</v>
      </c>
      <c r="D228" s="382" t="s">
        <v>2416</v>
      </c>
      <c r="E228" s="382" t="s">
        <v>1976</v>
      </c>
      <c r="F228" s="382" t="s">
        <v>2342</v>
      </c>
      <c r="G228" s="382" t="s">
        <v>2355</v>
      </c>
      <c r="H228" s="383">
        <v>-264677.63</v>
      </c>
      <c r="I228" s="1046">
        <v>161958.34</v>
      </c>
      <c r="J228" s="1047"/>
      <c r="K228" s="383">
        <v>185412.87</v>
      </c>
      <c r="L228" s="383">
        <v>-241223.1</v>
      </c>
    </row>
    <row r="229" spans="2:12">
      <c r="B229" s="1050"/>
      <c r="C229" s="1050"/>
      <c r="D229" s="382" t="s">
        <v>2417</v>
      </c>
      <c r="E229" s="382" t="s">
        <v>2418</v>
      </c>
      <c r="F229" s="382" t="s">
        <v>2342</v>
      </c>
      <c r="G229" s="382" t="s">
        <v>2355</v>
      </c>
      <c r="H229" s="383">
        <v>0</v>
      </c>
      <c r="I229" s="1046">
        <v>220224.84</v>
      </c>
      <c r="J229" s="1047"/>
      <c r="K229" s="383">
        <v>220224.84</v>
      </c>
      <c r="L229" s="383">
        <v>0</v>
      </c>
    </row>
    <row r="230" spans="2:12">
      <c r="B230" s="1050"/>
      <c r="C230" s="1050"/>
      <c r="D230" s="382" t="s">
        <v>2419</v>
      </c>
      <c r="E230" s="382" t="s">
        <v>1977</v>
      </c>
      <c r="F230" s="382" t="s">
        <v>2342</v>
      </c>
      <c r="G230" s="382" t="s">
        <v>2355</v>
      </c>
      <c r="H230" s="383">
        <v>-243200.03</v>
      </c>
      <c r="I230" s="1046">
        <v>651554.11</v>
      </c>
      <c r="J230" s="1047"/>
      <c r="K230" s="383">
        <f>336694.57+361191</f>
        <v>697885.57000000007</v>
      </c>
      <c r="L230" s="383">
        <f>H230+K230-I230</f>
        <v>-196868.56999999995</v>
      </c>
    </row>
    <row r="231" spans="2:12">
      <c r="B231" s="1050"/>
      <c r="C231" s="1051"/>
      <c r="D231" s="359" t="s">
        <v>12</v>
      </c>
      <c r="E231" s="359" t="s">
        <v>111</v>
      </c>
      <c r="F231" s="359" t="s">
        <v>111</v>
      </c>
      <c r="G231" s="359" t="s">
        <v>111</v>
      </c>
      <c r="H231" s="384">
        <f>SUM(H228:H230)</f>
        <v>-507877.66000000003</v>
      </c>
      <c r="I231" s="1048">
        <f>SUM(I228:I230)</f>
        <v>1033737.29</v>
      </c>
      <c r="J231" s="1047">
        <f>SUM(J228:J230)</f>
        <v>0</v>
      </c>
      <c r="K231" s="384">
        <f>SUM(K228:K230)</f>
        <v>1103523.28</v>
      </c>
      <c r="L231" s="384">
        <f>SUM(L228:L230)</f>
        <v>-438091.66999999993</v>
      </c>
    </row>
    <row r="232" spans="2:12">
      <c r="B232" s="1050"/>
      <c r="C232" s="1049" t="s">
        <v>2420</v>
      </c>
      <c r="D232" s="382" t="s">
        <v>2421</v>
      </c>
      <c r="E232" s="382" t="s">
        <v>1978</v>
      </c>
      <c r="F232" s="382" t="s">
        <v>2358</v>
      </c>
      <c r="G232" s="382" t="s">
        <v>2343</v>
      </c>
      <c r="H232" s="383">
        <v>0</v>
      </c>
      <c r="I232" s="1046">
        <v>0</v>
      </c>
      <c r="J232" s="1047"/>
      <c r="K232" s="383">
        <v>0</v>
      </c>
      <c r="L232" s="383">
        <v>0</v>
      </c>
    </row>
    <row r="233" spans="2:12">
      <c r="B233" s="1050"/>
      <c r="C233" s="1050"/>
      <c r="D233" s="382" t="s">
        <v>2421</v>
      </c>
      <c r="E233" s="382" t="s">
        <v>1978</v>
      </c>
      <c r="F233" s="382" t="s">
        <v>2342</v>
      </c>
      <c r="G233" s="382" t="s">
        <v>2343</v>
      </c>
      <c r="H233" s="383">
        <v>-7042.57</v>
      </c>
      <c r="I233" s="1046">
        <v>0</v>
      </c>
      <c r="J233" s="1047"/>
      <c r="K233" s="383">
        <v>2839</v>
      </c>
      <c r="L233" s="383">
        <v>-4203.57</v>
      </c>
    </row>
    <row r="234" spans="2:12">
      <c r="B234" s="1050"/>
      <c r="C234" s="1050"/>
      <c r="D234" s="382" t="s">
        <v>2421</v>
      </c>
      <c r="E234" s="382" t="s">
        <v>1978</v>
      </c>
      <c r="F234" s="382" t="s">
        <v>2342</v>
      </c>
      <c r="G234" s="382" t="s">
        <v>2344</v>
      </c>
      <c r="H234" s="383">
        <v>-995.85</v>
      </c>
      <c r="I234" s="1046">
        <v>3000</v>
      </c>
      <c r="J234" s="1047"/>
      <c r="K234" s="383">
        <v>0</v>
      </c>
      <c r="L234" s="383">
        <v>-3995.85</v>
      </c>
    </row>
    <row r="235" spans="2:12">
      <c r="B235" s="1050"/>
      <c r="C235" s="1050"/>
      <c r="D235" s="382" t="s">
        <v>2421</v>
      </c>
      <c r="E235" s="382" t="s">
        <v>1978</v>
      </c>
      <c r="F235" s="382" t="s">
        <v>2342</v>
      </c>
      <c r="G235" s="382" t="s">
        <v>2345</v>
      </c>
      <c r="H235" s="383">
        <v>-570</v>
      </c>
      <c r="I235" s="1046">
        <v>0</v>
      </c>
      <c r="J235" s="1047"/>
      <c r="K235" s="383">
        <v>0</v>
      </c>
      <c r="L235" s="383">
        <v>-570</v>
      </c>
    </row>
    <row r="236" spans="2:12">
      <c r="B236" s="1050"/>
      <c r="C236" s="1050"/>
      <c r="D236" s="382" t="s">
        <v>2421</v>
      </c>
      <c r="E236" s="382" t="s">
        <v>1978</v>
      </c>
      <c r="F236" s="382" t="s">
        <v>2342</v>
      </c>
      <c r="G236" s="382" t="s">
        <v>2347</v>
      </c>
      <c r="H236" s="383">
        <v>-195</v>
      </c>
      <c r="I236" s="1046">
        <v>0</v>
      </c>
      <c r="J236" s="1047"/>
      <c r="K236" s="383">
        <v>1352</v>
      </c>
      <c r="L236" s="383">
        <v>1157</v>
      </c>
    </row>
    <row r="237" spans="2:12">
      <c r="B237" s="1050"/>
      <c r="C237" s="1050"/>
      <c r="D237" s="382" t="s">
        <v>2421</v>
      </c>
      <c r="E237" s="382" t="s">
        <v>1978</v>
      </c>
      <c r="F237" s="382" t="s">
        <v>2342</v>
      </c>
      <c r="G237" s="382" t="s">
        <v>2348</v>
      </c>
      <c r="H237" s="383">
        <v>-570</v>
      </c>
      <c r="I237" s="1046">
        <v>0</v>
      </c>
      <c r="J237" s="1047"/>
      <c r="K237" s="383">
        <v>0</v>
      </c>
      <c r="L237" s="383">
        <v>-570</v>
      </c>
    </row>
    <row r="238" spans="2:12">
      <c r="B238" s="1050"/>
      <c r="C238" s="1050"/>
      <c r="D238" s="382" t="s">
        <v>2421</v>
      </c>
      <c r="E238" s="382" t="s">
        <v>1978</v>
      </c>
      <c r="F238" s="382" t="s">
        <v>2342</v>
      </c>
      <c r="G238" s="382" t="s">
        <v>2349</v>
      </c>
      <c r="H238" s="383">
        <v>-1040</v>
      </c>
      <c r="I238" s="1046">
        <v>0</v>
      </c>
      <c r="J238" s="1047"/>
      <c r="K238" s="383">
        <v>78</v>
      </c>
      <c r="L238" s="383">
        <v>-962</v>
      </c>
    </row>
    <row r="239" spans="2:12">
      <c r="B239" s="1050"/>
      <c r="C239" s="1050"/>
      <c r="D239" s="382" t="s">
        <v>2421</v>
      </c>
      <c r="E239" s="382" t="s">
        <v>1978</v>
      </c>
      <c r="F239" s="382" t="s">
        <v>2342</v>
      </c>
      <c r="G239" s="382" t="s">
        <v>2350</v>
      </c>
      <c r="H239" s="383">
        <v>-570</v>
      </c>
      <c r="I239" s="1046">
        <v>0</v>
      </c>
      <c r="J239" s="1047"/>
      <c r="K239" s="383">
        <v>50.03</v>
      </c>
      <c r="L239" s="383">
        <v>-519.97</v>
      </c>
    </row>
    <row r="240" spans="2:12">
      <c r="B240" s="1050"/>
      <c r="C240" s="1050"/>
      <c r="D240" s="382" t="s">
        <v>2421</v>
      </c>
      <c r="E240" s="382" t="s">
        <v>1978</v>
      </c>
      <c r="F240" s="382" t="s">
        <v>2342</v>
      </c>
      <c r="G240" s="382" t="s">
        <v>2351</v>
      </c>
      <c r="H240" s="383">
        <v>-570</v>
      </c>
      <c r="I240" s="1046">
        <v>0</v>
      </c>
      <c r="J240" s="1047"/>
      <c r="K240" s="383">
        <v>1400</v>
      </c>
      <c r="L240" s="383">
        <v>830</v>
      </c>
    </row>
    <row r="241" spans="2:12">
      <c r="B241" s="1050"/>
      <c r="C241" s="1050"/>
      <c r="D241" s="382" t="s">
        <v>2421</v>
      </c>
      <c r="E241" s="382" t="s">
        <v>1978</v>
      </c>
      <c r="F241" s="382" t="s">
        <v>2342</v>
      </c>
      <c r="G241" s="382" t="s">
        <v>2352</v>
      </c>
      <c r="H241" s="383">
        <v>-425</v>
      </c>
      <c r="I241" s="1046">
        <v>0</v>
      </c>
      <c r="J241" s="1047"/>
      <c r="K241" s="383">
        <v>0</v>
      </c>
      <c r="L241" s="383">
        <v>-425</v>
      </c>
    </row>
    <row r="242" spans="2:12">
      <c r="B242" s="1050"/>
      <c r="C242" s="1050"/>
      <c r="D242" s="382" t="s">
        <v>2421</v>
      </c>
      <c r="E242" s="382" t="s">
        <v>1978</v>
      </c>
      <c r="F242" s="382" t="s">
        <v>2342</v>
      </c>
      <c r="G242" s="382" t="s">
        <v>2353</v>
      </c>
      <c r="H242" s="383">
        <v>-568</v>
      </c>
      <c r="I242" s="1046">
        <v>0</v>
      </c>
      <c r="J242" s="1047"/>
      <c r="K242" s="383">
        <v>0</v>
      </c>
      <c r="L242" s="383">
        <v>-568</v>
      </c>
    </row>
    <row r="243" spans="2:12">
      <c r="B243" s="1050"/>
      <c r="C243" s="1050"/>
      <c r="D243" s="382" t="s">
        <v>2421</v>
      </c>
      <c r="E243" s="382" t="s">
        <v>1978</v>
      </c>
      <c r="F243" s="382" t="s">
        <v>2342</v>
      </c>
      <c r="G243" s="382" t="s">
        <v>405</v>
      </c>
      <c r="H243" s="383">
        <v>-2070</v>
      </c>
      <c r="I243" s="1046">
        <v>0</v>
      </c>
      <c r="J243" s="1047"/>
      <c r="K243" s="383">
        <v>0</v>
      </c>
      <c r="L243" s="383">
        <v>-2070</v>
      </c>
    </row>
    <row r="244" spans="2:12">
      <c r="B244" s="1050"/>
      <c r="C244" s="1050"/>
      <c r="D244" s="382" t="s">
        <v>2421</v>
      </c>
      <c r="E244" s="382" t="s">
        <v>1978</v>
      </c>
      <c r="F244" s="382" t="s">
        <v>2342</v>
      </c>
      <c r="G244" s="382" t="s">
        <v>2354</v>
      </c>
      <c r="H244" s="383">
        <v>-650</v>
      </c>
      <c r="I244" s="1046">
        <v>492</v>
      </c>
      <c r="J244" s="1047"/>
      <c r="K244" s="383">
        <v>0</v>
      </c>
      <c r="L244" s="383">
        <v>-1142</v>
      </c>
    </row>
    <row r="245" spans="2:12">
      <c r="B245" s="1050"/>
      <c r="C245" s="1050"/>
      <c r="D245" s="382" t="s">
        <v>2421</v>
      </c>
      <c r="E245" s="382" t="s">
        <v>1978</v>
      </c>
      <c r="F245" s="382" t="s">
        <v>2342</v>
      </c>
      <c r="G245" s="382" t="s">
        <v>2355</v>
      </c>
      <c r="H245" s="383">
        <v>-55561.61</v>
      </c>
      <c r="I245" s="1046">
        <v>67278</v>
      </c>
      <c r="J245" s="1047"/>
      <c r="K245" s="383">
        <v>130779</v>
      </c>
      <c r="L245" s="383">
        <v>7939.39</v>
      </c>
    </row>
    <row r="246" spans="2:12">
      <c r="B246" s="1050"/>
      <c r="C246" s="1050"/>
      <c r="D246" s="382" t="s">
        <v>2422</v>
      </c>
      <c r="E246" s="382" t="s">
        <v>1979</v>
      </c>
      <c r="F246" s="382" t="s">
        <v>2342</v>
      </c>
      <c r="G246" s="382" t="s">
        <v>2343</v>
      </c>
      <c r="H246" s="383">
        <v>44299.1</v>
      </c>
      <c r="I246" s="1046">
        <v>0</v>
      </c>
      <c r="J246" s="1047"/>
      <c r="K246" s="383">
        <v>15943.9</v>
      </c>
      <c r="L246" s="383">
        <v>60243</v>
      </c>
    </row>
    <row r="247" spans="2:12">
      <c r="B247" s="1050"/>
      <c r="C247" s="1050"/>
      <c r="D247" s="382" t="s">
        <v>2422</v>
      </c>
      <c r="E247" s="382" t="s">
        <v>1979</v>
      </c>
      <c r="F247" s="382" t="s">
        <v>2342</v>
      </c>
      <c r="G247" s="382" t="s">
        <v>2344</v>
      </c>
      <c r="H247" s="383">
        <v>30587.59</v>
      </c>
      <c r="I247" s="1046">
        <v>0</v>
      </c>
      <c r="J247" s="1047"/>
      <c r="K247" s="383">
        <v>15551.8</v>
      </c>
      <c r="L247" s="383">
        <v>46139.39</v>
      </c>
    </row>
    <row r="248" spans="2:12">
      <c r="B248" s="1050"/>
      <c r="C248" s="1050"/>
      <c r="D248" s="382" t="s">
        <v>2422</v>
      </c>
      <c r="E248" s="382" t="s">
        <v>1979</v>
      </c>
      <c r="F248" s="382" t="s">
        <v>2342</v>
      </c>
      <c r="G248" s="382" t="s">
        <v>2345</v>
      </c>
      <c r="H248" s="383">
        <v>8830.9599999999991</v>
      </c>
      <c r="I248" s="1046">
        <v>0</v>
      </c>
      <c r="J248" s="1047"/>
      <c r="K248" s="383">
        <v>4040.48</v>
      </c>
      <c r="L248" s="383">
        <v>12871.44</v>
      </c>
    </row>
    <row r="249" spans="2:12">
      <c r="B249" s="1050"/>
      <c r="C249" s="1050"/>
      <c r="D249" s="382" t="s">
        <v>2422</v>
      </c>
      <c r="E249" s="382" t="s">
        <v>1979</v>
      </c>
      <c r="F249" s="382" t="s">
        <v>2342</v>
      </c>
      <c r="G249" s="382" t="s">
        <v>2346</v>
      </c>
      <c r="H249" s="383">
        <v>23927.16</v>
      </c>
      <c r="I249" s="1046">
        <v>0</v>
      </c>
      <c r="J249" s="1047"/>
      <c r="K249" s="383">
        <v>11614.82</v>
      </c>
      <c r="L249" s="383">
        <v>35541.980000000003</v>
      </c>
    </row>
    <row r="250" spans="2:12">
      <c r="B250" s="1050"/>
      <c r="C250" s="1050"/>
      <c r="D250" s="382" t="s">
        <v>2422</v>
      </c>
      <c r="E250" s="382" t="s">
        <v>1979</v>
      </c>
      <c r="F250" s="382" t="s">
        <v>2342</v>
      </c>
      <c r="G250" s="382" t="s">
        <v>2347</v>
      </c>
      <c r="H250" s="383">
        <v>47159.11</v>
      </c>
      <c r="I250" s="1046">
        <v>0</v>
      </c>
      <c r="J250" s="1047"/>
      <c r="K250" s="383">
        <v>19297.46</v>
      </c>
      <c r="L250" s="383">
        <v>66456.570000000007</v>
      </c>
    </row>
    <row r="251" spans="2:12">
      <c r="B251" s="1050"/>
      <c r="C251" s="1050"/>
      <c r="D251" s="382" t="s">
        <v>2422</v>
      </c>
      <c r="E251" s="382" t="s">
        <v>1979</v>
      </c>
      <c r="F251" s="382" t="s">
        <v>2342</v>
      </c>
      <c r="G251" s="382" t="s">
        <v>2348</v>
      </c>
      <c r="H251" s="383">
        <v>15119.94</v>
      </c>
      <c r="I251" s="1046">
        <v>0</v>
      </c>
      <c r="J251" s="1047"/>
      <c r="K251" s="383">
        <v>7559.97</v>
      </c>
      <c r="L251" s="383">
        <v>22679.91</v>
      </c>
    </row>
    <row r="252" spans="2:12">
      <c r="B252" s="1050"/>
      <c r="C252" s="1050"/>
      <c r="D252" s="382" t="s">
        <v>2422</v>
      </c>
      <c r="E252" s="382" t="s">
        <v>1979</v>
      </c>
      <c r="F252" s="382" t="s">
        <v>2342</v>
      </c>
      <c r="G252" s="382" t="s">
        <v>2349</v>
      </c>
      <c r="H252" s="383">
        <v>30766.17</v>
      </c>
      <c r="I252" s="1046">
        <v>0</v>
      </c>
      <c r="J252" s="1047"/>
      <c r="K252" s="383">
        <v>13750.24</v>
      </c>
      <c r="L252" s="383">
        <v>44516.41</v>
      </c>
    </row>
    <row r="253" spans="2:12">
      <c r="B253" s="1050"/>
      <c r="C253" s="1050"/>
      <c r="D253" s="382" t="s">
        <v>2422</v>
      </c>
      <c r="E253" s="382" t="s">
        <v>1979</v>
      </c>
      <c r="F253" s="382" t="s">
        <v>2342</v>
      </c>
      <c r="G253" s="382" t="s">
        <v>2350</v>
      </c>
      <c r="H253" s="383">
        <v>49235.34</v>
      </c>
      <c r="I253" s="1046">
        <v>0</v>
      </c>
      <c r="J253" s="1047"/>
      <c r="K253" s="383">
        <v>21343.06</v>
      </c>
      <c r="L253" s="383">
        <v>70578.399999999994</v>
      </c>
    </row>
    <row r="254" spans="2:12">
      <c r="B254" s="1050"/>
      <c r="C254" s="1050"/>
      <c r="D254" s="382" t="s">
        <v>2422</v>
      </c>
      <c r="E254" s="382" t="s">
        <v>1979</v>
      </c>
      <c r="F254" s="382" t="s">
        <v>2342</v>
      </c>
      <c r="G254" s="382" t="s">
        <v>2351</v>
      </c>
      <c r="H254" s="383">
        <v>23348.25</v>
      </c>
      <c r="I254" s="1046">
        <v>0</v>
      </c>
      <c r="J254" s="1047"/>
      <c r="K254" s="383">
        <v>9856.92</v>
      </c>
      <c r="L254" s="383">
        <v>33205.17</v>
      </c>
    </row>
    <row r="255" spans="2:12">
      <c r="B255" s="1050"/>
      <c r="C255" s="1050"/>
      <c r="D255" s="382" t="s">
        <v>2422</v>
      </c>
      <c r="E255" s="382" t="s">
        <v>1979</v>
      </c>
      <c r="F255" s="382" t="s">
        <v>2342</v>
      </c>
      <c r="G255" s="382" t="s">
        <v>2352</v>
      </c>
      <c r="H255" s="383">
        <v>14840.36</v>
      </c>
      <c r="I255" s="1046">
        <v>0</v>
      </c>
      <c r="J255" s="1047"/>
      <c r="K255" s="383">
        <v>6934.94</v>
      </c>
      <c r="L255" s="383">
        <v>21775.3</v>
      </c>
    </row>
    <row r="256" spans="2:12">
      <c r="B256" s="1050"/>
      <c r="C256" s="1050"/>
      <c r="D256" s="382" t="s">
        <v>2422</v>
      </c>
      <c r="E256" s="382" t="s">
        <v>1979</v>
      </c>
      <c r="F256" s="382" t="s">
        <v>2342</v>
      </c>
      <c r="G256" s="382" t="s">
        <v>2353</v>
      </c>
      <c r="H256" s="383">
        <v>13022.09</v>
      </c>
      <c r="I256" s="1046">
        <v>0</v>
      </c>
      <c r="J256" s="1047"/>
      <c r="K256" s="383">
        <v>4509.67</v>
      </c>
      <c r="L256" s="383">
        <v>17531.759999999998</v>
      </c>
    </row>
    <row r="257" spans="2:12">
      <c r="B257" s="1050"/>
      <c r="C257" s="1050"/>
      <c r="D257" s="382" t="s">
        <v>2422</v>
      </c>
      <c r="E257" s="382" t="s">
        <v>1979</v>
      </c>
      <c r="F257" s="382" t="s">
        <v>2342</v>
      </c>
      <c r="G257" s="382" t="s">
        <v>405</v>
      </c>
      <c r="H257" s="383">
        <v>4752.76</v>
      </c>
      <c r="I257" s="1046">
        <v>0</v>
      </c>
      <c r="J257" s="1047"/>
      <c r="K257" s="383">
        <v>4086.35</v>
      </c>
      <c r="L257" s="383">
        <v>8839.11</v>
      </c>
    </row>
    <row r="258" spans="2:12">
      <c r="B258" s="1050"/>
      <c r="C258" s="1050"/>
      <c r="D258" s="382" t="s">
        <v>2422</v>
      </c>
      <c r="E258" s="382" t="s">
        <v>1979</v>
      </c>
      <c r="F258" s="382" t="s">
        <v>2342</v>
      </c>
      <c r="G258" s="382" t="s">
        <v>2355</v>
      </c>
      <c r="H258" s="383">
        <v>-434040.14</v>
      </c>
      <c r="I258" s="1046">
        <v>209975.16</v>
      </c>
      <c r="J258" s="1047"/>
      <c r="K258" s="383">
        <v>193482.25</v>
      </c>
      <c r="L258" s="383">
        <v>-450533.05</v>
      </c>
    </row>
    <row r="259" spans="2:12">
      <c r="B259" s="1050"/>
      <c r="C259" s="1050"/>
      <c r="D259" s="382" t="s">
        <v>2423</v>
      </c>
      <c r="E259" s="382" t="s">
        <v>1980</v>
      </c>
      <c r="F259" s="382" t="s">
        <v>2342</v>
      </c>
      <c r="G259" s="382" t="s">
        <v>2355</v>
      </c>
      <c r="H259" s="383">
        <v>-5757.98</v>
      </c>
      <c r="I259" s="1046">
        <v>62955.81</v>
      </c>
      <c r="J259" s="1047"/>
      <c r="K259" s="383">
        <v>12355.81</v>
      </c>
      <c r="L259" s="383">
        <v>-56357.98</v>
      </c>
    </row>
    <row r="260" spans="2:12">
      <c r="B260" s="1050"/>
      <c r="C260" s="1051"/>
      <c r="D260" s="359" t="s">
        <v>12</v>
      </c>
      <c r="E260" s="359" t="s">
        <v>111</v>
      </c>
      <c r="F260" s="359" t="s">
        <v>111</v>
      </c>
      <c r="G260" s="359" t="s">
        <v>111</v>
      </c>
      <c r="H260" s="384">
        <v>-204737.32</v>
      </c>
      <c r="I260" s="1048">
        <v>343700.97</v>
      </c>
      <c r="J260" s="1047"/>
      <c r="K260" s="384">
        <v>476825.7</v>
      </c>
      <c r="L260" s="384">
        <v>-71612.59</v>
      </c>
    </row>
    <row r="261" spans="2:12">
      <c r="B261" s="1050"/>
      <c r="C261" s="1049" t="s">
        <v>2424</v>
      </c>
      <c r="D261" s="382" t="s">
        <v>2425</v>
      </c>
      <c r="E261" s="382" t="s">
        <v>1981</v>
      </c>
      <c r="F261" s="382" t="s">
        <v>2342</v>
      </c>
      <c r="G261" s="382" t="s">
        <v>2353</v>
      </c>
      <c r="H261" s="383">
        <v>0</v>
      </c>
      <c r="I261" s="1046">
        <v>0</v>
      </c>
      <c r="J261" s="1047"/>
      <c r="K261" s="383">
        <v>0</v>
      </c>
      <c r="L261" s="383">
        <v>0</v>
      </c>
    </row>
    <row r="262" spans="2:12">
      <c r="B262" s="1050"/>
      <c r="C262" s="1051"/>
      <c r="D262" s="359" t="s">
        <v>12</v>
      </c>
      <c r="E262" s="359" t="s">
        <v>111</v>
      </c>
      <c r="F262" s="359" t="s">
        <v>111</v>
      </c>
      <c r="G262" s="359" t="s">
        <v>111</v>
      </c>
      <c r="H262" s="384">
        <v>0</v>
      </c>
      <c r="I262" s="1048">
        <v>0</v>
      </c>
      <c r="J262" s="1047"/>
      <c r="K262" s="384">
        <v>0</v>
      </c>
      <c r="L262" s="384">
        <v>0</v>
      </c>
    </row>
    <row r="263" spans="2:12">
      <c r="B263" s="1050"/>
      <c r="C263" s="1049" t="s">
        <v>2426</v>
      </c>
      <c r="D263" s="382" t="s">
        <v>2427</v>
      </c>
      <c r="E263" s="382" t="s">
        <v>1982</v>
      </c>
      <c r="F263" s="382" t="s">
        <v>2342</v>
      </c>
      <c r="G263" s="382" t="s">
        <v>2343</v>
      </c>
      <c r="H263" s="383">
        <v>-70328.009999999995</v>
      </c>
      <c r="I263" s="1046">
        <v>105997.14</v>
      </c>
      <c r="J263" s="1047"/>
      <c r="K263" s="383">
        <v>98361.98</v>
      </c>
      <c r="L263" s="383">
        <v>-77963.17</v>
      </c>
    </row>
    <row r="264" spans="2:12">
      <c r="B264" s="1050"/>
      <c r="C264" s="1050"/>
      <c r="D264" s="382" t="s">
        <v>2427</v>
      </c>
      <c r="E264" s="382" t="s">
        <v>1982</v>
      </c>
      <c r="F264" s="382" t="s">
        <v>2342</v>
      </c>
      <c r="G264" s="382" t="s">
        <v>2344</v>
      </c>
      <c r="H264" s="383">
        <v>-41085.230000000003</v>
      </c>
      <c r="I264" s="1046">
        <v>60079.05</v>
      </c>
      <c r="J264" s="1047"/>
      <c r="K264" s="383">
        <v>61548.31</v>
      </c>
      <c r="L264" s="383">
        <v>-39615.97</v>
      </c>
    </row>
    <row r="265" spans="2:12">
      <c r="B265" s="1050"/>
      <c r="C265" s="1050"/>
      <c r="D265" s="382" t="s">
        <v>2427</v>
      </c>
      <c r="E265" s="382" t="s">
        <v>1982</v>
      </c>
      <c r="F265" s="382" t="s">
        <v>2342</v>
      </c>
      <c r="G265" s="382" t="s">
        <v>2345</v>
      </c>
      <c r="H265" s="383">
        <v>-29882.22</v>
      </c>
      <c r="I265" s="1046">
        <v>40721.379999999997</v>
      </c>
      <c r="J265" s="1047"/>
      <c r="K265" s="383">
        <v>44630.53</v>
      </c>
      <c r="L265" s="383">
        <v>-25973.07</v>
      </c>
    </row>
    <row r="266" spans="2:12">
      <c r="B266" s="1050"/>
      <c r="C266" s="1050"/>
      <c r="D266" s="382" t="s">
        <v>2427</v>
      </c>
      <c r="E266" s="382" t="s">
        <v>1982</v>
      </c>
      <c r="F266" s="382" t="s">
        <v>2342</v>
      </c>
      <c r="G266" s="382" t="s">
        <v>2346</v>
      </c>
      <c r="H266" s="383">
        <v>-24088.06</v>
      </c>
      <c r="I266" s="1046">
        <v>32444.03</v>
      </c>
      <c r="J266" s="1047"/>
      <c r="K266" s="383">
        <v>31497.49</v>
      </c>
      <c r="L266" s="383">
        <v>-25034.6</v>
      </c>
    </row>
    <row r="267" spans="2:12">
      <c r="B267" s="1050"/>
      <c r="C267" s="1050"/>
      <c r="D267" s="382" t="s">
        <v>2427</v>
      </c>
      <c r="E267" s="382" t="s">
        <v>1982</v>
      </c>
      <c r="F267" s="382" t="s">
        <v>2342</v>
      </c>
      <c r="G267" s="382" t="s">
        <v>2347</v>
      </c>
      <c r="H267" s="383">
        <v>-52476.87</v>
      </c>
      <c r="I267" s="1046">
        <v>88462.65</v>
      </c>
      <c r="J267" s="1047"/>
      <c r="K267" s="383">
        <v>81770.320000000007</v>
      </c>
      <c r="L267" s="383">
        <v>-59169.2</v>
      </c>
    </row>
    <row r="268" spans="2:12">
      <c r="B268" s="1050"/>
      <c r="C268" s="1050"/>
      <c r="D268" s="382" t="s">
        <v>2427</v>
      </c>
      <c r="E268" s="382" t="s">
        <v>1982</v>
      </c>
      <c r="F268" s="382" t="s">
        <v>2342</v>
      </c>
      <c r="G268" s="382" t="s">
        <v>2348</v>
      </c>
      <c r="H268" s="383">
        <v>-66863.600000000006</v>
      </c>
      <c r="I268" s="1046">
        <v>108057.61</v>
      </c>
      <c r="J268" s="1047"/>
      <c r="K268" s="383">
        <v>109294.62</v>
      </c>
      <c r="L268" s="383">
        <v>-65626.59</v>
      </c>
    </row>
    <row r="269" spans="2:12">
      <c r="B269" s="1050"/>
      <c r="C269" s="1050"/>
      <c r="D269" s="382" t="s">
        <v>2427</v>
      </c>
      <c r="E269" s="382" t="s">
        <v>1982</v>
      </c>
      <c r="F269" s="382" t="s">
        <v>2342</v>
      </c>
      <c r="G269" s="382" t="s">
        <v>2349</v>
      </c>
      <c r="H269" s="383">
        <v>-71301.960000000006</v>
      </c>
      <c r="I269" s="1046">
        <v>101585.7</v>
      </c>
      <c r="J269" s="1047"/>
      <c r="K269" s="383">
        <v>97897.46</v>
      </c>
      <c r="L269" s="383">
        <v>-74990.2</v>
      </c>
    </row>
    <row r="270" spans="2:12">
      <c r="B270" s="1050"/>
      <c r="C270" s="1050"/>
      <c r="D270" s="382" t="s">
        <v>2427</v>
      </c>
      <c r="E270" s="382" t="s">
        <v>1982</v>
      </c>
      <c r="F270" s="382" t="s">
        <v>2342</v>
      </c>
      <c r="G270" s="382" t="s">
        <v>2350</v>
      </c>
      <c r="H270" s="383">
        <v>-46485.66</v>
      </c>
      <c r="I270" s="1046">
        <v>64109.03</v>
      </c>
      <c r="J270" s="1047"/>
      <c r="K270" s="383">
        <v>63735.66</v>
      </c>
      <c r="L270" s="383">
        <v>-46859.03</v>
      </c>
    </row>
    <row r="271" spans="2:12">
      <c r="B271" s="1050"/>
      <c r="C271" s="1050"/>
      <c r="D271" s="382" t="s">
        <v>2427</v>
      </c>
      <c r="E271" s="382" t="s">
        <v>1982</v>
      </c>
      <c r="F271" s="382" t="s">
        <v>2342</v>
      </c>
      <c r="G271" s="382" t="s">
        <v>2351</v>
      </c>
      <c r="H271" s="383">
        <v>-11842.12</v>
      </c>
      <c r="I271" s="1046">
        <v>12811.93</v>
      </c>
      <c r="J271" s="1047"/>
      <c r="K271" s="383">
        <v>15931.85</v>
      </c>
      <c r="L271" s="383">
        <v>-8722.2000000000007</v>
      </c>
    </row>
    <row r="272" spans="2:12">
      <c r="B272" s="1050"/>
      <c r="C272" s="1050"/>
      <c r="D272" s="382" t="s">
        <v>2427</v>
      </c>
      <c r="E272" s="382" t="s">
        <v>1982</v>
      </c>
      <c r="F272" s="382" t="s">
        <v>2342</v>
      </c>
      <c r="G272" s="382" t="s">
        <v>2352</v>
      </c>
      <c r="H272" s="383">
        <v>-27373.02</v>
      </c>
      <c r="I272" s="1046">
        <v>42473.37</v>
      </c>
      <c r="J272" s="1047"/>
      <c r="K272" s="383">
        <v>40230.32</v>
      </c>
      <c r="L272" s="383">
        <v>-29616.07</v>
      </c>
    </row>
    <row r="273" spans="2:12">
      <c r="B273" s="1050"/>
      <c r="C273" s="1050"/>
      <c r="D273" s="382" t="s">
        <v>2427</v>
      </c>
      <c r="E273" s="382" t="s">
        <v>1982</v>
      </c>
      <c r="F273" s="382" t="s">
        <v>2342</v>
      </c>
      <c r="G273" s="382" t="s">
        <v>2353</v>
      </c>
      <c r="H273" s="383">
        <v>-49508.77</v>
      </c>
      <c r="I273" s="1046">
        <v>70856.39</v>
      </c>
      <c r="J273" s="1047"/>
      <c r="K273" s="383">
        <v>68405.789999999994</v>
      </c>
      <c r="L273" s="383">
        <v>-51959.37</v>
      </c>
    </row>
    <row r="274" spans="2:12">
      <c r="B274" s="1050"/>
      <c r="C274" s="1050"/>
      <c r="D274" s="382" t="s">
        <v>2427</v>
      </c>
      <c r="E274" s="382" t="s">
        <v>1982</v>
      </c>
      <c r="F274" s="382" t="s">
        <v>2342</v>
      </c>
      <c r="G274" s="382" t="s">
        <v>405</v>
      </c>
      <c r="H274" s="383">
        <v>-45113.58</v>
      </c>
      <c r="I274" s="1046">
        <v>64621.83</v>
      </c>
      <c r="J274" s="1047"/>
      <c r="K274" s="383">
        <v>59533.82</v>
      </c>
      <c r="L274" s="383">
        <v>-50201.59</v>
      </c>
    </row>
    <row r="275" spans="2:12">
      <c r="B275" s="1050"/>
      <c r="C275" s="1050"/>
      <c r="D275" s="382" t="s">
        <v>2427</v>
      </c>
      <c r="E275" s="382" t="s">
        <v>1982</v>
      </c>
      <c r="F275" s="382" t="s">
        <v>2342</v>
      </c>
      <c r="G275" s="382" t="s">
        <v>2354</v>
      </c>
      <c r="H275" s="383">
        <v>0</v>
      </c>
      <c r="I275" s="1046">
        <v>17228.84</v>
      </c>
      <c r="J275" s="1047"/>
      <c r="K275" s="383">
        <v>3124.29</v>
      </c>
      <c r="L275" s="383">
        <v>-14104.55</v>
      </c>
    </row>
    <row r="276" spans="2:12">
      <c r="B276" s="1050"/>
      <c r="C276" s="1050"/>
      <c r="D276" s="382" t="s">
        <v>2428</v>
      </c>
      <c r="E276" s="382" t="s">
        <v>1983</v>
      </c>
      <c r="F276" s="382" t="s">
        <v>2342</v>
      </c>
      <c r="G276" s="382" t="s">
        <v>2353</v>
      </c>
      <c r="H276" s="383">
        <v>-6290.67</v>
      </c>
      <c r="I276" s="1046">
        <v>10129.049999999999</v>
      </c>
      <c r="J276" s="1047"/>
      <c r="K276" s="383">
        <v>8615.43</v>
      </c>
      <c r="L276" s="383">
        <v>-7804.29</v>
      </c>
    </row>
    <row r="277" spans="2:12">
      <c r="B277" s="1050"/>
      <c r="C277" s="1050"/>
      <c r="D277" s="382" t="s">
        <v>2429</v>
      </c>
      <c r="E277" s="382" t="s">
        <v>1984</v>
      </c>
      <c r="F277" s="382" t="s">
        <v>2342</v>
      </c>
      <c r="G277" s="382" t="s">
        <v>2343</v>
      </c>
      <c r="H277" s="383">
        <v>-22912.36</v>
      </c>
      <c r="I277" s="1046">
        <v>40609.39</v>
      </c>
      <c r="J277" s="1047"/>
      <c r="K277" s="383">
        <v>33958.04</v>
      </c>
      <c r="L277" s="383">
        <v>-29563.71</v>
      </c>
    </row>
    <row r="278" spans="2:12">
      <c r="B278" s="1050"/>
      <c r="C278" s="1050"/>
      <c r="D278" s="382" t="s">
        <v>2429</v>
      </c>
      <c r="E278" s="382" t="s">
        <v>1984</v>
      </c>
      <c r="F278" s="382" t="s">
        <v>2342</v>
      </c>
      <c r="G278" s="382" t="s">
        <v>2344</v>
      </c>
      <c r="H278" s="383">
        <v>-36783.120000000003</v>
      </c>
      <c r="I278" s="1046">
        <v>57226.37</v>
      </c>
      <c r="J278" s="1047"/>
      <c r="K278" s="383">
        <v>54188.33</v>
      </c>
      <c r="L278" s="383">
        <v>-39821.160000000003</v>
      </c>
    </row>
    <row r="279" spans="2:12">
      <c r="B279" s="1050"/>
      <c r="C279" s="1050"/>
      <c r="D279" s="382" t="s">
        <v>2429</v>
      </c>
      <c r="E279" s="382" t="s">
        <v>1984</v>
      </c>
      <c r="F279" s="382" t="s">
        <v>2342</v>
      </c>
      <c r="G279" s="382" t="s">
        <v>2345</v>
      </c>
      <c r="H279" s="383">
        <v>-38340.92</v>
      </c>
      <c r="I279" s="1046">
        <v>58332.14</v>
      </c>
      <c r="J279" s="1047"/>
      <c r="K279" s="383">
        <v>53316.27</v>
      </c>
      <c r="L279" s="383">
        <v>-43356.79</v>
      </c>
    </row>
    <row r="280" spans="2:12">
      <c r="B280" s="1050"/>
      <c r="C280" s="1050"/>
      <c r="D280" s="382" t="s">
        <v>2429</v>
      </c>
      <c r="E280" s="382" t="s">
        <v>1984</v>
      </c>
      <c r="F280" s="382" t="s">
        <v>2342</v>
      </c>
      <c r="G280" s="382" t="s">
        <v>2346</v>
      </c>
      <c r="H280" s="383">
        <v>-17081.78</v>
      </c>
      <c r="I280" s="1046">
        <v>24312.61</v>
      </c>
      <c r="J280" s="1047"/>
      <c r="K280" s="383">
        <v>25605.23</v>
      </c>
      <c r="L280" s="383">
        <v>-15789.16</v>
      </c>
    </row>
    <row r="281" spans="2:12">
      <c r="B281" s="1050"/>
      <c r="C281" s="1050"/>
      <c r="D281" s="382" t="s">
        <v>2429</v>
      </c>
      <c r="E281" s="382" t="s">
        <v>1984</v>
      </c>
      <c r="F281" s="382" t="s">
        <v>2342</v>
      </c>
      <c r="G281" s="382" t="s">
        <v>2347</v>
      </c>
      <c r="H281" s="383">
        <v>-72709.75</v>
      </c>
      <c r="I281" s="1046">
        <v>116714.29</v>
      </c>
      <c r="J281" s="1047"/>
      <c r="K281" s="383">
        <v>109283.55</v>
      </c>
      <c r="L281" s="383">
        <v>-80140.490000000005</v>
      </c>
    </row>
    <row r="282" spans="2:12">
      <c r="B282" s="1050"/>
      <c r="C282" s="1050"/>
      <c r="D282" s="382" t="s">
        <v>2429</v>
      </c>
      <c r="E282" s="382" t="s">
        <v>1984</v>
      </c>
      <c r="F282" s="382" t="s">
        <v>2342</v>
      </c>
      <c r="G282" s="382" t="s">
        <v>2348</v>
      </c>
      <c r="H282" s="383">
        <v>-47727.34</v>
      </c>
      <c r="I282" s="1046">
        <v>67918.7</v>
      </c>
      <c r="J282" s="1047"/>
      <c r="K282" s="383">
        <v>72142.97</v>
      </c>
      <c r="L282" s="383">
        <v>-43503.07</v>
      </c>
    </row>
    <row r="283" spans="2:12">
      <c r="B283" s="1050"/>
      <c r="C283" s="1050"/>
      <c r="D283" s="382" t="s">
        <v>2429</v>
      </c>
      <c r="E283" s="382" t="s">
        <v>1984</v>
      </c>
      <c r="F283" s="382" t="s">
        <v>2342</v>
      </c>
      <c r="G283" s="382" t="s">
        <v>2349</v>
      </c>
      <c r="H283" s="383">
        <v>-47929.71</v>
      </c>
      <c r="I283" s="1046">
        <v>73186.97</v>
      </c>
      <c r="J283" s="1047"/>
      <c r="K283" s="383">
        <v>74625.320000000007</v>
      </c>
      <c r="L283" s="383">
        <v>-46491.360000000001</v>
      </c>
    </row>
    <row r="284" spans="2:12">
      <c r="B284" s="1050"/>
      <c r="C284" s="1050"/>
      <c r="D284" s="382" t="s">
        <v>2429</v>
      </c>
      <c r="E284" s="382" t="s">
        <v>1984</v>
      </c>
      <c r="F284" s="382" t="s">
        <v>2342</v>
      </c>
      <c r="G284" s="382" t="s">
        <v>2350</v>
      </c>
      <c r="H284" s="383">
        <v>-89354.13</v>
      </c>
      <c r="I284" s="1046">
        <v>137414.85999999999</v>
      </c>
      <c r="J284" s="1047"/>
      <c r="K284" s="383">
        <v>132313.60999999999</v>
      </c>
      <c r="L284" s="383">
        <v>-94455.38</v>
      </c>
    </row>
    <row r="285" spans="2:12">
      <c r="B285" s="1050"/>
      <c r="C285" s="1050"/>
      <c r="D285" s="382" t="s">
        <v>2429</v>
      </c>
      <c r="E285" s="382" t="s">
        <v>1984</v>
      </c>
      <c r="F285" s="382" t="s">
        <v>2342</v>
      </c>
      <c r="G285" s="382" t="s">
        <v>2351</v>
      </c>
      <c r="H285" s="383">
        <v>-36789.11</v>
      </c>
      <c r="I285" s="1046">
        <v>56046.36</v>
      </c>
      <c r="J285" s="1047"/>
      <c r="K285" s="383">
        <v>60312.12</v>
      </c>
      <c r="L285" s="383">
        <v>-32523.35</v>
      </c>
    </row>
    <row r="286" spans="2:12">
      <c r="B286" s="1050"/>
      <c r="C286" s="1050"/>
      <c r="D286" s="382" t="s">
        <v>2429</v>
      </c>
      <c r="E286" s="382" t="s">
        <v>1984</v>
      </c>
      <c r="F286" s="382" t="s">
        <v>2342</v>
      </c>
      <c r="G286" s="382" t="s">
        <v>2352</v>
      </c>
      <c r="H286" s="383">
        <v>-30125.13</v>
      </c>
      <c r="I286" s="1046">
        <v>42469.38</v>
      </c>
      <c r="J286" s="1047"/>
      <c r="K286" s="383">
        <v>41499.370000000003</v>
      </c>
      <c r="L286" s="383">
        <v>-31095.14</v>
      </c>
    </row>
    <row r="287" spans="2:12">
      <c r="B287" s="1050"/>
      <c r="C287" s="1050"/>
      <c r="D287" s="382" t="s">
        <v>2429</v>
      </c>
      <c r="E287" s="382" t="s">
        <v>1984</v>
      </c>
      <c r="F287" s="382" t="s">
        <v>2342</v>
      </c>
      <c r="G287" s="382" t="s">
        <v>2353</v>
      </c>
      <c r="H287" s="383">
        <v>-51130.2</v>
      </c>
      <c r="I287" s="1046">
        <v>82097.73</v>
      </c>
      <c r="J287" s="1047"/>
      <c r="K287" s="383">
        <v>73258.81</v>
      </c>
      <c r="L287" s="383">
        <v>-59969.120000000003</v>
      </c>
    </row>
    <row r="288" spans="2:12">
      <c r="B288" s="1050"/>
      <c r="C288" s="1050"/>
      <c r="D288" s="382" t="s">
        <v>2429</v>
      </c>
      <c r="E288" s="382" t="s">
        <v>1984</v>
      </c>
      <c r="F288" s="382" t="s">
        <v>2342</v>
      </c>
      <c r="G288" s="382" t="s">
        <v>405</v>
      </c>
      <c r="H288" s="383">
        <v>-25778.91</v>
      </c>
      <c r="I288" s="1046">
        <v>35463.17</v>
      </c>
      <c r="J288" s="1047"/>
      <c r="K288" s="383">
        <v>35693.980000000003</v>
      </c>
      <c r="L288" s="383">
        <v>-25548.1</v>
      </c>
    </row>
    <row r="289" spans="2:12">
      <c r="B289" s="1050"/>
      <c r="C289" s="1050"/>
      <c r="D289" s="382" t="s">
        <v>2429</v>
      </c>
      <c r="E289" s="382" t="s">
        <v>1984</v>
      </c>
      <c r="F289" s="382" t="s">
        <v>2342</v>
      </c>
      <c r="G289" s="382" t="s">
        <v>2354</v>
      </c>
      <c r="H289" s="383">
        <v>0</v>
      </c>
      <c r="I289" s="1046">
        <v>15665.61</v>
      </c>
      <c r="J289" s="1047"/>
      <c r="K289" s="383">
        <v>3064.46</v>
      </c>
      <c r="L289" s="383">
        <v>-12601.15</v>
      </c>
    </row>
    <row r="290" spans="2:12">
      <c r="B290" s="1050"/>
      <c r="C290" s="1050"/>
      <c r="D290" s="382" t="s">
        <v>2430</v>
      </c>
      <c r="E290" s="382" t="s">
        <v>1985</v>
      </c>
      <c r="F290" s="382" t="s">
        <v>2342</v>
      </c>
      <c r="G290" s="382" t="s">
        <v>2343</v>
      </c>
      <c r="H290" s="383">
        <v>-26572.02</v>
      </c>
      <c r="I290" s="1046">
        <v>42203.64</v>
      </c>
      <c r="J290" s="1047"/>
      <c r="K290" s="383">
        <v>41382.370000000003</v>
      </c>
      <c r="L290" s="383">
        <v>-27393.29</v>
      </c>
    </row>
    <row r="291" spans="2:12">
      <c r="B291" s="1050"/>
      <c r="C291" s="1050"/>
      <c r="D291" s="382" t="s">
        <v>2430</v>
      </c>
      <c r="E291" s="382" t="s">
        <v>1985</v>
      </c>
      <c r="F291" s="382" t="s">
        <v>2342</v>
      </c>
      <c r="G291" s="382" t="s">
        <v>2344</v>
      </c>
      <c r="H291" s="383">
        <v>-43350.85</v>
      </c>
      <c r="I291" s="1046">
        <v>67039.460000000006</v>
      </c>
      <c r="J291" s="1047"/>
      <c r="K291" s="383">
        <v>67104.37</v>
      </c>
      <c r="L291" s="383">
        <v>-43285.94</v>
      </c>
    </row>
    <row r="292" spans="2:12">
      <c r="B292" s="1050"/>
      <c r="C292" s="1050"/>
      <c r="D292" s="382" t="s">
        <v>2430</v>
      </c>
      <c r="E292" s="382" t="s">
        <v>1985</v>
      </c>
      <c r="F292" s="382" t="s">
        <v>2342</v>
      </c>
      <c r="G292" s="382" t="s">
        <v>2345</v>
      </c>
      <c r="H292" s="383">
        <v>-18768.400000000001</v>
      </c>
      <c r="I292" s="1046">
        <v>27983.14</v>
      </c>
      <c r="J292" s="1047"/>
      <c r="K292" s="383">
        <v>27861.200000000001</v>
      </c>
      <c r="L292" s="383">
        <v>-18890.34</v>
      </c>
    </row>
    <row r="293" spans="2:12">
      <c r="B293" s="1050"/>
      <c r="C293" s="1050"/>
      <c r="D293" s="382" t="s">
        <v>2430</v>
      </c>
      <c r="E293" s="382" t="s">
        <v>1985</v>
      </c>
      <c r="F293" s="382" t="s">
        <v>2342</v>
      </c>
      <c r="G293" s="382" t="s">
        <v>2346</v>
      </c>
      <c r="H293" s="383">
        <v>-30700.38</v>
      </c>
      <c r="I293" s="1046">
        <v>48860.04</v>
      </c>
      <c r="J293" s="1047"/>
      <c r="K293" s="383">
        <v>46379.95</v>
      </c>
      <c r="L293" s="383">
        <v>-33180.47</v>
      </c>
    </row>
    <row r="294" spans="2:12">
      <c r="B294" s="1050"/>
      <c r="C294" s="1050"/>
      <c r="D294" s="382" t="s">
        <v>2430</v>
      </c>
      <c r="E294" s="382" t="s">
        <v>1985</v>
      </c>
      <c r="F294" s="382" t="s">
        <v>2342</v>
      </c>
      <c r="G294" s="382" t="s">
        <v>2347</v>
      </c>
      <c r="H294" s="383">
        <v>-59155.14</v>
      </c>
      <c r="I294" s="1046">
        <v>99152.5</v>
      </c>
      <c r="J294" s="1047"/>
      <c r="K294" s="383">
        <v>91983.71</v>
      </c>
      <c r="L294" s="383">
        <v>-66323.929999999993</v>
      </c>
    </row>
    <row r="295" spans="2:12">
      <c r="B295" s="1050"/>
      <c r="C295" s="1050"/>
      <c r="D295" s="382" t="s">
        <v>2430</v>
      </c>
      <c r="E295" s="382" t="s">
        <v>1985</v>
      </c>
      <c r="F295" s="382" t="s">
        <v>2342</v>
      </c>
      <c r="G295" s="382" t="s">
        <v>2348</v>
      </c>
      <c r="H295" s="383">
        <v>-34070.9</v>
      </c>
      <c r="I295" s="1046">
        <v>53600.57</v>
      </c>
      <c r="J295" s="1047"/>
      <c r="K295" s="383">
        <v>55411.98</v>
      </c>
      <c r="L295" s="383">
        <v>-32259.49</v>
      </c>
    </row>
    <row r="296" spans="2:12">
      <c r="B296" s="1050"/>
      <c r="C296" s="1050"/>
      <c r="D296" s="382" t="s">
        <v>2430</v>
      </c>
      <c r="E296" s="382" t="s">
        <v>1985</v>
      </c>
      <c r="F296" s="382" t="s">
        <v>2342</v>
      </c>
      <c r="G296" s="382" t="s">
        <v>2349</v>
      </c>
      <c r="H296" s="383">
        <v>-80483.22</v>
      </c>
      <c r="I296" s="1046">
        <v>131650.70000000001</v>
      </c>
      <c r="J296" s="1047"/>
      <c r="K296" s="383">
        <v>126102.86</v>
      </c>
      <c r="L296" s="383">
        <v>-86031.06</v>
      </c>
    </row>
    <row r="297" spans="2:12">
      <c r="B297" s="1050"/>
      <c r="C297" s="1050"/>
      <c r="D297" s="382" t="s">
        <v>2430</v>
      </c>
      <c r="E297" s="382" t="s">
        <v>1985</v>
      </c>
      <c r="F297" s="382" t="s">
        <v>2342</v>
      </c>
      <c r="G297" s="382" t="s">
        <v>2350</v>
      </c>
      <c r="H297" s="383">
        <v>-35514.22</v>
      </c>
      <c r="I297" s="1046">
        <v>56616.58</v>
      </c>
      <c r="J297" s="1047"/>
      <c r="K297" s="383">
        <v>52431.16</v>
      </c>
      <c r="L297" s="383">
        <v>-39699.64</v>
      </c>
    </row>
    <row r="298" spans="2:12">
      <c r="B298" s="1050"/>
      <c r="C298" s="1050"/>
      <c r="D298" s="382" t="s">
        <v>2430</v>
      </c>
      <c r="E298" s="382" t="s">
        <v>1985</v>
      </c>
      <c r="F298" s="382" t="s">
        <v>2342</v>
      </c>
      <c r="G298" s="382" t="s">
        <v>2351</v>
      </c>
      <c r="H298" s="383">
        <v>-36032.370000000003</v>
      </c>
      <c r="I298" s="1046">
        <v>58165.23</v>
      </c>
      <c r="J298" s="1047"/>
      <c r="K298" s="383">
        <v>57925.45</v>
      </c>
      <c r="L298" s="383">
        <v>-36272.15</v>
      </c>
    </row>
    <row r="299" spans="2:12">
      <c r="B299" s="1050"/>
      <c r="C299" s="1050"/>
      <c r="D299" s="382" t="s">
        <v>2430</v>
      </c>
      <c r="E299" s="382" t="s">
        <v>1985</v>
      </c>
      <c r="F299" s="382" t="s">
        <v>2342</v>
      </c>
      <c r="G299" s="382" t="s">
        <v>2352</v>
      </c>
      <c r="H299" s="383">
        <v>-44923.13</v>
      </c>
      <c r="I299" s="1046">
        <v>65844.649999999994</v>
      </c>
      <c r="J299" s="1047"/>
      <c r="K299" s="383">
        <v>61830.37</v>
      </c>
      <c r="L299" s="383">
        <v>-48937.41</v>
      </c>
    </row>
    <row r="300" spans="2:12">
      <c r="B300" s="1050"/>
      <c r="C300" s="1050"/>
      <c r="D300" s="382" t="s">
        <v>2430</v>
      </c>
      <c r="E300" s="382" t="s">
        <v>1985</v>
      </c>
      <c r="F300" s="382" t="s">
        <v>2342</v>
      </c>
      <c r="G300" s="382" t="s">
        <v>2353</v>
      </c>
      <c r="H300" s="383">
        <v>-37052.83</v>
      </c>
      <c r="I300" s="1046">
        <v>60268</v>
      </c>
      <c r="J300" s="1047"/>
      <c r="K300" s="383">
        <v>58936.72</v>
      </c>
      <c r="L300" s="383">
        <v>-38384.11</v>
      </c>
    </row>
    <row r="301" spans="2:12">
      <c r="B301" s="1050"/>
      <c r="C301" s="1050"/>
      <c r="D301" s="382" t="s">
        <v>2430</v>
      </c>
      <c r="E301" s="382" t="s">
        <v>1985</v>
      </c>
      <c r="F301" s="382" t="s">
        <v>2342</v>
      </c>
      <c r="G301" s="382" t="s">
        <v>405</v>
      </c>
      <c r="H301" s="383">
        <v>-20169.27</v>
      </c>
      <c r="I301" s="1046">
        <v>32096.89</v>
      </c>
      <c r="J301" s="1047"/>
      <c r="K301" s="383">
        <v>29437.73</v>
      </c>
      <c r="L301" s="383">
        <v>-22828.43</v>
      </c>
    </row>
    <row r="302" spans="2:12">
      <c r="B302" s="1050"/>
      <c r="C302" s="1050"/>
      <c r="D302" s="382" t="s">
        <v>2430</v>
      </c>
      <c r="E302" s="382" t="s">
        <v>1985</v>
      </c>
      <c r="F302" s="382" t="s">
        <v>2342</v>
      </c>
      <c r="G302" s="382" t="s">
        <v>2354</v>
      </c>
      <c r="H302" s="383">
        <v>0</v>
      </c>
      <c r="I302" s="1046">
        <v>3702.92</v>
      </c>
      <c r="J302" s="1047"/>
      <c r="K302" s="383">
        <v>790.69</v>
      </c>
      <c r="L302" s="383">
        <v>-2912.23</v>
      </c>
    </row>
    <row r="303" spans="2:12">
      <c r="B303" s="1050"/>
      <c r="C303" s="1050"/>
      <c r="D303" s="382" t="s">
        <v>2431</v>
      </c>
      <c r="E303" s="382" t="s">
        <v>1986</v>
      </c>
      <c r="F303" s="382" t="s">
        <v>2342</v>
      </c>
      <c r="G303" s="382" t="s">
        <v>2343</v>
      </c>
      <c r="H303" s="383">
        <v>-45757.01</v>
      </c>
      <c r="I303" s="1046">
        <v>71760.899999999994</v>
      </c>
      <c r="J303" s="1047"/>
      <c r="K303" s="383">
        <v>70942.080000000002</v>
      </c>
      <c r="L303" s="383">
        <v>-46575.83</v>
      </c>
    </row>
    <row r="304" spans="2:12">
      <c r="B304" s="1050"/>
      <c r="C304" s="1050"/>
      <c r="D304" s="382" t="s">
        <v>2431</v>
      </c>
      <c r="E304" s="382" t="s">
        <v>1986</v>
      </c>
      <c r="F304" s="382" t="s">
        <v>2342</v>
      </c>
      <c r="G304" s="382" t="s">
        <v>2344</v>
      </c>
      <c r="H304" s="383">
        <v>-53924.68</v>
      </c>
      <c r="I304" s="1046">
        <v>90636.78</v>
      </c>
      <c r="J304" s="1047"/>
      <c r="K304" s="383">
        <v>85200.08</v>
      </c>
      <c r="L304" s="383">
        <v>-59361.38</v>
      </c>
    </row>
    <row r="305" spans="2:12">
      <c r="B305" s="1050"/>
      <c r="C305" s="1050"/>
      <c r="D305" s="382" t="s">
        <v>2431</v>
      </c>
      <c r="E305" s="382" t="s">
        <v>1986</v>
      </c>
      <c r="F305" s="382" t="s">
        <v>2342</v>
      </c>
      <c r="G305" s="382" t="s">
        <v>2345</v>
      </c>
      <c r="H305" s="383">
        <v>-49800.63</v>
      </c>
      <c r="I305" s="1046">
        <v>76191.360000000001</v>
      </c>
      <c r="J305" s="1047"/>
      <c r="K305" s="383">
        <v>70102.48</v>
      </c>
      <c r="L305" s="383">
        <v>-55889.51</v>
      </c>
    </row>
    <row r="306" spans="2:12">
      <c r="B306" s="1050"/>
      <c r="C306" s="1050"/>
      <c r="D306" s="382" t="s">
        <v>2431</v>
      </c>
      <c r="E306" s="382" t="s">
        <v>1986</v>
      </c>
      <c r="F306" s="382" t="s">
        <v>2342</v>
      </c>
      <c r="G306" s="382" t="s">
        <v>2346</v>
      </c>
      <c r="H306" s="383">
        <v>-41019.69</v>
      </c>
      <c r="I306" s="1046">
        <v>55318.84</v>
      </c>
      <c r="J306" s="1047"/>
      <c r="K306" s="383">
        <v>55444.37</v>
      </c>
      <c r="L306" s="383">
        <v>-40894.160000000003</v>
      </c>
    </row>
    <row r="307" spans="2:12">
      <c r="B307" s="1050"/>
      <c r="C307" s="1050"/>
      <c r="D307" s="382" t="s">
        <v>2431</v>
      </c>
      <c r="E307" s="382" t="s">
        <v>1986</v>
      </c>
      <c r="F307" s="382" t="s">
        <v>2342</v>
      </c>
      <c r="G307" s="382" t="s">
        <v>2347</v>
      </c>
      <c r="H307" s="383">
        <v>-64190.59</v>
      </c>
      <c r="I307" s="1046">
        <v>103091.15</v>
      </c>
      <c r="J307" s="1047"/>
      <c r="K307" s="383">
        <v>103816.39</v>
      </c>
      <c r="L307" s="383">
        <v>-63465.35</v>
      </c>
    </row>
    <row r="308" spans="2:12">
      <c r="B308" s="1050"/>
      <c r="C308" s="1050"/>
      <c r="D308" s="382" t="s">
        <v>2431</v>
      </c>
      <c r="E308" s="382" t="s">
        <v>1986</v>
      </c>
      <c r="F308" s="382" t="s">
        <v>2342</v>
      </c>
      <c r="G308" s="382" t="s">
        <v>2348</v>
      </c>
      <c r="H308" s="383">
        <v>-39454.61</v>
      </c>
      <c r="I308" s="1046">
        <v>62310.81</v>
      </c>
      <c r="J308" s="1047"/>
      <c r="K308" s="383">
        <v>58332.9</v>
      </c>
      <c r="L308" s="383">
        <v>-43432.52</v>
      </c>
    </row>
    <row r="309" spans="2:12">
      <c r="B309" s="1050"/>
      <c r="C309" s="1050"/>
      <c r="D309" s="382" t="s">
        <v>2431</v>
      </c>
      <c r="E309" s="382" t="s">
        <v>1986</v>
      </c>
      <c r="F309" s="382" t="s">
        <v>2342</v>
      </c>
      <c r="G309" s="382" t="s">
        <v>2349</v>
      </c>
      <c r="H309" s="383">
        <v>-110191.93</v>
      </c>
      <c r="I309" s="1046">
        <v>175202.33</v>
      </c>
      <c r="J309" s="1047"/>
      <c r="K309" s="383">
        <v>166330.45000000001</v>
      </c>
      <c r="L309" s="383">
        <v>-119063.81</v>
      </c>
    </row>
    <row r="310" spans="2:12">
      <c r="B310" s="1050"/>
      <c r="C310" s="1050"/>
      <c r="D310" s="382" t="s">
        <v>2431</v>
      </c>
      <c r="E310" s="382" t="s">
        <v>1986</v>
      </c>
      <c r="F310" s="382" t="s">
        <v>2342</v>
      </c>
      <c r="G310" s="382" t="s">
        <v>2350</v>
      </c>
      <c r="H310" s="383">
        <v>-96533.58</v>
      </c>
      <c r="I310" s="1046">
        <v>164866.56</v>
      </c>
      <c r="J310" s="1047"/>
      <c r="K310" s="383">
        <v>143976.15</v>
      </c>
      <c r="L310" s="383">
        <v>-117423.99</v>
      </c>
    </row>
    <row r="311" spans="2:12">
      <c r="B311" s="1050"/>
      <c r="C311" s="1050"/>
      <c r="D311" s="382" t="s">
        <v>2431</v>
      </c>
      <c r="E311" s="382" t="s">
        <v>1986</v>
      </c>
      <c r="F311" s="382" t="s">
        <v>2342</v>
      </c>
      <c r="G311" s="382" t="s">
        <v>2351</v>
      </c>
      <c r="H311" s="383">
        <v>-42542.17</v>
      </c>
      <c r="I311" s="1046">
        <v>64759.44</v>
      </c>
      <c r="J311" s="1047"/>
      <c r="K311" s="383">
        <v>63210.76</v>
      </c>
      <c r="L311" s="383">
        <v>-44090.85</v>
      </c>
    </row>
    <row r="312" spans="2:12">
      <c r="B312" s="1050"/>
      <c r="C312" s="1050"/>
      <c r="D312" s="382" t="s">
        <v>2431</v>
      </c>
      <c r="E312" s="382" t="s">
        <v>1986</v>
      </c>
      <c r="F312" s="382" t="s">
        <v>2342</v>
      </c>
      <c r="G312" s="382" t="s">
        <v>2352</v>
      </c>
      <c r="H312" s="383">
        <v>-55915.01</v>
      </c>
      <c r="I312" s="1046">
        <v>81802.66</v>
      </c>
      <c r="J312" s="1047"/>
      <c r="K312" s="383">
        <v>75354.97</v>
      </c>
      <c r="L312" s="383">
        <v>-62362.7</v>
      </c>
    </row>
    <row r="313" spans="2:12">
      <c r="B313" s="1050"/>
      <c r="C313" s="1050"/>
      <c r="D313" s="382" t="s">
        <v>2431</v>
      </c>
      <c r="E313" s="382" t="s">
        <v>1986</v>
      </c>
      <c r="F313" s="382" t="s">
        <v>2342</v>
      </c>
      <c r="G313" s="382" t="s">
        <v>2353</v>
      </c>
      <c r="H313" s="383">
        <v>-35857.24</v>
      </c>
      <c r="I313" s="1046">
        <v>57787.87</v>
      </c>
      <c r="J313" s="1047"/>
      <c r="K313" s="383">
        <v>49805.5</v>
      </c>
      <c r="L313" s="383">
        <v>-43839.61</v>
      </c>
    </row>
    <row r="314" spans="2:12">
      <c r="B314" s="1050"/>
      <c r="C314" s="1050"/>
      <c r="D314" s="382" t="s">
        <v>2431</v>
      </c>
      <c r="E314" s="382" t="s">
        <v>1986</v>
      </c>
      <c r="F314" s="382" t="s">
        <v>2342</v>
      </c>
      <c r="G314" s="382" t="s">
        <v>405</v>
      </c>
      <c r="H314" s="383">
        <v>-24582.3</v>
      </c>
      <c r="I314" s="1046">
        <v>34877.599999999999</v>
      </c>
      <c r="J314" s="1047"/>
      <c r="K314" s="383">
        <v>33047.39</v>
      </c>
      <c r="L314" s="383">
        <v>-26412.51</v>
      </c>
    </row>
    <row r="315" spans="2:12">
      <c r="B315" s="1050"/>
      <c r="C315" s="1050"/>
      <c r="D315" s="382" t="s">
        <v>2431</v>
      </c>
      <c r="E315" s="382" t="s">
        <v>1986</v>
      </c>
      <c r="F315" s="382" t="s">
        <v>2342</v>
      </c>
      <c r="G315" s="382" t="s">
        <v>2354</v>
      </c>
      <c r="H315" s="383">
        <v>0</v>
      </c>
      <c r="I315" s="1046">
        <v>2082.7600000000002</v>
      </c>
      <c r="J315" s="1047"/>
      <c r="K315" s="383">
        <v>0</v>
      </c>
      <c r="L315" s="383">
        <v>-2082.7600000000002</v>
      </c>
    </row>
    <row r="316" spans="2:12">
      <c r="B316" s="1050"/>
      <c r="C316" s="1050"/>
      <c r="D316" s="382" t="s">
        <v>2432</v>
      </c>
      <c r="E316" s="382" t="s">
        <v>1987</v>
      </c>
      <c r="F316" s="382" t="s">
        <v>2342</v>
      </c>
      <c r="G316" s="382" t="s">
        <v>2355</v>
      </c>
      <c r="H316" s="383">
        <v>-23046.2</v>
      </c>
      <c r="I316" s="1046">
        <v>34069.279999999999</v>
      </c>
      <c r="J316" s="1047"/>
      <c r="K316" s="383">
        <v>40362.379999999997</v>
      </c>
      <c r="L316" s="383">
        <v>-16753.099999999999</v>
      </c>
    </row>
    <row r="317" spans="2:12">
      <c r="B317" s="1050"/>
      <c r="C317" s="1050"/>
      <c r="D317" s="382" t="s">
        <v>2433</v>
      </c>
      <c r="E317" s="382" t="s">
        <v>1988</v>
      </c>
      <c r="F317" s="382" t="s">
        <v>2342</v>
      </c>
      <c r="G317" s="382" t="s">
        <v>2343</v>
      </c>
      <c r="H317" s="383">
        <v>-39286.21</v>
      </c>
      <c r="I317" s="1046">
        <v>49289.27</v>
      </c>
      <c r="J317" s="1047"/>
      <c r="K317" s="383">
        <v>48948.959999999999</v>
      </c>
      <c r="L317" s="383">
        <v>-39626.519999999997</v>
      </c>
    </row>
    <row r="318" spans="2:12">
      <c r="B318" s="1050"/>
      <c r="C318" s="1050"/>
      <c r="D318" s="382" t="s">
        <v>2433</v>
      </c>
      <c r="E318" s="382" t="s">
        <v>1988</v>
      </c>
      <c r="F318" s="382" t="s">
        <v>2342</v>
      </c>
      <c r="G318" s="382" t="s">
        <v>2344</v>
      </c>
      <c r="H318" s="383">
        <v>-3357.07</v>
      </c>
      <c r="I318" s="1046">
        <v>4961.0200000000004</v>
      </c>
      <c r="J318" s="1047"/>
      <c r="K318" s="383">
        <v>5219.47</v>
      </c>
      <c r="L318" s="383">
        <v>-3098.62</v>
      </c>
    </row>
    <row r="319" spans="2:12">
      <c r="B319" s="1050"/>
      <c r="C319" s="1050"/>
      <c r="D319" s="382" t="s">
        <v>2433</v>
      </c>
      <c r="E319" s="382" t="s">
        <v>1988</v>
      </c>
      <c r="F319" s="382" t="s">
        <v>2342</v>
      </c>
      <c r="G319" s="382" t="s">
        <v>2345</v>
      </c>
      <c r="H319" s="383">
        <v>-29785.65</v>
      </c>
      <c r="I319" s="1046">
        <v>39927.71</v>
      </c>
      <c r="J319" s="1047"/>
      <c r="K319" s="383">
        <v>41284.53</v>
      </c>
      <c r="L319" s="383">
        <v>-28428.83</v>
      </c>
    </row>
    <row r="320" spans="2:12">
      <c r="B320" s="1050"/>
      <c r="C320" s="1050"/>
      <c r="D320" s="382" t="s">
        <v>2433</v>
      </c>
      <c r="E320" s="382" t="s">
        <v>1988</v>
      </c>
      <c r="F320" s="382" t="s">
        <v>2342</v>
      </c>
      <c r="G320" s="382" t="s">
        <v>2346</v>
      </c>
      <c r="H320" s="383">
        <v>-8339.4500000000007</v>
      </c>
      <c r="I320" s="1046">
        <v>13934.95</v>
      </c>
      <c r="J320" s="1047"/>
      <c r="K320" s="383">
        <v>10547.01</v>
      </c>
      <c r="L320" s="383">
        <v>-11727.39</v>
      </c>
    </row>
    <row r="321" spans="2:12">
      <c r="B321" s="1050"/>
      <c r="C321" s="1050"/>
      <c r="D321" s="382" t="s">
        <v>2433</v>
      </c>
      <c r="E321" s="382" t="s">
        <v>1988</v>
      </c>
      <c r="F321" s="382" t="s">
        <v>2342</v>
      </c>
      <c r="G321" s="382" t="s">
        <v>2347</v>
      </c>
      <c r="H321" s="383">
        <v>-119165.77</v>
      </c>
      <c r="I321" s="1046">
        <v>203238.47</v>
      </c>
      <c r="J321" s="1047"/>
      <c r="K321" s="383">
        <v>190794.8</v>
      </c>
      <c r="L321" s="383">
        <v>-131609.44</v>
      </c>
    </row>
    <row r="322" spans="2:12">
      <c r="B322" s="1050"/>
      <c r="C322" s="1050"/>
      <c r="D322" s="382" t="s">
        <v>2433</v>
      </c>
      <c r="E322" s="382" t="s">
        <v>1988</v>
      </c>
      <c r="F322" s="382" t="s">
        <v>2342</v>
      </c>
      <c r="G322" s="382" t="s">
        <v>2348</v>
      </c>
      <c r="H322" s="383">
        <v>-55447.29</v>
      </c>
      <c r="I322" s="1046">
        <v>79473.490000000005</v>
      </c>
      <c r="J322" s="1047"/>
      <c r="K322" s="383">
        <v>79376.75</v>
      </c>
      <c r="L322" s="383">
        <v>-55544.03</v>
      </c>
    </row>
    <row r="323" spans="2:12">
      <c r="B323" s="1050"/>
      <c r="C323" s="1050"/>
      <c r="D323" s="382" t="s">
        <v>2433</v>
      </c>
      <c r="E323" s="382" t="s">
        <v>1988</v>
      </c>
      <c r="F323" s="382" t="s">
        <v>2342</v>
      </c>
      <c r="G323" s="382" t="s">
        <v>2349</v>
      </c>
      <c r="H323" s="383">
        <v>-17716.27</v>
      </c>
      <c r="I323" s="1046">
        <v>27992.21</v>
      </c>
      <c r="J323" s="1047"/>
      <c r="K323" s="383">
        <v>22159.87</v>
      </c>
      <c r="L323" s="383">
        <v>-23548.61</v>
      </c>
    </row>
    <row r="324" spans="2:12">
      <c r="B324" s="1050"/>
      <c r="C324" s="1050"/>
      <c r="D324" s="382" t="s">
        <v>2433</v>
      </c>
      <c r="E324" s="382" t="s">
        <v>1988</v>
      </c>
      <c r="F324" s="382" t="s">
        <v>2342</v>
      </c>
      <c r="G324" s="382" t="s">
        <v>2350</v>
      </c>
      <c r="H324" s="383">
        <v>-57846.28</v>
      </c>
      <c r="I324" s="1046">
        <v>113080.06</v>
      </c>
      <c r="J324" s="1047"/>
      <c r="K324" s="383">
        <v>92744.51</v>
      </c>
      <c r="L324" s="383">
        <v>-78181.83</v>
      </c>
    </row>
    <row r="325" spans="2:12">
      <c r="B325" s="1050"/>
      <c r="C325" s="1050"/>
      <c r="D325" s="382" t="s">
        <v>2433</v>
      </c>
      <c r="E325" s="382" t="s">
        <v>1988</v>
      </c>
      <c r="F325" s="382" t="s">
        <v>2342</v>
      </c>
      <c r="G325" s="382" t="s">
        <v>2351</v>
      </c>
      <c r="H325" s="383">
        <v>-7656.89</v>
      </c>
      <c r="I325" s="1046">
        <v>21687.42</v>
      </c>
      <c r="J325" s="1047"/>
      <c r="K325" s="383">
        <v>16635.5</v>
      </c>
      <c r="L325" s="383">
        <v>-12708.81</v>
      </c>
    </row>
    <row r="326" spans="2:12">
      <c r="B326" s="1050"/>
      <c r="C326" s="1050"/>
      <c r="D326" s="382" t="s">
        <v>2433</v>
      </c>
      <c r="E326" s="382" t="s">
        <v>1988</v>
      </c>
      <c r="F326" s="382" t="s">
        <v>2342</v>
      </c>
      <c r="G326" s="382" t="s">
        <v>2352</v>
      </c>
      <c r="H326" s="383">
        <v>-18760.22</v>
      </c>
      <c r="I326" s="1046">
        <v>21630.03</v>
      </c>
      <c r="J326" s="1047"/>
      <c r="K326" s="383">
        <v>21792.05</v>
      </c>
      <c r="L326" s="383">
        <v>-18598.2</v>
      </c>
    </row>
    <row r="327" spans="2:12">
      <c r="B327" s="1050"/>
      <c r="C327" s="1050"/>
      <c r="D327" s="382" t="s">
        <v>2433</v>
      </c>
      <c r="E327" s="382" t="s">
        <v>1988</v>
      </c>
      <c r="F327" s="382" t="s">
        <v>2342</v>
      </c>
      <c r="G327" s="382" t="s">
        <v>2353</v>
      </c>
      <c r="H327" s="383">
        <v>-32067.18</v>
      </c>
      <c r="I327" s="1046">
        <v>51298.26</v>
      </c>
      <c r="J327" s="1047"/>
      <c r="K327" s="383">
        <v>48015.05</v>
      </c>
      <c r="L327" s="383">
        <v>-35350.39</v>
      </c>
    </row>
    <row r="328" spans="2:12">
      <c r="B328" s="1050"/>
      <c r="C328" s="1050"/>
      <c r="D328" s="382" t="s">
        <v>2433</v>
      </c>
      <c r="E328" s="382" t="s">
        <v>1988</v>
      </c>
      <c r="F328" s="382" t="s">
        <v>2342</v>
      </c>
      <c r="G328" s="382" t="s">
        <v>405</v>
      </c>
      <c r="H328" s="383">
        <v>-5518.37</v>
      </c>
      <c r="I328" s="1046">
        <v>8049.45</v>
      </c>
      <c r="J328" s="1047"/>
      <c r="K328" s="383">
        <v>7992.88</v>
      </c>
      <c r="L328" s="383">
        <v>-5574.94</v>
      </c>
    </row>
    <row r="329" spans="2:12">
      <c r="B329" s="1050"/>
      <c r="C329" s="1051"/>
      <c r="D329" s="359" t="s">
        <v>12</v>
      </c>
      <c r="E329" s="359" t="s">
        <v>111</v>
      </c>
      <c r="F329" s="359" t="s">
        <v>111</v>
      </c>
      <c r="G329" s="359" t="s">
        <v>111</v>
      </c>
      <c r="H329" s="384">
        <v>-2603857.25</v>
      </c>
      <c r="I329" s="1048">
        <v>4083540.58</v>
      </c>
      <c r="J329" s="1047"/>
      <c r="K329" s="384">
        <v>3872855.77</v>
      </c>
      <c r="L329" s="384">
        <v>-2814542.06</v>
      </c>
    </row>
    <row r="330" spans="2:12">
      <c r="B330" s="1050"/>
      <c r="C330" s="1049" t="s">
        <v>2434</v>
      </c>
      <c r="D330" s="382" t="s">
        <v>2435</v>
      </c>
      <c r="E330" s="382" t="s">
        <v>1989</v>
      </c>
      <c r="F330" s="382" t="s">
        <v>2342</v>
      </c>
      <c r="G330" s="382" t="s">
        <v>2343</v>
      </c>
      <c r="H330" s="383">
        <v>-9013.23</v>
      </c>
      <c r="I330" s="1046">
        <v>97872.45</v>
      </c>
      <c r="J330" s="1047"/>
      <c r="K330" s="383">
        <v>99739.38</v>
      </c>
      <c r="L330" s="383">
        <v>-7146.3</v>
      </c>
    </row>
    <row r="331" spans="2:12">
      <c r="B331" s="1050"/>
      <c r="C331" s="1050"/>
      <c r="D331" s="382" t="s">
        <v>2435</v>
      </c>
      <c r="E331" s="382" t="s">
        <v>1989</v>
      </c>
      <c r="F331" s="382" t="s">
        <v>2342</v>
      </c>
      <c r="G331" s="382" t="s">
        <v>2344</v>
      </c>
      <c r="H331" s="383">
        <v>-2671.18</v>
      </c>
      <c r="I331" s="1046">
        <v>60756</v>
      </c>
      <c r="J331" s="1047"/>
      <c r="K331" s="383">
        <v>61027.02</v>
      </c>
      <c r="L331" s="383">
        <v>-2400.16</v>
      </c>
    </row>
    <row r="332" spans="2:12">
      <c r="B332" s="1050"/>
      <c r="C332" s="1050"/>
      <c r="D332" s="382" t="s">
        <v>2435</v>
      </c>
      <c r="E332" s="382" t="s">
        <v>1989</v>
      </c>
      <c r="F332" s="382" t="s">
        <v>2342</v>
      </c>
      <c r="G332" s="382" t="s">
        <v>2345</v>
      </c>
      <c r="H332" s="383">
        <v>-3813.36</v>
      </c>
      <c r="I332" s="1046">
        <v>44445.48</v>
      </c>
      <c r="J332" s="1047"/>
      <c r="K332" s="383">
        <v>44836.73</v>
      </c>
      <c r="L332" s="383">
        <v>-3422.11</v>
      </c>
    </row>
    <row r="333" spans="2:12">
      <c r="B333" s="1050"/>
      <c r="C333" s="1050"/>
      <c r="D333" s="382" t="s">
        <v>2435</v>
      </c>
      <c r="E333" s="382" t="s">
        <v>1989</v>
      </c>
      <c r="F333" s="382" t="s">
        <v>2342</v>
      </c>
      <c r="G333" s="382" t="s">
        <v>2346</v>
      </c>
      <c r="H333" s="383">
        <v>-2153.11</v>
      </c>
      <c r="I333" s="1046">
        <v>31309.88</v>
      </c>
      <c r="J333" s="1047"/>
      <c r="K333" s="383">
        <v>30239.21</v>
      </c>
      <c r="L333" s="383">
        <v>-3223.78</v>
      </c>
    </row>
    <row r="334" spans="2:12">
      <c r="B334" s="1050"/>
      <c r="C334" s="1050"/>
      <c r="D334" s="382" t="s">
        <v>2435</v>
      </c>
      <c r="E334" s="382" t="s">
        <v>1989</v>
      </c>
      <c r="F334" s="382" t="s">
        <v>2342</v>
      </c>
      <c r="G334" s="382" t="s">
        <v>2347</v>
      </c>
      <c r="H334" s="383">
        <v>-9459.56</v>
      </c>
      <c r="I334" s="1046">
        <v>74294.8</v>
      </c>
      <c r="J334" s="1047"/>
      <c r="K334" s="383">
        <v>75572.3</v>
      </c>
      <c r="L334" s="383">
        <v>-8182.06</v>
      </c>
    </row>
    <row r="335" spans="2:12">
      <c r="B335" s="1050"/>
      <c r="C335" s="1050"/>
      <c r="D335" s="382" t="s">
        <v>2435</v>
      </c>
      <c r="E335" s="382" t="s">
        <v>1989</v>
      </c>
      <c r="F335" s="382" t="s">
        <v>2342</v>
      </c>
      <c r="G335" s="382" t="s">
        <v>2348</v>
      </c>
      <c r="H335" s="383">
        <v>-6653.41</v>
      </c>
      <c r="I335" s="1046">
        <v>107152.48</v>
      </c>
      <c r="J335" s="1047"/>
      <c r="K335" s="383">
        <v>105924.59</v>
      </c>
      <c r="L335" s="383">
        <v>-7881.3</v>
      </c>
    </row>
    <row r="336" spans="2:12">
      <c r="B336" s="1050"/>
      <c r="C336" s="1050"/>
      <c r="D336" s="382" t="s">
        <v>2435</v>
      </c>
      <c r="E336" s="382" t="s">
        <v>1989</v>
      </c>
      <c r="F336" s="382" t="s">
        <v>2342</v>
      </c>
      <c r="G336" s="382" t="s">
        <v>2349</v>
      </c>
      <c r="H336" s="383">
        <v>-13983.64</v>
      </c>
      <c r="I336" s="1046">
        <v>96978.52</v>
      </c>
      <c r="J336" s="1047"/>
      <c r="K336" s="383">
        <v>95740.34</v>
      </c>
      <c r="L336" s="383">
        <v>-15221.82</v>
      </c>
    </row>
    <row r="337" spans="2:12">
      <c r="B337" s="1050"/>
      <c r="C337" s="1050"/>
      <c r="D337" s="382" t="s">
        <v>2435</v>
      </c>
      <c r="E337" s="382" t="s">
        <v>1989</v>
      </c>
      <c r="F337" s="382" t="s">
        <v>2342</v>
      </c>
      <c r="G337" s="382" t="s">
        <v>2350</v>
      </c>
      <c r="H337" s="383">
        <v>-3527.04</v>
      </c>
      <c r="I337" s="1046">
        <v>63296.9</v>
      </c>
      <c r="J337" s="1047"/>
      <c r="K337" s="383">
        <v>62142.81</v>
      </c>
      <c r="L337" s="383">
        <v>-4681.13</v>
      </c>
    </row>
    <row r="338" spans="2:12">
      <c r="B338" s="1050"/>
      <c r="C338" s="1050"/>
      <c r="D338" s="382" t="s">
        <v>2435</v>
      </c>
      <c r="E338" s="382" t="s">
        <v>1989</v>
      </c>
      <c r="F338" s="382" t="s">
        <v>2342</v>
      </c>
      <c r="G338" s="382" t="s">
        <v>2351</v>
      </c>
      <c r="H338" s="383">
        <v>-7718.3</v>
      </c>
      <c r="I338" s="1046">
        <v>15922.98</v>
      </c>
      <c r="J338" s="1047"/>
      <c r="K338" s="383">
        <v>14536.67</v>
      </c>
      <c r="L338" s="383">
        <v>-9104.61</v>
      </c>
    </row>
    <row r="339" spans="2:12">
      <c r="B339" s="1050"/>
      <c r="C339" s="1050"/>
      <c r="D339" s="382" t="s">
        <v>2435</v>
      </c>
      <c r="E339" s="382" t="s">
        <v>1989</v>
      </c>
      <c r="F339" s="382" t="s">
        <v>2342</v>
      </c>
      <c r="G339" s="382" t="s">
        <v>2352</v>
      </c>
      <c r="H339" s="383">
        <v>-3919.7</v>
      </c>
      <c r="I339" s="1046">
        <v>40139.870000000003</v>
      </c>
      <c r="J339" s="1047"/>
      <c r="K339" s="383">
        <v>40884.400000000001</v>
      </c>
      <c r="L339" s="383">
        <v>-3175.17</v>
      </c>
    </row>
    <row r="340" spans="2:12">
      <c r="B340" s="1050"/>
      <c r="C340" s="1050"/>
      <c r="D340" s="382" t="s">
        <v>2435</v>
      </c>
      <c r="E340" s="382" t="s">
        <v>1989</v>
      </c>
      <c r="F340" s="382" t="s">
        <v>2342</v>
      </c>
      <c r="G340" s="382" t="s">
        <v>2353</v>
      </c>
      <c r="H340" s="383">
        <v>-5226.9399999999996</v>
      </c>
      <c r="I340" s="1046">
        <v>68042.28</v>
      </c>
      <c r="J340" s="1047"/>
      <c r="K340" s="383">
        <v>68203.009999999995</v>
      </c>
      <c r="L340" s="383">
        <v>-5066.21</v>
      </c>
    </row>
    <row r="341" spans="2:12">
      <c r="B341" s="1050"/>
      <c r="C341" s="1050"/>
      <c r="D341" s="382" t="s">
        <v>2435</v>
      </c>
      <c r="E341" s="382" t="s">
        <v>1989</v>
      </c>
      <c r="F341" s="382" t="s">
        <v>2342</v>
      </c>
      <c r="G341" s="382" t="s">
        <v>405</v>
      </c>
      <c r="H341" s="383">
        <v>-4920.4799999999996</v>
      </c>
      <c r="I341" s="1046">
        <v>59262.79</v>
      </c>
      <c r="J341" s="1047"/>
      <c r="K341" s="383">
        <v>59419.74</v>
      </c>
      <c r="L341" s="383">
        <v>-4763.53</v>
      </c>
    </row>
    <row r="342" spans="2:12">
      <c r="B342" s="1050"/>
      <c r="C342" s="1050"/>
      <c r="D342" s="382" t="s">
        <v>2435</v>
      </c>
      <c r="E342" s="382" t="s">
        <v>1989</v>
      </c>
      <c r="F342" s="382" t="s">
        <v>2342</v>
      </c>
      <c r="G342" s="382" t="s">
        <v>2354</v>
      </c>
      <c r="H342" s="383">
        <v>0</v>
      </c>
      <c r="I342" s="1046">
        <v>3124</v>
      </c>
      <c r="J342" s="1047"/>
      <c r="K342" s="383">
        <v>3124</v>
      </c>
      <c r="L342" s="383">
        <v>0</v>
      </c>
    </row>
    <row r="343" spans="2:12">
      <c r="B343" s="1050"/>
      <c r="C343" s="1050"/>
      <c r="D343" s="382" t="s">
        <v>2436</v>
      </c>
      <c r="E343" s="382" t="s">
        <v>1990</v>
      </c>
      <c r="F343" s="382" t="s">
        <v>2342</v>
      </c>
      <c r="G343" s="382" t="s">
        <v>2353</v>
      </c>
      <c r="H343" s="383">
        <v>-751.3</v>
      </c>
      <c r="I343" s="1046">
        <v>8614.25</v>
      </c>
      <c r="J343" s="1047"/>
      <c r="K343" s="383">
        <v>9053.2999999999993</v>
      </c>
      <c r="L343" s="383">
        <v>-312.25</v>
      </c>
    </row>
    <row r="344" spans="2:12">
      <c r="B344" s="1050"/>
      <c r="C344" s="1050"/>
      <c r="D344" s="382" t="s">
        <v>2437</v>
      </c>
      <c r="E344" s="382" t="s">
        <v>1991</v>
      </c>
      <c r="F344" s="382" t="s">
        <v>2342</v>
      </c>
      <c r="G344" s="382" t="s">
        <v>2343</v>
      </c>
      <c r="H344" s="383">
        <v>-5498.19</v>
      </c>
      <c r="I344" s="1046">
        <v>33991.54</v>
      </c>
      <c r="J344" s="1047"/>
      <c r="K344" s="383">
        <v>35055.75</v>
      </c>
      <c r="L344" s="383">
        <v>-4433.9799999999996</v>
      </c>
    </row>
    <row r="345" spans="2:12">
      <c r="B345" s="1050"/>
      <c r="C345" s="1050"/>
      <c r="D345" s="382" t="s">
        <v>2437</v>
      </c>
      <c r="E345" s="382" t="s">
        <v>1991</v>
      </c>
      <c r="F345" s="382" t="s">
        <v>2342</v>
      </c>
      <c r="G345" s="382" t="s">
        <v>2344</v>
      </c>
      <c r="H345" s="383">
        <v>-1922.64</v>
      </c>
      <c r="I345" s="1046">
        <v>53461.67</v>
      </c>
      <c r="J345" s="1047"/>
      <c r="K345" s="383">
        <v>53865.67</v>
      </c>
      <c r="L345" s="383">
        <v>-1518.64</v>
      </c>
    </row>
    <row r="346" spans="2:12">
      <c r="B346" s="1050"/>
      <c r="C346" s="1050"/>
      <c r="D346" s="382" t="s">
        <v>2437</v>
      </c>
      <c r="E346" s="382" t="s">
        <v>1991</v>
      </c>
      <c r="F346" s="382" t="s">
        <v>2342</v>
      </c>
      <c r="G346" s="382" t="s">
        <v>2345</v>
      </c>
      <c r="H346" s="383">
        <v>-3325.13</v>
      </c>
      <c r="I346" s="1046">
        <v>52841.39</v>
      </c>
      <c r="J346" s="1047"/>
      <c r="K346" s="383">
        <v>51815.06</v>
      </c>
      <c r="L346" s="383">
        <v>-4351.46</v>
      </c>
    </row>
    <row r="347" spans="2:12">
      <c r="B347" s="1050"/>
      <c r="C347" s="1050"/>
      <c r="D347" s="382" t="s">
        <v>2437</v>
      </c>
      <c r="E347" s="382" t="s">
        <v>1991</v>
      </c>
      <c r="F347" s="382" t="s">
        <v>2342</v>
      </c>
      <c r="G347" s="382" t="s">
        <v>2346</v>
      </c>
      <c r="H347" s="383">
        <v>-1238.6300000000001</v>
      </c>
      <c r="I347" s="1046">
        <v>25430.89</v>
      </c>
      <c r="J347" s="1047"/>
      <c r="K347" s="383">
        <v>24350.29</v>
      </c>
      <c r="L347" s="383">
        <v>-2319.23</v>
      </c>
    </row>
    <row r="348" spans="2:12">
      <c r="B348" s="1050"/>
      <c r="C348" s="1050"/>
      <c r="D348" s="382" t="s">
        <v>2437</v>
      </c>
      <c r="E348" s="382" t="s">
        <v>1991</v>
      </c>
      <c r="F348" s="382" t="s">
        <v>2342</v>
      </c>
      <c r="G348" s="382" t="s">
        <v>2347</v>
      </c>
      <c r="H348" s="383">
        <v>-4746.7</v>
      </c>
      <c r="I348" s="1046">
        <v>107751.78</v>
      </c>
      <c r="J348" s="1047"/>
      <c r="K348" s="383">
        <v>107661.08</v>
      </c>
      <c r="L348" s="383">
        <v>-4837.3999999999996</v>
      </c>
    </row>
    <row r="349" spans="2:12">
      <c r="B349" s="1050"/>
      <c r="C349" s="1050"/>
      <c r="D349" s="382" t="s">
        <v>2437</v>
      </c>
      <c r="E349" s="382" t="s">
        <v>1991</v>
      </c>
      <c r="F349" s="382" t="s">
        <v>2342</v>
      </c>
      <c r="G349" s="382" t="s">
        <v>2348</v>
      </c>
      <c r="H349" s="383">
        <v>-4837.03</v>
      </c>
      <c r="I349" s="1046">
        <v>71669.41</v>
      </c>
      <c r="J349" s="1047"/>
      <c r="K349" s="383">
        <v>71663.77</v>
      </c>
      <c r="L349" s="383">
        <v>-4842.67</v>
      </c>
    </row>
    <row r="350" spans="2:12">
      <c r="B350" s="1050"/>
      <c r="C350" s="1050"/>
      <c r="D350" s="382" t="s">
        <v>2437</v>
      </c>
      <c r="E350" s="382" t="s">
        <v>1991</v>
      </c>
      <c r="F350" s="382" t="s">
        <v>2342</v>
      </c>
      <c r="G350" s="382" t="s">
        <v>2349</v>
      </c>
      <c r="H350" s="383">
        <v>-5605.66</v>
      </c>
      <c r="I350" s="1046">
        <v>73934.679999999993</v>
      </c>
      <c r="J350" s="1047"/>
      <c r="K350" s="383">
        <v>73366.039999999994</v>
      </c>
      <c r="L350" s="383">
        <v>-6174.3</v>
      </c>
    </row>
    <row r="351" spans="2:12">
      <c r="B351" s="1050"/>
      <c r="C351" s="1050"/>
      <c r="D351" s="382" t="s">
        <v>2437</v>
      </c>
      <c r="E351" s="382" t="s">
        <v>1991</v>
      </c>
      <c r="F351" s="382" t="s">
        <v>2342</v>
      </c>
      <c r="G351" s="382" t="s">
        <v>2350</v>
      </c>
      <c r="H351" s="383">
        <v>-4016.25</v>
      </c>
      <c r="I351" s="1046">
        <v>131420.16</v>
      </c>
      <c r="J351" s="1047"/>
      <c r="K351" s="383">
        <v>130798.29</v>
      </c>
      <c r="L351" s="383">
        <v>-4638.12</v>
      </c>
    </row>
    <row r="352" spans="2:12">
      <c r="B352" s="1050"/>
      <c r="C352" s="1050"/>
      <c r="D352" s="382" t="s">
        <v>2437</v>
      </c>
      <c r="E352" s="382" t="s">
        <v>1991</v>
      </c>
      <c r="F352" s="382" t="s">
        <v>2342</v>
      </c>
      <c r="G352" s="382" t="s">
        <v>2351</v>
      </c>
      <c r="H352" s="383">
        <v>-6958.14</v>
      </c>
      <c r="I352" s="1046">
        <v>59666.559999999998</v>
      </c>
      <c r="J352" s="1047"/>
      <c r="K352" s="383">
        <v>57803.49</v>
      </c>
      <c r="L352" s="383">
        <v>-8821.2099999999991</v>
      </c>
    </row>
    <row r="353" spans="2:12">
      <c r="B353" s="1050"/>
      <c r="C353" s="1050"/>
      <c r="D353" s="382" t="s">
        <v>2437</v>
      </c>
      <c r="E353" s="382" t="s">
        <v>1991</v>
      </c>
      <c r="F353" s="382" t="s">
        <v>2342</v>
      </c>
      <c r="G353" s="382" t="s">
        <v>2352</v>
      </c>
      <c r="H353" s="383">
        <v>-668.76</v>
      </c>
      <c r="I353" s="1046">
        <v>41315.67</v>
      </c>
      <c r="J353" s="1047"/>
      <c r="K353" s="383">
        <v>41100.629999999997</v>
      </c>
      <c r="L353" s="383">
        <v>-883.8</v>
      </c>
    </row>
    <row r="354" spans="2:12">
      <c r="B354" s="1050"/>
      <c r="C354" s="1050"/>
      <c r="D354" s="382" t="s">
        <v>2437</v>
      </c>
      <c r="E354" s="382" t="s">
        <v>1991</v>
      </c>
      <c r="F354" s="382" t="s">
        <v>2342</v>
      </c>
      <c r="G354" s="382" t="s">
        <v>2353</v>
      </c>
      <c r="H354" s="383">
        <v>-1144.92</v>
      </c>
      <c r="I354" s="1046">
        <v>72803.05</v>
      </c>
      <c r="J354" s="1047"/>
      <c r="K354" s="383">
        <v>72711.59</v>
      </c>
      <c r="L354" s="383">
        <v>-1236.3800000000001</v>
      </c>
    </row>
    <row r="355" spans="2:12">
      <c r="B355" s="1050"/>
      <c r="C355" s="1050"/>
      <c r="D355" s="382" t="s">
        <v>2437</v>
      </c>
      <c r="E355" s="382" t="s">
        <v>1991</v>
      </c>
      <c r="F355" s="382" t="s">
        <v>2342</v>
      </c>
      <c r="G355" s="382" t="s">
        <v>405</v>
      </c>
      <c r="H355" s="383">
        <v>-2020.37</v>
      </c>
      <c r="I355" s="1046">
        <v>35569.35</v>
      </c>
      <c r="J355" s="1047"/>
      <c r="K355" s="383">
        <v>35820.129999999997</v>
      </c>
      <c r="L355" s="383">
        <v>-1769.59</v>
      </c>
    </row>
    <row r="356" spans="2:12">
      <c r="B356" s="1050"/>
      <c r="C356" s="1050"/>
      <c r="D356" s="382" t="s">
        <v>2437</v>
      </c>
      <c r="E356" s="382" t="s">
        <v>1991</v>
      </c>
      <c r="F356" s="382" t="s">
        <v>2342</v>
      </c>
      <c r="G356" s="382" t="s">
        <v>2354</v>
      </c>
      <c r="H356" s="383">
        <v>0</v>
      </c>
      <c r="I356" s="1046">
        <v>3064.22</v>
      </c>
      <c r="J356" s="1047"/>
      <c r="K356" s="383">
        <v>2807.79</v>
      </c>
      <c r="L356" s="383">
        <v>-256.43</v>
      </c>
    </row>
    <row r="357" spans="2:12">
      <c r="B357" s="1050"/>
      <c r="C357" s="1050"/>
      <c r="D357" s="382" t="s">
        <v>2438</v>
      </c>
      <c r="E357" s="382" t="s">
        <v>1992</v>
      </c>
      <c r="F357" s="382" t="s">
        <v>2342</v>
      </c>
      <c r="G357" s="382" t="s">
        <v>2343</v>
      </c>
      <c r="H357" s="383">
        <v>-4621.5600000000004</v>
      </c>
      <c r="I357" s="1046">
        <v>41029.31</v>
      </c>
      <c r="J357" s="1047"/>
      <c r="K357" s="383">
        <v>43941.37</v>
      </c>
      <c r="L357" s="383">
        <v>-1709.5</v>
      </c>
    </row>
    <row r="358" spans="2:12">
      <c r="B358" s="1050"/>
      <c r="C358" s="1050"/>
      <c r="D358" s="382" t="s">
        <v>2438</v>
      </c>
      <c r="E358" s="382" t="s">
        <v>1992</v>
      </c>
      <c r="F358" s="382" t="s">
        <v>2342</v>
      </c>
      <c r="G358" s="382" t="s">
        <v>2344</v>
      </c>
      <c r="H358" s="383">
        <v>-1588.21</v>
      </c>
      <c r="I358" s="1046">
        <v>66459.039999999994</v>
      </c>
      <c r="J358" s="1047"/>
      <c r="K358" s="383">
        <v>65067.62</v>
      </c>
      <c r="L358" s="383">
        <v>-2979.63</v>
      </c>
    </row>
    <row r="359" spans="2:12">
      <c r="B359" s="1050"/>
      <c r="C359" s="1050"/>
      <c r="D359" s="382" t="s">
        <v>2438</v>
      </c>
      <c r="E359" s="382" t="s">
        <v>1992</v>
      </c>
      <c r="F359" s="382" t="s">
        <v>2342</v>
      </c>
      <c r="G359" s="382" t="s">
        <v>2345</v>
      </c>
      <c r="H359" s="383">
        <v>-810.32</v>
      </c>
      <c r="I359" s="1046">
        <v>27787.200000000001</v>
      </c>
      <c r="J359" s="1047"/>
      <c r="K359" s="383">
        <v>26475.41</v>
      </c>
      <c r="L359" s="383">
        <v>-2122.11</v>
      </c>
    </row>
    <row r="360" spans="2:12">
      <c r="B360" s="1050"/>
      <c r="C360" s="1050"/>
      <c r="D360" s="382" t="s">
        <v>2438</v>
      </c>
      <c r="E360" s="382" t="s">
        <v>1992</v>
      </c>
      <c r="F360" s="382" t="s">
        <v>2342</v>
      </c>
      <c r="G360" s="382" t="s">
        <v>2346</v>
      </c>
      <c r="H360" s="383">
        <v>-1026.26</v>
      </c>
      <c r="I360" s="1046">
        <v>45934.879999999997</v>
      </c>
      <c r="J360" s="1047"/>
      <c r="K360" s="383">
        <v>45469.22</v>
      </c>
      <c r="L360" s="383">
        <v>-1491.92</v>
      </c>
    </row>
    <row r="361" spans="2:12">
      <c r="B361" s="1050"/>
      <c r="C361" s="1050"/>
      <c r="D361" s="382" t="s">
        <v>2438</v>
      </c>
      <c r="E361" s="382" t="s">
        <v>1992</v>
      </c>
      <c r="F361" s="382" t="s">
        <v>2342</v>
      </c>
      <c r="G361" s="382" t="s">
        <v>2347</v>
      </c>
      <c r="H361" s="383">
        <v>-7684.37</v>
      </c>
      <c r="I361" s="1046">
        <v>90637.15</v>
      </c>
      <c r="J361" s="1047"/>
      <c r="K361" s="383">
        <v>87840.53</v>
      </c>
      <c r="L361" s="383">
        <v>-10480.99</v>
      </c>
    </row>
    <row r="362" spans="2:12">
      <c r="B362" s="1050"/>
      <c r="C362" s="1050"/>
      <c r="D362" s="382" t="s">
        <v>2438</v>
      </c>
      <c r="E362" s="382" t="s">
        <v>1992</v>
      </c>
      <c r="F362" s="382" t="s">
        <v>2342</v>
      </c>
      <c r="G362" s="382" t="s">
        <v>2348</v>
      </c>
      <c r="H362" s="383">
        <v>-1436.81</v>
      </c>
      <c r="I362" s="1046">
        <v>54932.82</v>
      </c>
      <c r="J362" s="1047"/>
      <c r="K362" s="383">
        <v>55221.09</v>
      </c>
      <c r="L362" s="383">
        <v>-1148.54</v>
      </c>
    </row>
    <row r="363" spans="2:12">
      <c r="B363" s="1050"/>
      <c r="C363" s="1050"/>
      <c r="D363" s="382" t="s">
        <v>2438</v>
      </c>
      <c r="E363" s="382" t="s">
        <v>1992</v>
      </c>
      <c r="F363" s="382" t="s">
        <v>2342</v>
      </c>
      <c r="G363" s="382" t="s">
        <v>2349</v>
      </c>
      <c r="H363" s="383">
        <v>-13129.86</v>
      </c>
      <c r="I363" s="1046">
        <v>125077.58</v>
      </c>
      <c r="J363" s="1047"/>
      <c r="K363" s="383">
        <v>124787.29</v>
      </c>
      <c r="L363" s="383">
        <v>-13420.15</v>
      </c>
    </row>
    <row r="364" spans="2:12">
      <c r="B364" s="1050"/>
      <c r="C364" s="1050"/>
      <c r="D364" s="382" t="s">
        <v>2438</v>
      </c>
      <c r="E364" s="382" t="s">
        <v>1992</v>
      </c>
      <c r="F364" s="382" t="s">
        <v>2342</v>
      </c>
      <c r="G364" s="382" t="s">
        <v>2350</v>
      </c>
      <c r="H364" s="383">
        <v>-1789.28</v>
      </c>
      <c r="I364" s="1046">
        <v>51994.14</v>
      </c>
      <c r="J364" s="1047"/>
      <c r="K364" s="383">
        <v>51689.3</v>
      </c>
      <c r="L364" s="383">
        <v>-2094.12</v>
      </c>
    </row>
    <row r="365" spans="2:12">
      <c r="B365" s="1050"/>
      <c r="C365" s="1050"/>
      <c r="D365" s="382" t="s">
        <v>2438</v>
      </c>
      <c r="E365" s="382" t="s">
        <v>1992</v>
      </c>
      <c r="F365" s="382" t="s">
        <v>2342</v>
      </c>
      <c r="G365" s="382" t="s">
        <v>2351</v>
      </c>
      <c r="H365" s="383">
        <v>-1152</v>
      </c>
      <c r="I365" s="1046">
        <v>57696.46</v>
      </c>
      <c r="J365" s="1047"/>
      <c r="K365" s="383">
        <v>57194.25</v>
      </c>
      <c r="L365" s="383">
        <v>-1654.21</v>
      </c>
    </row>
    <row r="366" spans="2:12">
      <c r="B366" s="1050"/>
      <c r="C366" s="1050"/>
      <c r="D366" s="382" t="s">
        <v>2438</v>
      </c>
      <c r="E366" s="382" t="s">
        <v>1992</v>
      </c>
      <c r="F366" s="382" t="s">
        <v>2342</v>
      </c>
      <c r="G366" s="382" t="s">
        <v>2352</v>
      </c>
      <c r="H366" s="383">
        <v>-2249.0100000000002</v>
      </c>
      <c r="I366" s="1046">
        <v>61373.99</v>
      </c>
      <c r="J366" s="1047"/>
      <c r="K366" s="383">
        <v>61507.839999999997</v>
      </c>
      <c r="L366" s="383">
        <v>-2115.16</v>
      </c>
    </row>
    <row r="367" spans="2:12">
      <c r="B367" s="1050"/>
      <c r="C367" s="1050"/>
      <c r="D367" s="382" t="s">
        <v>2438</v>
      </c>
      <c r="E367" s="382" t="s">
        <v>1992</v>
      </c>
      <c r="F367" s="382" t="s">
        <v>2342</v>
      </c>
      <c r="G367" s="382" t="s">
        <v>2353</v>
      </c>
      <c r="H367" s="383">
        <v>-1226.1199999999999</v>
      </c>
      <c r="I367" s="1046">
        <v>58307.12</v>
      </c>
      <c r="J367" s="1047"/>
      <c r="K367" s="383">
        <v>57356.23</v>
      </c>
      <c r="L367" s="383">
        <v>-2177.0100000000002</v>
      </c>
    </row>
    <row r="368" spans="2:12">
      <c r="B368" s="1050"/>
      <c r="C368" s="1050"/>
      <c r="D368" s="382" t="s">
        <v>2438</v>
      </c>
      <c r="E368" s="382" t="s">
        <v>1992</v>
      </c>
      <c r="F368" s="382" t="s">
        <v>2342</v>
      </c>
      <c r="G368" s="382" t="s">
        <v>405</v>
      </c>
      <c r="H368" s="383">
        <v>-78.13</v>
      </c>
      <c r="I368" s="1046">
        <v>29138.49</v>
      </c>
      <c r="J368" s="1047"/>
      <c r="K368" s="383">
        <v>28842.720000000001</v>
      </c>
      <c r="L368" s="383">
        <v>-373.9</v>
      </c>
    </row>
    <row r="369" spans="2:12">
      <c r="B369" s="1050"/>
      <c r="C369" s="1050"/>
      <c r="D369" s="382" t="s">
        <v>2438</v>
      </c>
      <c r="E369" s="382" t="s">
        <v>1992</v>
      </c>
      <c r="F369" s="382" t="s">
        <v>2342</v>
      </c>
      <c r="G369" s="382" t="s">
        <v>2354</v>
      </c>
      <c r="H369" s="383">
        <v>0</v>
      </c>
      <c r="I369" s="1046">
        <v>790.66</v>
      </c>
      <c r="J369" s="1047"/>
      <c r="K369" s="383">
        <v>790.66</v>
      </c>
      <c r="L369" s="383">
        <v>0</v>
      </c>
    </row>
    <row r="370" spans="2:12">
      <c r="B370" s="1050"/>
      <c r="C370" s="1050"/>
      <c r="D370" s="382" t="s">
        <v>2439</v>
      </c>
      <c r="E370" s="382" t="s">
        <v>1993</v>
      </c>
      <c r="F370" s="382" t="s">
        <v>2342</v>
      </c>
      <c r="G370" s="382" t="s">
        <v>2343</v>
      </c>
      <c r="H370" s="383">
        <v>-1483.51</v>
      </c>
      <c r="I370" s="1046">
        <v>70597.86</v>
      </c>
      <c r="J370" s="1047"/>
      <c r="K370" s="383">
        <v>69993.009999999995</v>
      </c>
      <c r="L370" s="383">
        <v>-2088.36</v>
      </c>
    </row>
    <row r="371" spans="2:12">
      <c r="B371" s="1050"/>
      <c r="C371" s="1050"/>
      <c r="D371" s="382" t="s">
        <v>2439</v>
      </c>
      <c r="E371" s="382" t="s">
        <v>1993</v>
      </c>
      <c r="F371" s="382" t="s">
        <v>2342</v>
      </c>
      <c r="G371" s="382" t="s">
        <v>2344</v>
      </c>
      <c r="H371" s="383">
        <v>-2322.96</v>
      </c>
      <c r="I371" s="1046">
        <v>83984.57</v>
      </c>
      <c r="J371" s="1047"/>
      <c r="K371" s="383">
        <v>81454.63</v>
      </c>
      <c r="L371" s="383">
        <v>-4852.8999999999996</v>
      </c>
    </row>
    <row r="372" spans="2:12">
      <c r="B372" s="1050"/>
      <c r="C372" s="1050"/>
      <c r="D372" s="382" t="s">
        <v>2439</v>
      </c>
      <c r="E372" s="382" t="s">
        <v>1993</v>
      </c>
      <c r="F372" s="382" t="s">
        <v>2342</v>
      </c>
      <c r="G372" s="382" t="s">
        <v>2345</v>
      </c>
      <c r="H372" s="383">
        <v>-6675.57</v>
      </c>
      <c r="I372" s="1046">
        <v>69578.53</v>
      </c>
      <c r="J372" s="1047"/>
      <c r="K372" s="383">
        <v>70330</v>
      </c>
      <c r="L372" s="383">
        <v>-5924.1</v>
      </c>
    </row>
    <row r="373" spans="2:12">
      <c r="B373" s="1050"/>
      <c r="C373" s="1050"/>
      <c r="D373" s="382" t="s">
        <v>2439</v>
      </c>
      <c r="E373" s="382" t="s">
        <v>1993</v>
      </c>
      <c r="F373" s="382" t="s">
        <v>2342</v>
      </c>
      <c r="G373" s="382" t="s">
        <v>2346</v>
      </c>
      <c r="H373" s="383">
        <v>0</v>
      </c>
      <c r="I373" s="1046">
        <v>55027.77</v>
      </c>
      <c r="J373" s="1047"/>
      <c r="K373" s="383">
        <v>54080.23</v>
      </c>
      <c r="L373" s="383">
        <v>-947.54</v>
      </c>
    </row>
    <row r="374" spans="2:12">
      <c r="B374" s="1050"/>
      <c r="C374" s="1050"/>
      <c r="D374" s="382" t="s">
        <v>2439</v>
      </c>
      <c r="E374" s="382" t="s">
        <v>1993</v>
      </c>
      <c r="F374" s="382" t="s">
        <v>2342</v>
      </c>
      <c r="G374" s="382" t="s">
        <v>2347</v>
      </c>
      <c r="H374" s="383">
        <v>-1099.3599999999999</v>
      </c>
      <c r="I374" s="1046">
        <v>102953.91</v>
      </c>
      <c r="J374" s="1047"/>
      <c r="K374" s="383">
        <v>101380.87</v>
      </c>
      <c r="L374" s="383">
        <v>-2672.4</v>
      </c>
    </row>
    <row r="375" spans="2:12">
      <c r="B375" s="1050"/>
      <c r="C375" s="1050"/>
      <c r="D375" s="382" t="s">
        <v>2439</v>
      </c>
      <c r="E375" s="382" t="s">
        <v>1993</v>
      </c>
      <c r="F375" s="382" t="s">
        <v>2342</v>
      </c>
      <c r="G375" s="382" t="s">
        <v>2348</v>
      </c>
      <c r="H375" s="383">
        <v>-1599.26</v>
      </c>
      <c r="I375" s="1046">
        <v>56845.25</v>
      </c>
      <c r="J375" s="1047"/>
      <c r="K375" s="383">
        <v>56321.49</v>
      </c>
      <c r="L375" s="383">
        <v>-2123.02</v>
      </c>
    </row>
    <row r="376" spans="2:12">
      <c r="B376" s="1050"/>
      <c r="C376" s="1050"/>
      <c r="D376" s="382" t="s">
        <v>2439</v>
      </c>
      <c r="E376" s="382" t="s">
        <v>1993</v>
      </c>
      <c r="F376" s="382" t="s">
        <v>2342</v>
      </c>
      <c r="G376" s="382" t="s">
        <v>2349</v>
      </c>
      <c r="H376" s="383">
        <v>-10860.54</v>
      </c>
      <c r="I376" s="1046">
        <v>164420.75</v>
      </c>
      <c r="J376" s="1047"/>
      <c r="K376" s="383">
        <v>164174.76999999999</v>
      </c>
      <c r="L376" s="383">
        <v>-11106.52</v>
      </c>
    </row>
    <row r="377" spans="2:12">
      <c r="B377" s="1050"/>
      <c r="C377" s="1050"/>
      <c r="D377" s="382" t="s">
        <v>2439</v>
      </c>
      <c r="E377" s="382" t="s">
        <v>1993</v>
      </c>
      <c r="F377" s="382" t="s">
        <v>2342</v>
      </c>
      <c r="G377" s="382" t="s">
        <v>2350</v>
      </c>
      <c r="H377" s="383">
        <v>-3059.75</v>
      </c>
      <c r="I377" s="1046">
        <v>143183.56</v>
      </c>
      <c r="J377" s="1047"/>
      <c r="K377" s="383">
        <v>144331.62</v>
      </c>
      <c r="L377" s="383">
        <v>-1911.69</v>
      </c>
    </row>
    <row r="378" spans="2:12">
      <c r="B378" s="1050"/>
      <c r="C378" s="1050"/>
      <c r="D378" s="382" t="s">
        <v>2439</v>
      </c>
      <c r="E378" s="382" t="s">
        <v>1993</v>
      </c>
      <c r="F378" s="382" t="s">
        <v>2342</v>
      </c>
      <c r="G378" s="382" t="s">
        <v>2351</v>
      </c>
      <c r="H378" s="383">
        <v>-1571.35</v>
      </c>
      <c r="I378" s="1046">
        <v>62514.81</v>
      </c>
      <c r="J378" s="1047"/>
      <c r="K378" s="383">
        <v>63810.17</v>
      </c>
      <c r="L378" s="383">
        <v>-275.99</v>
      </c>
    </row>
    <row r="379" spans="2:12">
      <c r="B379" s="1050"/>
      <c r="C379" s="1050"/>
      <c r="D379" s="382" t="s">
        <v>2439</v>
      </c>
      <c r="E379" s="382" t="s">
        <v>1993</v>
      </c>
      <c r="F379" s="382" t="s">
        <v>2342</v>
      </c>
      <c r="G379" s="382" t="s">
        <v>2352</v>
      </c>
      <c r="H379" s="383">
        <v>-2767.14</v>
      </c>
      <c r="I379" s="1046">
        <v>74215.649999999994</v>
      </c>
      <c r="J379" s="1047"/>
      <c r="K379" s="383">
        <v>75573.710000000006</v>
      </c>
      <c r="L379" s="383">
        <v>-1409.08</v>
      </c>
    </row>
    <row r="380" spans="2:12">
      <c r="B380" s="1050"/>
      <c r="C380" s="1050"/>
      <c r="D380" s="382" t="s">
        <v>2439</v>
      </c>
      <c r="E380" s="382" t="s">
        <v>1993</v>
      </c>
      <c r="F380" s="382" t="s">
        <v>2342</v>
      </c>
      <c r="G380" s="382" t="s">
        <v>2353</v>
      </c>
      <c r="H380" s="383">
        <v>-2256.7800000000002</v>
      </c>
      <c r="I380" s="1046">
        <v>49271.05</v>
      </c>
      <c r="J380" s="1047"/>
      <c r="K380" s="383">
        <v>51043.87</v>
      </c>
      <c r="L380" s="383">
        <v>-483.96</v>
      </c>
    </row>
    <row r="381" spans="2:12">
      <c r="B381" s="1050"/>
      <c r="C381" s="1050"/>
      <c r="D381" s="382" t="s">
        <v>2439</v>
      </c>
      <c r="E381" s="382" t="s">
        <v>1993</v>
      </c>
      <c r="F381" s="382" t="s">
        <v>2342</v>
      </c>
      <c r="G381" s="382" t="s">
        <v>405</v>
      </c>
      <c r="H381" s="383">
        <v>0</v>
      </c>
      <c r="I381" s="1046">
        <v>32889.199999999997</v>
      </c>
      <c r="J381" s="1047"/>
      <c r="K381" s="383">
        <v>32889.199999999997</v>
      </c>
      <c r="L381" s="383">
        <v>0</v>
      </c>
    </row>
    <row r="382" spans="2:12">
      <c r="B382" s="1050"/>
      <c r="C382" s="1050"/>
      <c r="D382" s="382" t="s">
        <v>2440</v>
      </c>
      <c r="E382" s="382" t="s">
        <v>1994</v>
      </c>
      <c r="F382" s="382" t="s">
        <v>2342</v>
      </c>
      <c r="G382" s="382" t="s">
        <v>2355</v>
      </c>
      <c r="H382" s="383">
        <v>-3032.71</v>
      </c>
      <c r="I382" s="1046">
        <v>40392.03</v>
      </c>
      <c r="J382" s="1047"/>
      <c r="K382" s="383">
        <v>39082.78</v>
      </c>
      <c r="L382" s="383">
        <v>-4341.96</v>
      </c>
    </row>
    <row r="383" spans="2:12">
      <c r="B383" s="1050"/>
      <c r="C383" s="1050"/>
      <c r="D383" s="382" t="s">
        <v>2441</v>
      </c>
      <c r="E383" s="382" t="s">
        <v>1995</v>
      </c>
      <c r="F383" s="382" t="s">
        <v>2342</v>
      </c>
      <c r="G383" s="382" t="s">
        <v>2343</v>
      </c>
      <c r="H383" s="383">
        <v>-3429.83</v>
      </c>
      <c r="I383" s="1046">
        <v>48435.86</v>
      </c>
      <c r="J383" s="1047"/>
      <c r="K383" s="383">
        <v>51865.69</v>
      </c>
      <c r="L383" s="383">
        <v>0</v>
      </c>
    </row>
    <row r="384" spans="2:12">
      <c r="B384" s="1050"/>
      <c r="C384" s="1050"/>
      <c r="D384" s="382" t="s">
        <v>2441</v>
      </c>
      <c r="E384" s="382" t="s">
        <v>1995</v>
      </c>
      <c r="F384" s="382" t="s">
        <v>2342</v>
      </c>
      <c r="G384" s="382" t="s">
        <v>2344</v>
      </c>
      <c r="H384" s="383">
        <v>0</v>
      </c>
      <c r="I384" s="1046">
        <v>5219.47</v>
      </c>
      <c r="J384" s="1047"/>
      <c r="K384" s="383">
        <v>5219.47</v>
      </c>
      <c r="L384" s="383">
        <v>0</v>
      </c>
    </row>
    <row r="385" spans="2:12">
      <c r="B385" s="1050"/>
      <c r="C385" s="1050"/>
      <c r="D385" s="382" t="s">
        <v>2441</v>
      </c>
      <c r="E385" s="382" t="s">
        <v>1995</v>
      </c>
      <c r="F385" s="382" t="s">
        <v>2342</v>
      </c>
      <c r="G385" s="382" t="s">
        <v>2345</v>
      </c>
      <c r="H385" s="383">
        <v>0</v>
      </c>
      <c r="I385" s="1046">
        <v>40570.85</v>
      </c>
      <c r="J385" s="1047"/>
      <c r="K385" s="383">
        <v>40570.85</v>
      </c>
      <c r="L385" s="383">
        <v>0</v>
      </c>
    </row>
    <row r="386" spans="2:12">
      <c r="B386" s="1050"/>
      <c r="C386" s="1050"/>
      <c r="D386" s="382" t="s">
        <v>2441</v>
      </c>
      <c r="E386" s="382" t="s">
        <v>1995</v>
      </c>
      <c r="F386" s="382" t="s">
        <v>2342</v>
      </c>
      <c r="G386" s="382" t="s">
        <v>2346</v>
      </c>
      <c r="H386" s="383">
        <v>0</v>
      </c>
      <c r="I386" s="1046">
        <v>10438.040000000001</v>
      </c>
      <c r="J386" s="1047"/>
      <c r="K386" s="383">
        <v>10438.040000000001</v>
      </c>
      <c r="L386" s="383">
        <v>0</v>
      </c>
    </row>
    <row r="387" spans="2:12">
      <c r="B387" s="1050"/>
      <c r="C387" s="1050"/>
      <c r="D387" s="382" t="s">
        <v>2441</v>
      </c>
      <c r="E387" s="382" t="s">
        <v>1995</v>
      </c>
      <c r="F387" s="382" t="s">
        <v>2342</v>
      </c>
      <c r="G387" s="382" t="s">
        <v>2347</v>
      </c>
      <c r="H387" s="383">
        <v>0</v>
      </c>
      <c r="I387" s="1046">
        <v>189171.95</v>
      </c>
      <c r="J387" s="1047"/>
      <c r="K387" s="383">
        <v>189171.95</v>
      </c>
      <c r="L387" s="383">
        <v>0</v>
      </c>
    </row>
    <row r="388" spans="2:12">
      <c r="B388" s="1050"/>
      <c r="C388" s="1050"/>
      <c r="D388" s="382" t="s">
        <v>2441</v>
      </c>
      <c r="E388" s="382" t="s">
        <v>1995</v>
      </c>
      <c r="F388" s="382" t="s">
        <v>2342</v>
      </c>
      <c r="G388" s="382" t="s">
        <v>2348</v>
      </c>
      <c r="H388" s="383">
        <v>0</v>
      </c>
      <c r="I388" s="1046">
        <v>78382.600000000006</v>
      </c>
      <c r="J388" s="1047"/>
      <c r="K388" s="383">
        <v>69461.77</v>
      </c>
      <c r="L388" s="383">
        <v>-8920.83</v>
      </c>
    </row>
    <row r="389" spans="2:12">
      <c r="B389" s="1050"/>
      <c r="C389" s="1050"/>
      <c r="D389" s="382" t="s">
        <v>2441</v>
      </c>
      <c r="E389" s="382" t="s">
        <v>1995</v>
      </c>
      <c r="F389" s="382" t="s">
        <v>2342</v>
      </c>
      <c r="G389" s="382" t="s">
        <v>2349</v>
      </c>
      <c r="H389" s="383">
        <v>0</v>
      </c>
      <c r="I389" s="1046">
        <v>20813.310000000001</v>
      </c>
      <c r="J389" s="1047"/>
      <c r="K389" s="383">
        <v>20813.310000000001</v>
      </c>
      <c r="L389" s="383">
        <v>0</v>
      </c>
    </row>
    <row r="390" spans="2:12">
      <c r="B390" s="1050"/>
      <c r="C390" s="1050"/>
      <c r="D390" s="382" t="s">
        <v>2441</v>
      </c>
      <c r="E390" s="382" t="s">
        <v>1995</v>
      </c>
      <c r="F390" s="382" t="s">
        <v>2342</v>
      </c>
      <c r="G390" s="382" t="s">
        <v>2350</v>
      </c>
      <c r="H390" s="383">
        <v>0</v>
      </c>
      <c r="I390" s="1046">
        <v>91947.8</v>
      </c>
      <c r="J390" s="1047"/>
      <c r="K390" s="383">
        <v>91947.8</v>
      </c>
      <c r="L390" s="383">
        <v>0</v>
      </c>
    </row>
    <row r="391" spans="2:12">
      <c r="B391" s="1050"/>
      <c r="C391" s="1050"/>
      <c r="D391" s="382" t="s">
        <v>2441</v>
      </c>
      <c r="E391" s="382" t="s">
        <v>1995</v>
      </c>
      <c r="F391" s="382" t="s">
        <v>2342</v>
      </c>
      <c r="G391" s="382" t="s">
        <v>2351</v>
      </c>
      <c r="H391" s="383">
        <v>0</v>
      </c>
      <c r="I391" s="1046">
        <v>16635.5</v>
      </c>
      <c r="J391" s="1047"/>
      <c r="K391" s="383">
        <v>16635.5</v>
      </c>
      <c r="L391" s="383">
        <v>0</v>
      </c>
    </row>
    <row r="392" spans="2:12">
      <c r="B392" s="1050"/>
      <c r="C392" s="1050"/>
      <c r="D392" s="382" t="s">
        <v>2441</v>
      </c>
      <c r="E392" s="382" t="s">
        <v>1995</v>
      </c>
      <c r="F392" s="382" t="s">
        <v>2342</v>
      </c>
      <c r="G392" s="382" t="s">
        <v>2352</v>
      </c>
      <c r="H392" s="383">
        <v>0</v>
      </c>
      <c r="I392" s="1046">
        <v>21675.09</v>
      </c>
      <c r="J392" s="1047"/>
      <c r="K392" s="383">
        <v>21675.09</v>
      </c>
      <c r="L392" s="383">
        <v>0</v>
      </c>
    </row>
    <row r="393" spans="2:12">
      <c r="B393" s="1050"/>
      <c r="C393" s="1050"/>
      <c r="D393" s="382" t="s">
        <v>2441</v>
      </c>
      <c r="E393" s="382" t="s">
        <v>1995</v>
      </c>
      <c r="F393" s="382" t="s">
        <v>2342</v>
      </c>
      <c r="G393" s="382" t="s">
        <v>2353</v>
      </c>
      <c r="H393" s="383">
        <v>-2624.05</v>
      </c>
      <c r="I393" s="1046">
        <v>48015.05</v>
      </c>
      <c r="J393" s="1047"/>
      <c r="K393" s="383">
        <v>45637.599999999999</v>
      </c>
      <c r="L393" s="383">
        <v>-5001.5</v>
      </c>
    </row>
    <row r="394" spans="2:12">
      <c r="B394" s="1050"/>
      <c r="C394" s="1050"/>
      <c r="D394" s="382" t="s">
        <v>2441</v>
      </c>
      <c r="E394" s="382" t="s">
        <v>1995</v>
      </c>
      <c r="F394" s="382" t="s">
        <v>2342</v>
      </c>
      <c r="G394" s="382" t="s">
        <v>405</v>
      </c>
      <c r="H394" s="383">
        <v>0</v>
      </c>
      <c r="I394" s="1046">
        <v>7992.88</v>
      </c>
      <c r="J394" s="1047"/>
      <c r="K394" s="383">
        <v>7992.88</v>
      </c>
      <c r="L394" s="383">
        <v>0</v>
      </c>
    </row>
    <row r="395" spans="2:12">
      <c r="B395" s="1050"/>
      <c r="C395" s="1051"/>
      <c r="D395" s="359" t="s">
        <v>12</v>
      </c>
      <c r="E395" s="359" t="s">
        <v>111</v>
      </c>
      <c r="F395" s="359" t="s">
        <v>111</v>
      </c>
      <c r="G395" s="359" t="s">
        <v>111</v>
      </c>
      <c r="H395" s="384">
        <v>-195368.41</v>
      </c>
      <c r="I395" s="1048">
        <v>3830465.23</v>
      </c>
      <c r="J395" s="1047"/>
      <c r="K395" s="384">
        <v>3811342.91</v>
      </c>
      <c r="L395" s="384">
        <v>-214490.73</v>
      </c>
    </row>
    <row r="396" spans="2:12">
      <c r="B396" s="1050"/>
      <c r="C396" s="1049" t="s">
        <v>2442</v>
      </c>
      <c r="D396" s="382" t="s">
        <v>2443</v>
      </c>
      <c r="E396" s="382" t="s">
        <v>1996</v>
      </c>
      <c r="F396" s="382" t="s">
        <v>2342</v>
      </c>
      <c r="G396" s="382" t="s">
        <v>2343</v>
      </c>
      <c r="H396" s="383">
        <v>-51.9</v>
      </c>
      <c r="I396" s="1046">
        <v>156.31</v>
      </c>
      <c r="J396" s="1047"/>
      <c r="K396" s="383">
        <v>164.54</v>
      </c>
      <c r="L396" s="383">
        <v>-43.67</v>
      </c>
    </row>
    <row r="397" spans="2:12">
      <c r="B397" s="1050"/>
      <c r="C397" s="1050"/>
      <c r="D397" s="382" t="s">
        <v>2443</v>
      </c>
      <c r="E397" s="382" t="s">
        <v>1996</v>
      </c>
      <c r="F397" s="382" t="s">
        <v>2342</v>
      </c>
      <c r="G397" s="382" t="s">
        <v>2344</v>
      </c>
      <c r="H397" s="383">
        <v>0</v>
      </c>
      <c r="I397" s="1046">
        <v>21.28</v>
      </c>
      <c r="J397" s="1047"/>
      <c r="K397" s="383">
        <v>21.28</v>
      </c>
      <c r="L397" s="383">
        <v>0</v>
      </c>
    </row>
    <row r="398" spans="2:12">
      <c r="B398" s="1050"/>
      <c r="C398" s="1050"/>
      <c r="D398" s="382" t="s">
        <v>2443</v>
      </c>
      <c r="E398" s="382" t="s">
        <v>1996</v>
      </c>
      <c r="F398" s="382" t="s">
        <v>2342</v>
      </c>
      <c r="G398" s="382" t="s">
        <v>2345</v>
      </c>
      <c r="H398" s="383">
        <v>-1.76</v>
      </c>
      <c r="I398" s="1046">
        <v>236.91</v>
      </c>
      <c r="J398" s="1047"/>
      <c r="K398" s="383">
        <v>145.18</v>
      </c>
      <c r="L398" s="383">
        <v>-93.49</v>
      </c>
    </row>
    <row r="399" spans="2:12">
      <c r="B399" s="1050"/>
      <c r="C399" s="1050"/>
      <c r="D399" s="382" t="s">
        <v>2443</v>
      </c>
      <c r="E399" s="382" t="s">
        <v>1996</v>
      </c>
      <c r="F399" s="382" t="s">
        <v>2342</v>
      </c>
      <c r="G399" s="382" t="s">
        <v>2346</v>
      </c>
      <c r="H399" s="383">
        <v>0</v>
      </c>
      <c r="I399" s="1046">
        <v>26.51</v>
      </c>
      <c r="J399" s="1047"/>
      <c r="K399" s="383">
        <v>16.46</v>
      </c>
      <c r="L399" s="383">
        <v>-10.050000000000001</v>
      </c>
    </row>
    <row r="400" spans="2:12">
      <c r="B400" s="1050"/>
      <c r="C400" s="1050"/>
      <c r="D400" s="382" t="s">
        <v>2443</v>
      </c>
      <c r="E400" s="382" t="s">
        <v>1996</v>
      </c>
      <c r="F400" s="382" t="s">
        <v>2342</v>
      </c>
      <c r="G400" s="382" t="s">
        <v>2347</v>
      </c>
      <c r="H400" s="383">
        <v>-3.61</v>
      </c>
      <c r="I400" s="1046">
        <v>256.89</v>
      </c>
      <c r="J400" s="1047"/>
      <c r="K400" s="383">
        <v>15.68</v>
      </c>
      <c r="L400" s="383">
        <v>-244.82</v>
      </c>
    </row>
    <row r="401" spans="2:12">
      <c r="B401" s="1050"/>
      <c r="C401" s="1050"/>
      <c r="D401" s="382" t="s">
        <v>2443</v>
      </c>
      <c r="E401" s="382" t="s">
        <v>1996</v>
      </c>
      <c r="F401" s="382" t="s">
        <v>2342</v>
      </c>
      <c r="G401" s="382" t="s">
        <v>2348</v>
      </c>
      <c r="H401" s="383">
        <v>-17.079999999999998</v>
      </c>
      <c r="I401" s="1046">
        <v>56.25</v>
      </c>
      <c r="J401" s="1047"/>
      <c r="K401" s="383">
        <v>61.69</v>
      </c>
      <c r="L401" s="383">
        <v>-11.64</v>
      </c>
    </row>
    <row r="402" spans="2:12">
      <c r="B402" s="1050"/>
      <c r="C402" s="1050"/>
      <c r="D402" s="382" t="s">
        <v>2443</v>
      </c>
      <c r="E402" s="382" t="s">
        <v>1996</v>
      </c>
      <c r="F402" s="382" t="s">
        <v>2342</v>
      </c>
      <c r="G402" s="382" t="s">
        <v>2349</v>
      </c>
      <c r="H402" s="383">
        <v>0</v>
      </c>
      <c r="I402" s="1046">
        <v>127.07</v>
      </c>
      <c r="J402" s="1047"/>
      <c r="K402" s="383">
        <v>55.96</v>
      </c>
      <c r="L402" s="383">
        <v>-71.11</v>
      </c>
    </row>
    <row r="403" spans="2:12">
      <c r="B403" s="1050"/>
      <c r="C403" s="1050"/>
      <c r="D403" s="382" t="s">
        <v>2443</v>
      </c>
      <c r="E403" s="382" t="s">
        <v>1996</v>
      </c>
      <c r="F403" s="382" t="s">
        <v>2342</v>
      </c>
      <c r="G403" s="382" t="s">
        <v>2351</v>
      </c>
      <c r="H403" s="383">
        <v>0</v>
      </c>
      <c r="I403" s="1046">
        <v>6.04</v>
      </c>
      <c r="J403" s="1047"/>
      <c r="K403" s="383">
        <v>6.04</v>
      </c>
      <c r="L403" s="383">
        <v>0</v>
      </c>
    </row>
    <row r="404" spans="2:12">
      <c r="B404" s="1050"/>
      <c r="C404" s="1050"/>
      <c r="D404" s="382" t="s">
        <v>2443</v>
      </c>
      <c r="E404" s="382" t="s">
        <v>1996</v>
      </c>
      <c r="F404" s="382" t="s">
        <v>2342</v>
      </c>
      <c r="G404" s="382" t="s">
        <v>2352</v>
      </c>
      <c r="H404" s="383">
        <v>-28.3</v>
      </c>
      <c r="I404" s="1046">
        <v>77.510000000000005</v>
      </c>
      <c r="J404" s="1047"/>
      <c r="K404" s="383">
        <v>96.46</v>
      </c>
      <c r="L404" s="383">
        <v>-9.35</v>
      </c>
    </row>
    <row r="405" spans="2:12">
      <c r="B405" s="1050"/>
      <c r="C405" s="1050"/>
      <c r="D405" s="382" t="s">
        <v>2443</v>
      </c>
      <c r="E405" s="382" t="s">
        <v>1996</v>
      </c>
      <c r="F405" s="382" t="s">
        <v>2342</v>
      </c>
      <c r="G405" s="382" t="s">
        <v>2353</v>
      </c>
      <c r="H405" s="383">
        <v>0</v>
      </c>
      <c r="I405" s="1046">
        <v>61.57</v>
      </c>
      <c r="J405" s="1047"/>
      <c r="K405" s="383">
        <v>43.23</v>
      </c>
      <c r="L405" s="383">
        <v>-18.34</v>
      </c>
    </row>
    <row r="406" spans="2:12">
      <c r="B406" s="1050"/>
      <c r="C406" s="1050"/>
      <c r="D406" s="382" t="s">
        <v>2444</v>
      </c>
      <c r="E406" s="382" t="s">
        <v>1997</v>
      </c>
      <c r="F406" s="382" t="s">
        <v>2342</v>
      </c>
      <c r="G406" s="382" t="s">
        <v>2343</v>
      </c>
      <c r="H406" s="383">
        <v>-22.69</v>
      </c>
      <c r="I406" s="1046">
        <v>105.28</v>
      </c>
      <c r="J406" s="1047"/>
      <c r="K406" s="383">
        <v>118.49</v>
      </c>
      <c r="L406" s="383">
        <v>-9.48</v>
      </c>
    </row>
    <row r="407" spans="2:12">
      <c r="B407" s="1050"/>
      <c r="C407" s="1050"/>
      <c r="D407" s="382" t="s">
        <v>2444</v>
      </c>
      <c r="E407" s="382" t="s">
        <v>1997</v>
      </c>
      <c r="F407" s="382" t="s">
        <v>2342</v>
      </c>
      <c r="G407" s="382" t="s">
        <v>2344</v>
      </c>
      <c r="H407" s="383">
        <v>0</v>
      </c>
      <c r="I407" s="1046">
        <v>14.79</v>
      </c>
      <c r="J407" s="1047"/>
      <c r="K407" s="383">
        <v>0</v>
      </c>
      <c r="L407" s="383">
        <v>-14.79</v>
      </c>
    </row>
    <row r="408" spans="2:12">
      <c r="B408" s="1050"/>
      <c r="C408" s="1050"/>
      <c r="D408" s="382" t="s">
        <v>2444</v>
      </c>
      <c r="E408" s="382" t="s">
        <v>1997</v>
      </c>
      <c r="F408" s="382" t="s">
        <v>2342</v>
      </c>
      <c r="G408" s="382" t="s">
        <v>2345</v>
      </c>
      <c r="H408" s="383">
        <v>-77.819999999999993</v>
      </c>
      <c r="I408" s="1046">
        <v>160.6</v>
      </c>
      <c r="J408" s="1047"/>
      <c r="K408" s="383">
        <v>135.86000000000001</v>
      </c>
      <c r="L408" s="383">
        <v>-102.56</v>
      </c>
    </row>
    <row r="409" spans="2:12">
      <c r="B409" s="1050"/>
      <c r="C409" s="1050"/>
      <c r="D409" s="382" t="s">
        <v>2444</v>
      </c>
      <c r="E409" s="382" t="s">
        <v>1997</v>
      </c>
      <c r="F409" s="382" t="s">
        <v>2342</v>
      </c>
      <c r="G409" s="382" t="s">
        <v>2346</v>
      </c>
      <c r="H409" s="383">
        <v>0</v>
      </c>
      <c r="I409" s="1046">
        <v>0</v>
      </c>
      <c r="J409" s="1047"/>
      <c r="K409" s="383">
        <v>0</v>
      </c>
      <c r="L409" s="383">
        <v>0</v>
      </c>
    </row>
    <row r="410" spans="2:12">
      <c r="B410" s="1050"/>
      <c r="C410" s="1050"/>
      <c r="D410" s="382" t="s">
        <v>2444</v>
      </c>
      <c r="E410" s="382" t="s">
        <v>1997</v>
      </c>
      <c r="F410" s="382" t="s">
        <v>2342</v>
      </c>
      <c r="G410" s="382" t="s">
        <v>2347</v>
      </c>
      <c r="H410" s="383">
        <v>0</v>
      </c>
      <c r="I410" s="1046">
        <v>4.7</v>
      </c>
      <c r="J410" s="1047"/>
      <c r="K410" s="383">
        <v>0</v>
      </c>
      <c r="L410" s="383">
        <v>-4.7</v>
      </c>
    </row>
    <row r="411" spans="2:12">
      <c r="B411" s="1050"/>
      <c r="C411" s="1050"/>
      <c r="D411" s="382" t="s">
        <v>2444</v>
      </c>
      <c r="E411" s="382" t="s">
        <v>1997</v>
      </c>
      <c r="F411" s="382" t="s">
        <v>2342</v>
      </c>
      <c r="G411" s="382" t="s">
        <v>2348</v>
      </c>
      <c r="H411" s="383">
        <v>-4.63</v>
      </c>
      <c r="I411" s="1046">
        <v>26.98</v>
      </c>
      <c r="J411" s="1047"/>
      <c r="K411" s="383">
        <v>31.61</v>
      </c>
      <c r="L411" s="383">
        <v>0</v>
      </c>
    </row>
    <row r="412" spans="2:12">
      <c r="B412" s="1050"/>
      <c r="C412" s="1050"/>
      <c r="D412" s="382" t="s">
        <v>2444</v>
      </c>
      <c r="E412" s="382" t="s">
        <v>1997</v>
      </c>
      <c r="F412" s="382" t="s">
        <v>2342</v>
      </c>
      <c r="G412" s="382" t="s">
        <v>2349</v>
      </c>
      <c r="H412" s="383">
        <v>0</v>
      </c>
      <c r="I412" s="1046">
        <v>0</v>
      </c>
      <c r="J412" s="1047"/>
      <c r="K412" s="383">
        <v>0</v>
      </c>
      <c r="L412" s="383">
        <v>0</v>
      </c>
    </row>
    <row r="413" spans="2:12">
      <c r="B413" s="1050"/>
      <c r="C413" s="1050"/>
      <c r="D413" s="382" t="s">
        <v>2444</v>
      </c>
      <c r="E413" s="382" t="s">
        <v>1997</v>
      </c>
      <c r="F413" s="382" t="s">
        <v>2342</v>
      </c>
      <c r="G413" s="382" t="s">
        <v>2350</v>
      </c>
      <c r="H413" s="383">
        <v>-30.4</v>
      </c>
      <c r="I413" s="1046">
        <v>35.619999999999997</v>
      </c>
      <c r="J413" s="1047"/>
      <c r="K413" s="383">
        <v>66.02</v>
      </c>
      <c r="L413" s="383">
        <v>0</v>
      </c>
    </row>
    <row r="414" spans="2:12">
      <c r="B414" s="1050"/>
      <c r="C414" s="1050"/>
      <c r="D414" s="382" t="s">
        <v>2444</v>
      </c>
      <c r="E414" s="382" t="s">
        <v>1997</v>
      </c>
      <c r="F414" s="382" t="s">
        <v>2342</v>
      </c>
      <c r="G414" s="382" t="s">
        <v>2351</v>
      </c>
      <c r="H414" s="383">
        <v>-52.71</v>
      </c>
      <c r="I414" s="1046">
        <v>279.62</v>
      </c>
      <c r="J414" s="1047"/>
      <c r="K414" s="383">
        <v>199.14</v>
      </c>
      <c r="L414" s="383">
        <v>-133.19</v>
      </c>
    </row>
    <row r="415" spans="2:12">
      <c r="B415" s="1050"/>
      <c r="C415" s="1050"/>
      <c r="D415" s="382" t="s">
        <v>2444</v>
      </c>
      <c r="E415" s="382" t="s">
        <v>1997</v>
      </c>
      <c r="F415" s="382" t="s">
        <v>2342</v>
      </c>
      <c r="G415" s="382" t="s">
        <v>405</v>
      </c>
      <c r="H415" s="383">
        <v>-84.21</v>
      </c>
      <c r="I415" s="1046">
        <v>111.61</v>
      </c>
      <c r="J415" s="1047"/>
      <c r="K415" s="383">
        <v>157.72</v>
      </c>
      <c r="L415" s="383">
        <v>-38.1</v>
      </c>
    </row>
    <row r="416" spans="2:12">
      <c r="B416" s="1050"/>
      <c r="C416" s="1050"/>
      <c r="D416" s="382" t="s">
        <v>2445</v>
      </c>
      <c r="E416" s="382" t="s">
        <v>1998</v>
      </c>
      <c r="F416" s="382" t="s">
        <v>2342</v>
      </c>
      <c r="G416" s="382" t="s">
        <v>2343</v>
      </c>
      <c r="H416" s="383">
        <v>-793.64</v>
      </c>
      <c r="I416" s="1046">
        <v>1603.2</v>
      </c>
      <c r="J416" s="1047"/>
      <c r="K416" s="383">
        <v>1903.68</v>
      </c>
      <c r="L416" s="383">
        <v>-493.16</v>
      </c>
    </row>
    <row r="417" spans="2:12">
      <c r="B417" s="1050"/>
      <c r="C417" s="1050"/>
      <c r="D417" s="382" t="s">
        <v>2445</v>
      </c>
      <c r="E417" s="382" t="s">
        <v>1998</v>
      </c>
      <c r="F417" s="382" t="s">
        <v>2342</v>
      </c>
      <c r="G417" s="382" t="s">
        <v>2344</v>
      </c>
      <c r="H417" s="383">
        <v>-37.4</v>
      </c>
      <c r="I417" s="1046">
        <v>36.69</v>
      </c>
      <c r="J417" s="1047"/>
      <c r="K417" s="383">
        <v>54.17</v>
      </c>
      <c r="L417" s="383">
        <v>-19.920000000000002</v>
      </c>
    </row>
    <row r="418" spans="2:12">
      <c r="B418" s="1050"/>
      <c r="C418" s="1050"/>
      <c r="D418" s="382" t="s">
        <v>2445</v>
      </c>
      <c r="E418" s="382" t="s">
        <v>1998</v>
      </c>
      <c r="F418" s="382" t="s">
        <v>2342</v>
      </c>
      <c r="G418" s="382" t="s">
        <v>2345</v>
      </c>
      <c r="H418" s="383">
        <v>-80.7</v>
      </c>
      <c r="I418" s="1046">
        <v>203.68</v>
      </c>
      <c r="J418" s="1047"/>
      <c r="K418" s="383">
        <v>245.65</v>
      </c>
      <c r="L418" s="383">
        <v>-38.729999999999997</v>
      </c>
    </row>
    <row r="419" spans="2:12">
      <c r="B419" s="1050"/>
      <c r="C419" s="1050"/>
      <c r="D419" s="382" t="s">
        <v>2445</v>
      </c>
      <c r="E419" s="382" t="s">
        <v>1998</v>
      </c>
      <c r="F419" s="382" t="s">
        <v>2342</v>
      </c>
      <c r="G419" s="382" t="s">
        <v>2346</v>
      </c>
      <c r="H419" s="383">
        <v>0</v>
      </c>
      <c r="I419" s="1046">
        <v>84.03</v>
      </c>
      <c r="J419" s="1047"/>
      <c r="K419" s="383">
        <v>55.96</v>
      </c>
      <c r="L419" s="383">
        <v>-28.07</v>
      </c>
    </row>
    <row r="420" spans="2:12">
      <c r="B420" s="1050"/>
      <c r="C420" s="1050"/>
      <c r="D420" s="382" t="s">
        <v>2445</v>
      </c>
      <c r="E420" s="382" t="s">
        <v>1998</v>
      </c>
      <c r="F420" s="382" t="s">
        <v>2342</v>
      </c>
      <c r="G420" s="382" t="s">
        <v>2347</v>
      </c>
      <c r="H420" s="383">
        <v>-30.25</v>
      </c>
      <c r="I420" s="1046">
        <v>22.05</v>
      </c>
      <c r="J420" s="1047"/>
      <c r="K420" s="383">
        <v>34.76</v>
      </c>
      <c r="L420" s="383">
        <v>-17.54</v>
      </c>
    </row>
    <row r="421" spans="2:12">
      <c r="B421" s="1050"/>
      <c r="C421" s="1050"/>
      <c r="D421" s="382" t="s">
        <v>2445</v>
      </c>
      <c r="E421" s="382" t="s">
        <v>1998</v>
      </c>
      <c r="F421" s="382" t="s">
        <v>2342</v>
      </c>
      <c r="G421" s="382" t="s">
        <v>2348</v>
      </c>
      <c r="H421" s="383">
        <v>0</v>
      </c>
      <c r="I421" s="1046">
        <v>256.86</v>
      </c>
      <c r="J421" s="1047"/>
      <c r="K421" s="383">
        <v>202.15</v>
      </c>
      <c r="L421" s="383">
        <v>-54.71</v>
      </c>
    </row>
    <row r="422" spans="2:12">
      <c r="B422" s="1050"/>
      <c r="C422" s="1050"/>
      <c r="D422" s="382" t="s">
        <v>2445</v>
      </c>
      <c r="E422" s="382" t="s">
        <v>1998</v>
      </c>
      <c r="F422" s="382" t="s">
        <v>2342</v>
      </c>
      <c r="G422" s="382" t="s">
        <v>2349</v>
      </c>
      <c r="H422" s="383">
        <v>-679.89</v>
      </c>
      <c r="I422" s="1046">
        <v>1291.97</v>
      </c>
      <c r="J422" s="1047"/>
      <c r="K422" s="383">
        <v>1259.7</v>
      </c>
      <c r="L422" s="383">
        <v>-712.16</v>
      </c>
    </row>
    <row r="423" spans="2:12">
      <c r="B423" s="1050"/>
      <c r="C423" s="1050"/>
      <c r="D423" s="382" t="s">
        <v>2445</v>
      </c>
      <c r="E423" s="382" t="s">
        <v>1998</v>
      </c>
      <c r="F423" s="382" t="s">
        <v>2342</v>
      </c>
      <c r="G423" s="382" t="s">
        <v>2350</v>
      </c>
      <c r="H423" s="383">
        <v>-54.08</v>
      </c>
      <c r="I423" s="1046">
        <v>59.44</v>
      </c>
      <c r="J423" s="1047"/>
      <c r="K423" s="383">
        <v>101.66</v>
      </c>
      <c r="L423" s="383">
        <v>-11.86</v>
      </c>
    </row>
    <row r="424" spans="2:12">
      <c r="B424" s="1050"/>
      <c r="C424" s="1050"/>
      <c r="D424" s="382" t="s">
        <v>2445</v>
      </c>
      <c r="E424" s="382" t="s">
        <v>1998</v>
      </c>
      <c r="F424" s="382" t="s">
        <v>2342</v>
      </c>
      <c r="G424" s="382" t="s">
        <v>2352</v>
      </c>
      <c r="H424" s="383">
        <v>-200.04</v>
      </c>
      <c r="I424" s="1046">
        <v>223.36</v>
      </c>
      <c r="J424" s="1047"/>
      <c r="K424" s="383">
        <v>256.05</v>
      </c>
      <c r="L424" s="383">
        <v>-167.35</v>
      </c>
    </row>
    <row r="425" spans="2:12">
      <c r="B425" s="1050"/>
      <c r="C425" s="1050"/>
      <c r="D425" s="382" t="s">
        <v>2445</v>
      </c>
      <c r="E425" s="382" t="s">
        <v>1998</v>
      </c>
      <c r="F425" s="382" t="s">
        <v>2342</v>
      </c>
      <c r="G425" s="382" t="s">
        <v>2353</v>
      </c>
      <c r="H425" s="383">
        <v>0</v>
      </c>
      <c r="I425" s="1046">
        <v>299.69</v>
      </c>
      <c r="J425" s="1047"/>
      <c r="K425" s="383">
        <v>193.17</v>
      </c>
      <c r="L425" s="383">
        <v>-106.52</v>
      </c>
    </row>
    <row r="426" spans="2:12">
      <c r="B426" s="1050"/>
      <c r="C426" s="1050"/>
      <c r="D426" s="382" t="s">
        <v>2445</v>
      </c>
      <c r="E426" s="382" t="s">
        <v>1998</v>
      </c>
      <c r="F426" s="382" t="s">
        <v>2342</v>
      </c>
      <c r="G426" s="382" t="s">
        <v>405</v>
      </c>
      <c r="H426" s="383">
        <v>-153.27000000000001</v>
      </c>
      <c r="I426" s="1046">
        <v>263.39999999999998</v>
      </c>
      <c r="J426" s="1047"/>
      <c r="K426" s="383">
        <v>301.24</v>
      </c>
      <c r="L426" s="383">
        <v>-115.43</v>
      </c>
    </row>
    <row r="427" spans="2:12">
      <c r="B427" s="1050"/>
      <c r="C427" s="1050"/>
      <c r="D427" s="382" t="s">
        <v>2446</v>
      </c>
      <c r="E427" s="382" t="s">
        <v>1999</v>
      </c>
      <c r="F427" s="382" t="s">
        <v>2342</v>
      </c>
      <c r="G427" s="382" t="s">
        <v>2343</v>
      </c>
      <c r="H427" s="383">
        <v>-1025.24</v>
      </c>
      <c r="I427" s="1046">
        <v>1395.3</v>
      </c>
      <c r="J427" s="1047"/>
      <c r="K427" s="383">
        <v>1530.19</v>
      </c>
      <c r="L427" s="383">
        <v>-890.35</v>
      </c>
    </row>
    <row r="428" spans="2:12">
      <c r="B428" s="1050"/>
      <c r="C428" s="1050"/>
      <c r="D428" s="382" t="s">
        <v>2446</v>
      </c>
      <c r="E428" s="382" t="s">
        <v>1999</v>
      </c>
      <c r="F428" s="382" t="s">
        <v>2342</v>
      </c>
      <c r="G428" s="382" t="s">
        <v>2344</v>
      </c>
      <c r="H428" s="383">
        <v>-84.85</v>
      </c>
      <c r="I428" s="1046">
        <v>23.75</v>
      </c>
      <c r="J428" s="1047"/>
      <c r="K428" s="383">
        <v>108.6</v>
      </c>
      <c r="L428" s="383">
        <v>0</v>
      </c>
    </row>
    <row r="429" spans="2:12">
      <c r="B429" s="1050"/>
      <c r="C429" s="1050"/>
      <c r="D429" s="382" t="s">
        <v>2446</v>
      </c>
      <c r="E429" s="382" t="s">
        <v>1999</v>
      </c>
      <c r="F429" s="382" t="s">
        <v>2342</v>
      </c>
      <c r="G429" s="382" t="s">
        <v>2345</v>
      </c>
      <c r="H429" s="383">
        <v>0</v>
      </c>
      <c r="I429" s="1046">
        <v>437.44</v>
      </c>
      <c r="J429" s="1047"/>
      <c r="K429" s="383">
        <v>0</v>
      </c>
      <c r="L429" s="383">
        <v>-437.44</v>
      </c>
    </row>
    <row r="430" spans="2:12">
      <c r="B430" s="1050"/>
      <c r="C430" s="1050"/>
      <c r="D430" s="382" t="s">
        <v>2446</v>
      </c>
      <c r="E430" s="382" t="s">
        <v>1999</v>
      </c>
      <c r="F430" s="382" t="s">
        <v>2342</v>
      </c>
      <c r="G430" s="382" t="s">
        <v>2348</v>
      </c>
      <c r="H430" s="383">
        <v>0</v>
      </c>
      <c r="I430" s="1046">
        <v>121.68</v>
      </c>
      <c r="J430" s="1047"/>
      <c r="K430" s="383">
        <v>121.68</v>
      </c>
      <c r="L430" s="383">
        <v>0</v>
      </c>
    </row>
    <row r="431" spans="2:12">
      <c r="B431" s="1050"/>
      <c r="C431" s="1050"/>
      <c r="D431" s="382" t="s">
        <v>2446</v>
      </c>
      <c r="E431" s="382" t="s">
        <v>1999</v>
      </c>
      <c r="F431" s="382" t="s">
        <v>2342</v>
      </c>
      <c r="G431" s="382" t="s">
        <v>2349</v>
      </c>
      <c r="H431" s="383">
        <v>-386.21</v>
      </c>
      <c r="I431" s="1046">
        <v>726.6</v>
      </c>
      <c r="J431" s="1047"/>
      <c r="K431" s="383">
        <v>840.52</v>
      </c>
      <c r="L431" s="383">
        <v>-272.29000000000002</v>
      </c>
    </row>
    <row r="432" spans="2:12">
      <c r="B432" s="1050"/>
      <c r="C432" s="1050"/>
      <c r="D432" s="382" t="s">
        <v>2446</v>
      </c>
      <c r="E432" s="382" t="s">
        <v>1999</v>
      </c>
      <c r="F432" s="382" t="s">
        <v>2342</v>
      </c>
      <c r="G432" s="382" t="s">
        <v>2350</v>
      </c>
      <c r="H432" s="383">
        <v>-197.99</v>
      </c>
      <c r="I432" s="1046">
        <v>178.53</v>
      </c>
      <c r="J432" s="1047"/>
      <c r="K432" s="383">
        <v>293.11</v>
      </c>
      <c r="L432" s="383">
        <v>-83.41</v>
      </c>
    </row>
    <row r="433" spans="2:12">
      <c r="B433" s="1050"/>
      <c r="C433" s="1050"/>
      <c r="D433" s="382" t="s">
        <v>2446</v>
      </c>
      <c r="E433" s="382" t="s">
        <v>1999</v>
      </c>
      <c r="F433" s="382" t="s">
        <v>2342</v>
      </c>
      <c r="G433" s="382" t="s">
        <v>2351</v>
      </c>
      <c r="H433" s="383">
        <v>0</v>
      </c>
      <c r="I433" s="1046">
        <v>258.19</v>
      </c>
      <c r="J433" s="1047"/>
      <c r="K433" s="383">
        <v>0</v>
      </c>
      <c r="L433" s="383">
        <v>-258.19</v>
      </c>
    </row>
    <row r="434" spans="2:12">
      <c r="B434" s="1050"/>
      <c r="C434" s="1050"/>
      <c r="D434" s="382" t="s">
        <v>2446</v>
      </c>
      <c r="E434" s="382" t="s">
        <v>1999</v>
      </c>
      <c r="F434" s="382" t="s">
        <v>2342</v>
      </c>
      <c r="G434" s="382" t="s">
        <v>2352</v>
      </c>
      <c r="H434" s="383">
        <v>0</v>
      </c>
      <c r="I434" s="1046">
        <v>990.44</v>
      </c>
      <c r="J434" s="1047"/>
      <c r="K434" s="383">
        <v>558.5</v>
      </c>
      <c r="L434" s="383">
        <v>-431.94</v>
      </c>
    </row>
    <row r="435" spans="2:12">
      <c r="B435" s="1050"/>
      <c r="C435" s="1050"/>
      <c r="D435" s="382" t="s">
        <v>2446</v>
      </c>
      <c r="E435" s="382" t="s">
        <v>1999</v>
      </c>
      <c r="F435" s="382" t="s">
        <v>2342</v>
      </c>
      <c r="G435" s="382" t="s">
        <v>2353</v>
      </c>
      <c r="H435" s="383">
        <v>0</v>
      </c>
      <c r="I435" s="1046">
        <v>0</v>
      </c>
      <c r="J435" s="1047"/>
      <c r="K435" s="383">
        <v>0</v>
      </c>
      <c r="L435" s="383">
        <v>0</v>
      </c>
    </row>
    <row r="436" spans="2:12">
      <c r="B436" s="1050"/>
      <c r="C436" s="1050"/>
      <c r="D436" s="382" t="s">
        <v>2447</v>
      </c>
      <c r="E436" s="382" t="s">
        <v>2000</v>
      </c>
      <c r="F436" s="382" t="s">
        <v>2342</v>
      </c>
      <c r="G436" s="382" t="s">
        <v>2355</v>
      </c>
      <c r="H436" s="383">
        <v>-354.67</v>
      </c>
      <c r="I436" s="1046">
        <v>363.77</v>
      </c>
      <c r="J436" s="1047"/>
      <c r="K436" s="383">
        <v>378.52</v>
      </c>
      <c r="L436" s="383">
        <v>-339.92</v>
      </c>
    </row>
    <row r="437" spans="2:12">
      <c r="B437" s="1050"/>
      <c r="C437" s="1050"/>
      <c r="D437" s="382" t="s">
        <v>2448</v>
      </c>
      <c r="E437" s="382" t="s">
        <v>2001</v>
      </c>
      <c r="F437" s="382" t="s">
        <v>2342</v>
      </c>
      <c r="G437" s="382" t="s">
        <v>2343</v>
      </c>
      <c r="H437" s="383">
        <v>0</v>
      </c>
      <c r="I437" s="1046">
        <v>1043.1199999999999</v>
      </c>
      <c r="J437" s="1047"/>
      <c r="K437" s="383">
        <v>0</v>
      </c>
      <c r="L437" s="383">
        <v>-1043.1199999999999</v>
      </c>
    </row>
    <row r="438" spans="2:12">
      <c r="B438" s="1050"/>
      <c r="C438" s="1051"/>
      <c r="D438" s="359" t="s">
        <v>12</v>
      </c>
      <c r="E438" s="359" t="s">
        <v>111</v>
      </c>
      <c r="F438" s="359" t="s">
        <v>111</v>
      </c>
      <c r="G438" s="359" t="s">
        <v>111</v>
      </c>
      <c r="H438" s="384">
        <v>-4453.34</v>
      </c>
      <c r="I438" s="1048">
        <v>11648.73</v>
      </c>
      <c r="J438" s="1047"/>
      <c r="K438" s="384">
        <v>9774.67</v>
      </c>
      <c r="L438" s="384">
        <v>-6327.4</v>
      </c>
    </row>
    <row r="439" spans="2:12">
      <c r="B439" s="1050"/>
      <c r="C439" s="1049" t="s">
        <v>2449</v>
      </c>
      <c r="D439" s="382" t="s">
        <v>2450</v>
      </c>
      <c r="E439" s="382" t="s">
        <v>2002</v>
      </c>
      <c r="F439" s="382" t="s">
        <v>2342</v>
      </c>
      <c r="G439" s="382" t="s">
        <v>2343</v>
      </c>
      <c r="H439" s="383">
        <v>-2878.23</v>
      </c>
      <c r="I439" s="1046">
        <v>1014</v>
      </c>
      <c r="J439" s="1047"/>
      <c r="K439" s="383">
        <v>702.79</v>
      </c>
      <c r="L439" s="383">
        <v>-3189.44</v>
      </c>
    </row>
    <row r="440" spans="2:12">
      <c r="B440" s="1050"/>
      <c r="C440" s="1050"/>
      <c r="D440" s="382" t="s">
        <v>2450</v>
      </c>
      <c r="E440" s="382" t="s">
        <v>2002</v>
      </c>
      <c r="F440" s="382" t="s">
        <v>2342</v>
      </c>
      <c r="G440" s="382" t="s">
        <v>2344</v>
      </c>
      <c r="H440" s="383">
        <v>-344.07</v>
      </c>
      <c r="I440" s="1046">
        <v>571.38</v>
      </c>
      <c r="J440" s="1047"/>
      <c r="K440" s="383">
        <v>20.43</v>
      </c>
      <c r="L440" s="383">
        <v>-895.02</v>
      </c>
    </row>
    <row r="441" spans="2:12">
      <c r="B441" s="1050"/>
      <c r="C441" s="1050"/>
      <c r="D441" s="382" t="s">
        <v>2450</v>
      </c>
      <c r="E441" s="382" t="s">
        <v>2002</v>
      </c>
      <c r="F441" s="382" t="s">
        <v>2342</v>
      </c>
      <c r="G441" s="382" t="s">
        <v>2345</v>
      </c>
      <c r="H441" s="383">
        <v>-454.3</v>
      </c>
      <c r="I441" s="1046">
        <v>753.52</v>
      </c>
      <c r="J441" s="1047"/>
      <c r="K441" s="383">
        <v>105.99</v>
      </c>
      <c r="L441" s="383">
        <v>-1101.83</v>
      </c>
    </row>
    <row r="442" spans="2:12">
      <c r="B442" s="1050"/>
      <c r="C442" s="1050"/>
      <c r="D442" s="382" t="s">
        <v>2450</v>
      </c>
      <c r="E442" s="382" t="s">
        <v>2002</v>
      </c>
      <c r="F442" s="382" t="s">
        <v>2342</v>
      </c>
      <c r="G442" s="382" t="s">
        <v>2346</v>
      </c>
      <c r="H442" s="383">
        <v>-257.25</v>
      </c>
      <c r="I442" s="1046">
        <v>166.84</v>
      </c>
      <c r="J442" s="1047"/>
      <c r="K442" s="383">
        <v>74.239999999999995</v>
      </c>
      <c r="L442" s="383">
        <v>-349.85</v>
      </c>
    </row>
    <row r="443" spans="2:12">
      <c r="B443" s="1050"/>
      <c r="C443" s="1050"/>
      <c r="D443" s="382" t="s">
        <v>2450</v>
      </c>
      <c r="E443" s="382" t="s">
        <v>2002</v>
      </c>
      <c r="F443" s="382" t="s">
        <v>2342</v>
      </c>
      <c r="G443" s="382" t="s">
        <v>2347</v>
      </c>
      <c r="H443" s="383">
        <v>-1303.6400000000001</v>
      </c>
      <c r="I443" s="1046">
        <v>2173.52</v>
      </c>
      <c r="J443" s="1047"/>
      <c r="K443" s="383">
        <v>264.55</v>
      </c>
      <c r="L443" s="383">
        <v>-3212.61</v>
      </c>
    </row>
    <row r="444" spans="2:12">
      <c r="B444" s="1050"/>
      <c r="C444" s="1050"/>
      <c r="D444" s="382" t="s">
        <v>2450</v>
      </c>
      <c r="E444" s="382" t="s">
        <v>2002</v>
      </c>
      <c r="F444" s="382" t="s">
        <v>2342</v>
      </c>
      <c r="G444" s="382" t="s">
        <v>2348</v>
      </c>
      <c r="H444" s="383">
        <v>-812.95</v>
      </c>
      <c r="I444" s="1046">
        <v>588.42999999999995</v>
      </c>
      <c r="J444" s="1047"/>
      <c r="K444" s="383">
        <v>617.83000000000004</v>
      </c>
      <c r="L444" s="383">
        <v>-783.55</v>
      </c>
    </row>
    <row r="445" spans="2:12">
      <c r="B445" s="1050"/>
      <c r="C445" s="1050"/>
      <c r="D445" s="382" t="s">
        <v>2450</v>
      </c>
      <c r="E445" s="382" t="s">
        <v>2002</v>
      </c>
      <c r="F445" s="382" t="s">
        <v>2342</v>
      </c>
      <c r="G445" s="382" t="s">
        <v>2349</v>
      </c>
      <c r="H445" s="383">
        <v>-3896.66</v>
      </c>
      <c r="I445" s="1046">
        <v>2680.56</v>
      </c>
      <c r="J445" s="1047"/>
      <c r="K445" s="383">
        <v>998.23</v>
      </c>
      <c r="L445" s="383">
        <v>-5578.99</v>
      </c>
    </row>
    <row r="446" spans="2:12">
      <c r="B446" s="1050"/>
      <c r="C446" s="1050"/>
      <c r="D446" s="382" t="s">
        <v>2450</v>
      </c>
      <c r="E446" s="382" t="s">
        <v>2002</v>
      </c>
      <c r="F446" s="382" t="s">
        <v>2342</v>
      </c>
      <c r="G446" s="382" t="s">
        <v>2350</v>
      </c>
      <c r="H446" s="383">
        <v>-2056.11</v>
      </c>
      <c r="I446" s="1046">
        <v>48.71</v>
      </c>
      <c r="J446" s="1047"/>
      <c r="K446" s="383">
        <v>1258.3800000000001</v>
      </c>
      <c r="L446" s="383">
        <v>-846.44</v>
      </c>
    </row>
    <row r="447" spans="2:12">
      <c r="B447" s="1050"/>
      <c r="C447" s="1050"/>
      <c r="D447" s="382" t="s">
        <v>2450</v>
      </c>
      <c r="E447" s="382" t="s">
        <v>2002</v>
      </c>
      <c r="F447" s="382" t="s">
        <v>2342</v>
      </c>
      <c r="G447" s="382" t="s">
        <v>2351</v>
      </c>
      <c r="H447" s="383">
        <v>-7407.48</v>
      </c>
      <c r="I447" s="1046">
        <v>586.53</v>
      </c>
      <c r="J447" s="1047"/>
      <c r="K447" s="383">
        <v>1216.47</v>
      </c>
      <c r="L447" s="383">
        <v>-6777.54</v>
      </c>
    </row>
    <row r="448" spans="2:12">
      <c r="B448" s="1050"/>
      <c r="C448" s="1050"/>
      <c r="D448" s="382" t="s">
        <v>2450</v>
      </c>
      <c r="E448" s="382" t="s">
        <v>2002</v>
      </c>
      <c r="F448" s="382" t="s">
        <v>2342</v>
      </c>
      <c r="G448" s="382" t="s">
        <v>2352</v>
      </c>
      <c r="H448" s="383">
        <v>-862.95</v>
      </c>
      <c r="I448" s="1046">
        <v>1340.48</v>
      </c>
      <c r="J448" s="1047"/>
      <c r="K448" s="383">
        <v>710.51</v>
      </c>
      <c r="L448" s="383">
        <v>-1492.92</v>
      </c>
    </row>
    <row r="449" spans="2:12">
      <c r="B449" s="1050"/>
      <c r="C449" s="1050"/>
      <c r="D449" s="382" t="s">
        <v>2450</v>
      </c>
      <c r="E449" s="382" t="s">
        <v>2002</v>
      </c>
      <c r="F449" s="382" t="s">
        <v>2342</v>
      </c>
      <c r="G449" s="382" t="s">
        <v>2353</v>
      </c>
      <c r="H449" s="383">
        <v>-516.91</v>
      </c>
      <c r="I449" s="1046">
        <v>638.05999999999995</v>
      </c>
      <c r="J449" s="1047"/>
      <c r="K449" s="383">
        <v>195.98</v>
      </c>
      <c r="L449" s="383">
        <v>-958.99</v>
      </c>
    </row>
    <row r="450" spans="2:12">
      <c r="B450" s="1050"/>
      <c r="C450" s="1050"/>
      <c r="D450" s="382" t="s">
        <v>2450</v>
      </c>
      <c r="E450" s="382" t="s">
        <v>2002</v>
      </c>
      <c r="F450" s="382" t="s">
        <v>2342</v>
      </c>
      <c r="G450" s="382" t="s">
        <v>405</v>
      </c>
      <c r="H450" s="383">
        <v>0</v>
      </c>
      <c r="I450" s="1046">
        <v>825.74</v>
      </c>
      <c r="J450" s="1047"/>
      <c r="K450" s="383">
        <v>65.180000000000007</v>
      </c>
      <c r="L450" s="383">
        <v>-760.56</v>
      </c>
    </row>
    <row r="451" spans="2:12">
      <c r="B451" s="1050"/>
      <c r="C451" s="1050"/>
      <c r="D451" s="382" t="s">
        <v>2451</v>
      </c>
      <c r="E451" s="382" t="s">
        <v>2003</v>
      </c>
      <c r="F451" s="382" t="s">
        <v>2342</v>
      </c>
      <c r="G451" s="382" t="s">
        <v>2343</v>
      </c>
      <c r="H451" s="383">
        <v>-2123.1799999999998</v>
      </c>
      <c r="I451" s="1046">
        <v>627</v>
      </c>
      <c r="J451" s="1047"/>
      <c r="K451" s="383">
        <v>874.08</v>
      </c>
      <c r="L451" s="383">
        <v>-1876.1</v>
      </c>
    </row>
    <row r="452" spans="2:12">
      <c r="B452" s="1050"/>
      <c r="C452" s="1050"/>
      <c r="D452" s="382" t="s">
        <v>2451</v>
      </c>
      <c r="E452" s="382" t="s">
        <v>2003</v>
      </c>
      <c r="F452" s="382" t="s">
        <v>2342</v>
      </c>
      <c r="G452" s="382" t="s">
        <v>2344</v>
      </c>
      <c r="H452" s="383">
        <v>-1689.69</v>
      </c>
      <c r="I452" s="1046">
        <v>333.71</v>
      </c>
      <c r="J452" s="1047"/>
      <c r="K452" s="383">
        <v>0</v>
      </c>
      <c r="L452" s="383">
        <v>-2023.4</v>
      </c>
    </row>
    <row r="453" spans="2:12">
      <c r="B453" s="1050"/>
      <c r="C453" s="1050"/>
      <c r="D453" s="382" t="s">
        <v>2451</v>
      </c>
      <c r="E453" s="382" t="s">
        <v>2003</v>
      </c>
      <c r="F453" s="382" t="s">
        <v>2342</v>
      </c>
      <c r="G453" s="382" t="s">
        <v>2345</v>
      </c>
      <c r="H453" s="383">
        <v>-1261.25</v>
      </c>
      <c r="I453" s="1046">
        <v>901.12</v>
      </c>
      <c r="J453" s="1047"/>
      <c r="K453" s="383">
        <v>59</v>
      </c>
      <c r="L453" s="383">
        <v>-2103.37</v>
      </c>
    </row>
    <row r="454" spans="2:12">
      <c r="B454" s="1050"/>
      <c r="C454" s="1050"/>
      <c r="D454" s="382" t="s">
        <v>2451</v>
      </c>
      <c r="E454" s="382" t="s">
        <v>2003</v>
      </c>
      <c r="F454" s="382" t="s">
        <v>2342</v>
      </c>
      <c r="G454" s="382" t="s">
        <v>2346</v>
      </c>
      <c r="H454" s="383">
        <v>-284.95999999999998</v>
      </c>
      <c r="I454" s="1046">
        <v>109.81</v>
      </c>
      <c r="J454" s="1047"/>
      <c r="K454" s="383">
        <v>0</v>
      </c>
      <c r="L454" s="383">
        <v>-394.77</v>
      </c>
    </row>
    <row r="455" spans="2:12">
      <c r="B455" s="1050"/>
      <c r="C455" s="1050"/>
      <c r="D455" s="382" t="s">
        <v>2451</v>
      </c>
      <c r="E455" s="382" t="s">
        <v>2003</v>
      </c>
      <c r="F455" s="382" t="s">
        <v>2342</v>
      </c>
      <c r="G455" s="382" t="s">
        <v>2347</v>
      </c>
      <c r="H455" s="383">
        <v>-1193</v>
      </c>
      <c r="I455" s="1046">
        <v>344.89</v>
      </c>
      <c r="J455" s="1047"/>
      <c r="K455" s="383">
        <v>356.53</v>
      </c>
      <c r="L455" s="383">
        <v>-1181.3599999999999</v>
      </c>
    </row>
    <row r="456" spans="2:12">
      <c r="B456" s="1050"/>
      <c r="C456" s="1050"/>
      <c r="D456" s="382" t="s">
        <v>2451</v>
      </c>
      <c r="E456" s="382" t="s">
        <v>2003</v>
      </c>
      <c r="F456" s="382" t="s">
        <v>2342</v>
      </c>
      <c r="G456" s="382" t="s">
        <v>2348</v>
      </c>
      <c r="H456" s="383">
        <v>-2047.61</v>
      </c>
      <c r="I456" s="1046">
        <v>520</v>
      </c>
      <c r="J456" s="1047"/>
      <c r="K456" s="383">
        <v>528.95000000000005</v>
      </c>
      <c r="L456" s="383">
        <v>-2038.66</v>
      </c>
    </row>
    <row r="457" spans="2:12">
      <c r="B457" s="1050"/>
      <c r="C457" s="1050"/>
      <c r="D457" s="382" t="s">
        <v>2451</v>
      </c>
      <c r="E457" s="382" t="s">
        <v>2003</v>
      </c>
      <c r="F457" s="382" t="s">
        <v>2342</v>
      </c>
      <c r="G457" s="382" t="s">
        <v>2349</v>
      </c>
      <c r="H457" s="383">
        <v>-2623.94</v>
      </c>
      <c r="I457" s="1046">
        <v>295.08999999999997</v>
      </c>
      <c r="J457" s="1047"/>
      <c r="K457" s="383">
        <v>145.36000000000001</v>
      </c>
      <c r="L457" s="383">
        <v>-2773.67</v>
      </c>
    </row>
    <row r="458" spans="2:12">
      <c r="B458" s="1050"/>
      <c r="C458" s="1050"/>
      <c r="D458" s="382" t="s">
        <v>2451</v>
      </c>
      <c r="E458" s="382" t="s">
        <v>2003</v>
      </c>
      <c r="F458" s="382" t="s">
        <v>2342</v>
      </c>
      <c r="G458" s="382" t="s">
        <v>2350</v>
      </c>
      <c r="H458" s="383">
        <v>-5108.55</v>
      </c>
      <c r="I458" s="1046">
        <v>585.79</v>
      </c>
      <c r="J458" s="1047"/>
      <c r="K458" s="383">
        <v>1033.18</v>
      </c>
      <c r="L458" s="383">
        <v>-4661.16</v>
      </c>
    </row>
    <row r="459" spans="2:12">
      <c r="B459" s="1050"/>
      <c r="C459" s="1050"/>
      <c r="D459" s="382" t="s">
        <v>2451</v>
      </c>
      <c r="E459" s="382" t="s">
        <v>2003</v>
      </c>
      <c r="F459" s="382" t="s">
        <v>2342</v>
      </c>
      <c r="G459" s="382" t="s">
        <v>2351</v>
      </c>
      <c r="H459" s="383">
        <v>-3331.21</v>
      </c>
      <c r="I459" s="1046">
        <v>1852.16</v>
      </c>
      <c r="J459" s="1047"/>
      <c r="K459" s="383">
        <v>1190.55</v>
      </c>
      <c r="L459" s="383">
        <v>-3992.82</v>
      </c>
    </row>
    <row r="460" spans="2:12">
      <c r="B460" s="1050"/>
      <c r="C460" s="1050"/>
      <c r="D460" s="382" t="s">
        <v>2451</v>
      </c>
      <c r="E460" s="382" t="s">
        <v>2003</v>
      </c>
      <c r="F460" s="382" t="s">
        <v>2342</v>
      </c>
      <c r="G460" s="382" t="s">
        <v>2352</v>
      </c>
      <c r="H460" s="383">
        <v>-84.2</v>
      </c>
      <c r="I460" s="1046">
        <v>63.6</v>
      </c>
      <c r="J460" s="1047"/>
      <c r="K460" s="383">
        <v>0</v>
      </c>
      <c r="L460" s="383">
        <v>-147.80000000000001</v>
      </c>
    </row>
    <row r="461" spans="2:12">
      <c r="B461" s="1050"/>
      <c r="C461" s="1050"/>
      <c r="D461" s="382" t="s">
        <v>2451</v>
      </c>
      <c r="E461" s="382" t="s">
        <v>2003</v>
      </c>
      <c r="F461" s="382" t="s">
        <v>2342</v>
      </c>
      <c r="G461" s="382" t="s">
        <v>2353</v>
      </c>
      <c r="H461" s="383">
        <v>-167.68</v>
      </c>
      <c r="I461" s="1046">
        <v>111.33</v>
      </c>
      <c r="J461" s="1047"/>
      <c r="K461" s="383">
        <v>76.27</v>
      </c>
      <c r="L461" s="383">
        <v>-202.74</v>
      </c>
    </row>
    <row r="462" spans="2:12">
      <c r="B462" s="1050"/>
      <c r="C462" s="1050"/>
      <c r="D462" s="382" t="s">
        <v>2451</v>
      </c>
      <c r="E462" s="382" t="s">
        <v>2003</v>
      </c>
      <c r="F462" s="382" t="s">
        <v>2342</v>
      </c>
      <c r="G462" s="382" t="s">
        <v>405</v>
      </c>
      <c r="H462" s="383">
        <v>-1157.1099999999999</v>
      </c>
      <c r="I462" s="1046">
        <v>706.79</v>
      </c>
      <c r="J462" s="1047"/>
      <c r="K462" s="383">
        <v>114.25</v>
      </c>
      <c r="L462" s="383">
        <v>-1749.65</v>
      </c>
    </row>
    <row r="463" spans="2:12">
      <c r="B463" s="1050"/>
      <c r="C463" s="1050"/>
      <c r="D463" s="382" t="s">
        <v>2452</v>
      </c>
      <c r="E463" s="382" t="s">
        <v>2004</v>
      </c>
      <c r="F463" s="382" t="s">
        <v>2342</v>
      </c>
      <c r="G463" s="382" t="s">
        <v>2343</v>
      </c>
      <c r="H463" s="383">
        <v>-14063.83</v>
      </c>
      <c r="I463" s="1046">
        <v>3887.81</v>
      </c>
      <c r="J463" s="1047"/>
      <c r="K463" s="383">
        <v>5462.16</v>
      </c>
      <c r="L463" s="383">
        <v>-12489.48</v>
      </c>
    </row>
    <row r="464" spans="2:12">
      <c r="B464" s="1050"/>
      <c r="C464" s="1050"/>
      <c r="D464" s="382" t="s">
        <v>2452</v>
      </c>
      <c r="E464" s="382" t="s">
        <v>2004</v>
      </c>
      <c r="F464" s="382" t="s">
        <v>2342</v>
      </c>
      <c r="G464" s="382" t="s">
        <v>2344</v>
      </c>
      <c r="H464" s="383">
        <v>-2140.69</v>
      </c>
      <c r="I464" s="1046">
        <v>54.17</v>
      </c>
      <c r="J464" s="1047"/>
      <c r="K464" s="383">
        <v>80.900000000000006</v>
      </c>
      <c r="L464" s="383">
        <v>-2113.96</v>
      </c>
    </row>
    <row r="465" spans="2:12">
      <c r="B465" s="1050"/>
      <c r="C465" s="1050"/>
      <c r="D465" s="382" t="s">
        <v>2452</v>
      </c>
      <c r="E465" s="382" t="s">
        <v>2004</v>
      </c>
      <c r="F465" s="382" t="s">
        <v>2342</v>
      </c>
      <c r="G465" s="382" t="s">
        <v>2345</v>
      </c>
      <c r="H465" s="383">
        <v>-2817.42</v>
      </c>
      <c r="I465" s="1046">
        <v>526.66</v>
      </c>
      <c r="J465" s="1047"/>
      <c r="K465" s="383">
        <v>0</v>
      </c>
      <c r="L465" s="383">
        <v>-3344.08</v>
      </c>
    </row>
    <row r="466" spans="2:12">
      <c r="B466" s="1050"/>
      <c r="C466" s="1050"/>
      <c r="D466" s="382" t="s">
        <v>2452</v>
      </c>
      <c r="E466" s="382" t="s">
        <v>2004</v>
      </c>
      <c r="F466" s="382" t="s">
        <v>2342</v>
      </c>
      <c r="G466" s="382" t="s">
        <v>2346</v>
      </c>
      <c r="H466" s="383">
        <v>-767.97</v>
      </c>
      <c r="I466" s="1046">
        <v>138.49</v>
      </c>
      <c r="J466" s="1047"/>
      <c r="K466" s="383">
        <v>464.65</v>
      </c>
      <c r="L466" s="383">
        <v>-441.81</v>
      </c>
    </row>
    <row r="467" spans="2:12">
      <c r="B467" s="1050"/>
      <c r="C467" s="1050"/>
      <c r="D467" s="382" t="s">
        <v>2452</v>
      </c>
      <c r="E467" s="382" t="s">
        <v>2004</v>
      </c>
      <c r="F467" s="382" t="s">
        <v>2342</v>
      </c>
      <c r="G467" s="382" t="s">
        <v>2347</v>
      </c>
      <c r="H467" s="383">
        <v>-3799.37</v>
      </c>
      <c r="I467" s="1046">
        <v>681.68</v>
      </c>
      <c r="J467" s="1047"/>
      <c r="K467" s="383">
        <v>255.91</v>
      </c>
      <c r="L467" s="383">
        <v>-4225.1400000000003</v>
      </c>
    </row>
    <row r="468" spans="2:12">
      <c r="B468" s="1050"/>
      <c r="C468" s="1050"/>
      <c r="D468" s="382" t="s">
        <v>2452</v>
      </c>
      <c r="E468" s="382" t="s">
        <v>2004</v>
      </c>
      <c r="F468" s="382" t="s">
        <v>2342</v>
      </c>
      <c r="G468" s="382" t="s">
        <v>2348</v>
      </c>
      <c r="H468" s="383">
        <v>-988.57</v>
      </c>
      <c r="I468" s="1046">
        <v>756.06</v>
      </c>
      <c r="J468" s="1047"/>
      <c r="K468" s="383">
        <v>725.49</v>
      </c>
      <c r="L468" s="383">
        <v>-1019.14</v>
      </c>
    </row>
    <row r="469" spans="2:12">
      <c r="B469" s="1050"/>
      <c r="C469" s="1050"/>
      <c r="D469" s="382" t="s">
        <v>2452</v>
      </c>
      <c r="E469" s="382" t="s">
        <v>2004</v>
      </c>
      <c r="F469" s="382" t="s">
        <v>2342</v>
      </c>
      <c r="G469" s="382" t="s">
        <v>2349</v>
      </c>
      <c r="H469" s="383">
        <v>-11379.29</v>
      </c>
      <c r="I469" s="1046">
        <v>3730.08</v>
      </c>
      <c r="J469" s="1047"/>
      <c r="K469" s="383">
        <v>664.97</v>
      </c>
      <c r="L469" s="383">
        <v>-14444.4</v>
      </c>
    </row>
    <row r="470" spans="2:12">
      <c r="B470" s="1050"/>
      <c r="C470" s="1050"/>
      <c r="D470" s="382" t="s">
        <v>2452</v>
      </c>
      <c r="E470" s="382" t="s">
        <v>2004</v>
      </c>
      <c r="F470" s="382" t="s">
        <v>2342</v>
      </c>
      <c r="G470" s="382" t="s">
        <v>2350</v>
      </c>
      <c r="H470" s="383">
        <v>-1871.17</v>
      </c>
      <c r="I470" s="1046">
        <v>124.04</v>
      </c>
      <c r="J470" s="1047"/>
      <c r="K470" s="383">
        <v>0</v>
      </c>
      <c r="L470" s="383">
        <v>-1995.21</v>
      </c>
    </row>
    <row r="471" spans="2:12">
      <c r="B471" s="1050"/>
      <c r="C471" s="1050"/>
      <c r="D471" s="382" t="s">
        <v>2452</v>
      </c>
      <c r="E471" s="382" t="s">
        <v>2004</v>
      </c>
      <c r="F471" s="382" t="s">
        <v>2342</v>
      </c>
      <c r="G471" s="382" t="s">
        <v>2351</v>
      </c>
      <c r="H471" s="383">
        <v>-2725.67</v>
      </c>
      <c r="I471" s="1046">
        <v>124.59</v>
      </c>
      <c r="J471" s="1047"/>
      <c r="K471" s="383">
        <v>0</v>
      </c>
      <c r="L471" s="383">
        <v>-2850.26</v>
      </c>
    </row>
    <row r="472" spans="2:12">
      <c r="B472" s="1050"/>
      <c r="C472" s="1050"/>
      <c r="D472" s="382" t="s">
        <v>2452</v>
      </c>
      <c r="E472" s="382" t="s">
        <v>2004</v>
      </c>
      <c r="F472" s="382" t="s">
        <v>2342</v>
      </c>
      <c r="G472" s="382" t="s">
        <v>2352</v>
      </c>
      <c r="H472" s="383">
        <v>-3340.51</v>
      </c>
      <c r="I472" s="1046">
        <v>243.38</v>
      </c>
      <c r="J472" s="1047"/>
      <c r="K472" s="383">
        <v>51.7</v>
      </c>
      <c r="L472" s="383">
        <v>-3532.19</v>
      </c>
    </row>
    <row r="473" spans="2:12">
      <c r="B473" s="1050"/>
      <c r="C473" s="1050"/>
      <c r="D473" s="382" t="s">
        <v>2452</v>
      </c>
      <c r="E473" s="382" t="s">
        <v>2004</v>
      </c>
      <c r="F473" s="382" t="s">
        <v>2342</v>
      </c>
      <c r="G473" s="382" t="s">
        <v>2353</v>
      </c>
      <c r="H473" s="383">
        <v>-318.18</v>
      </c>
      <c r="I473" s="1046">
        <v>933.77</v>
      </c>
      <c r="J473" s="1047"/>
      <c r="K473" s="383">
        <v>350.53</v>
      </c>
      <c r="L473" s="383">
        <v>-901.42</v>
      </c>
    </row>
    <row r="474" spans="2:12">
      <c r="B474" s="1050"/>
      <c r="C474" s="1050"/>
      <c r="D474" s="382" t="s">
        <v>2452</v>
      </c>
      <c r="E474" s="382" t="s">
        <v>2004</v>
      </c>
      <c r="F474" s="382" t="s">
        <v>2342</v>
      </c>
      <c r="G474" s="382" t="s">
        <v>405</v>
      </c>
      <c r="H474" s="383">
        <v>-1240.53</v>
      </c>
      <c r="I474" s="1046">
        <v>296.22000000000003</v>
      </c>
      <c r="J474" s="1047"/>
      <c r="K474" s="383">
        <v>0</v>
      </c>
      <c r="L474" s="383">
        <v>-1536.75</v>
      </c>
    </row>
    <row r="475" spans="2:12">
      <c r="B475" s="1050"/>
      <c r="C475" s="1050"/>
      <c r="D475" s="382" t="s">
        <v>2453</v>
      </c>
      <c r="E475" s="382" t="s">
        <v>2005</v>
      </c>
      <c r="F475" s="382" t="s">
        <v>2342</v>
      </c>
      <c r="G475" s="382" t="s">
        <v>2343</v>
      </c>
      <c r="H475" s="383">
        <v>-12892.22</v>
      </c>
      <c r="I475" s="1046">
        <v>1530.19</v>
      </c>
      <c r="J475" s="1047"/>
      <c r="K475" s="383">
        <v>289.17</v>
      </c>
      <c r="L475" s="383">
        <v>-14133.24</v>
      </c>
    </row>
    <row r="476" spans="2:12">
      <c r="B476" s="1050"/>
      <c r="C476" s="1050"/>
      <c r="D476" s="382" t="s">
        <v>2453</v>
      </c>
      <c r="E476" s="382" t="s">
        <v>2005</v>
      </c>
      <c r="F476" s="382" t="s">
        <v>2342</v>
      </c>
      <c r="G476" s="382" t="s">
        <v>2344</v>
      </c>
      <c r="H476" s="383">
        <v>-882.72</v>
      </c>
      <c r="I476" s="1046">
        <v>103.21</v>
      </c>
      <c r="J476" s="1047"/>
      <c r="K476" s="383">
        <v>0</v>
      </c>
      <c r="L476" s="383">
        <v>-985.93</v>
      </c>
    </row>
    <row r="477" spans="2:12">
      <c r="B477" s="1050"/>
      <c r="C477" s="1050"/>
      <c r="D477" s="382" t="s">
        <v>2453</v>
      </c>
      <c r="E477" s="382" t="s">
        <v>2005</v>
      </c>
      <c r="F477" s="382" t="s">
        <v>2342</v>
      </c>
      <c r="G477" s="382" t="s">
        <v>2345</v>
      </c>
      <c r="H477" s="383">
        <v>-2893.93</v>
      </c>
      <c r="I477" s="1046">
        <v>3908.79</v>
      </c>
      <c r="J477" s="1047"/>
      <c r="K477" s="383">
        <v>0</v>
      </c>
      <c r="L477" s="383">
        <v>-6802.72</v>
      </c>
    </row>
    <row r="478" spans="2:12">
      <c r="B478" s="1050"/>
      <c r="C478" s="1050"/>
      <c r="D478" s="382" t="s">
        <v>2453</v>
      </c>
      <c r="E478" s="382" t="s">
        <v>2005</v>
      </c>
      <c r="F478" s="382" t="s">
        <v>2342</v>
      </c>
      <c r="G478" s="382" t="s">
        <v>2347</v>
      </c>
      <c r="H478" s="383">
        <v>-0.01</v>
      </c>
      <c r="I478" s="1046">
        <v>0</v>
      </c>
      <c r="J478" s="1047"/>
      <c r="K478" s="383">
        <v>0</v>
      </c>
      <c r="L478" s="383">
        <v>-0.01</v>
      </c>
    </row>
    <row r="479" spans="2:12">
      <c r="B479" s="1050"/>
      <c r="C479" s="1050"/>
      <c r="D479" s="382" t="s">
        <v>2453</v>
      </c>
      <c r="E479" s="382" t="s">
        <v>2005</v>
      </c>
      <c r="F479" s="382" t="s">
        <v>2342</v>
      </c>
      <c r="G479" s="382" t="s">
        <v>2348</v>
      </c>
      <c r="H479" s="383">
        <v>-203.02</v>
      </c>
      <c r="I479" s="1046">
        <v>714.3</v>
      </c>
      <c r="J479" s="1047"/>
      <c r="K479" s="383">
        <v>714.3</v>
      </c>
      <c r="L479" s="383">
        <v>-203.02</v>
      </c>
    </row>
    <row r="480" spans="2:12">
      <c r="B480" s="1050"/>
      <c r="C480" s="1050"/>
      <c r="D480" s="382" t="s">
        <v>2453</v>
      </c>
      <c r="E480" s="382" t="s">
        <v>2005</v>
      </c>
      <c r="F480" s="382" t="s">
        <v>2342</v>
      </c>
      <c r="G480" s="382" t="s">
        <v>2349</v>
      </c>
      <c r="H480" s="383">
        <v>-13083.41</v>
      </c>
      <c r="I480" s="1046">
        <v>1689.43</v>
      </c>
      <c r="J480" s="1047"/>
      <c r="K480" s="383">
        <v>8437.5</v>
      </c>
      <c r="L480" s="383">
        <v>-6335.34</v>
      </c>
    </row>
    <row r="481" spans="2:12">
      <c r="B481" s="1050"/>
      <c r="C481" s="1050"/>
      <c r="D481" s="382" t="s">
        <v>2453</v>
      </c>
      <c r="E481" s="382" t="s">
        <v>2005</v>
      </c>
      <c r="F481" s="382" t="s">
        <v>2342</v>
      </c>
      <c r="G481" s="382" t="s">
        <v>2350</v>
      </c>
      <c r="H481" s="383">
        <v>-4611.6899999999996</v>
      </c>
      <c r="I481" s="1046">
        <v>656.48</v>
      </c>
      <c r="J481" s="1047"/>
      <c r="K481" s="383">
        <v>787.8</v>
      </c>
      <c r="L481" s="383">
        <v>-4480.37</v>
      </c>
    </row>
    <row r="482" spans="2:12">
      <c r="B482" s="1050"/>
      <c r="C482" s="1050"/>
      <c r="D482" s="382" t="s">
        <v>2453</v>
      </c>
      <c r="E482" s="382" t="s">
        <v>2005</v>
      </c>
      <c r="F482" s="382" t="s">
        <v>2342</v>
      </c>
      <c r="G482" s="382" t="s">
        <v>2351</v>
      </c>
      <c r="H482" s="383">
        <v>0</v>
      </c>
      <c r="I482" s="1046">
        <v>1101.6199999999999</v>
      </c>
      <c r="J482" s="1047"/>
      <c r="K482" s="383">
        <v>0</v>
      </c>
      <c r="L482" s="383">
        <v>-1101.6199999999999</v>
      </c>
    </row>
    <row r="483" spans="2:12">
      <c r="B483" s="1050"/>
      <c r="C483" s="1050"/>
      <c r="D483" s="382" t="s">
        <v>2453</v>
      </c>
      <c r="E483" s="382" t="s">
        <v>2005</v>
      </c>
      <c r="F483" s="382" t="s">
        <v>2342</v>
      </c>
      <c r="G483" s="382" t="s">
        <v>2352</v>
      </c>
      <c r="H483" s="383">
        <v>-994.15</v>
      </c>
      <c r="I483" s="1046">
        <v>2003.12</v>
      </c>
      <c r="J483" s="1047"/>
      <c r="K483" s="383">
        <v>1093.06</v>
      </c>
      <c r="L483" s="383">
        <v>-1904.21</v>
      </c>
    </row>
    <row r="484" spans="2:12">
      <c r="B484" s="1050"/>
      <c r="C484" s="1050"/>
      <c r="D484" s="382" t="s">
        <v>2453</v>
      </c>
      <c r="E484" s="382" t="s">
        <v>2005</v>
      </c>
      <c r="F484" s="382" t="s">
        <v>2342</v>
      </c>
      <c r="G484" s="382" t="s">
        <v>2353</v>
      </c>
      <c r="H484" s="383">
        <v>-940</v>
      </c>
      <c r="I484" s="1046">
        <v>0</v>
      </c>
      <c r="J484" s="1047"/>
      <c r="K484" s="383">
        <v>135.35</v>
      </c>
      <c r="L484" s="383">
        <v>-804.65</v>
      </c>
    </row>
    <row r="485" spans="2:12">
      <c r="B485" s="1050"/>
      <c r="C485" s="1050"/>
      <c r="D485" s="382" t="s">
        <v>2454</v>
      </c>
      <c r="E485" s="382" t="s">
        <v>2006</v>
      </c>
      <c r="F485" s="382" t="s">
        <v>2342</v>
      </c>
      <c r="G485" s="382" t="s">
        <v>2355</v>
      </c>
      <c r="H485" s="383">
        <v>-18687.54</v>
      </c>
      <c r="I485" s="1046">
        <v>602.42999999999995</v>
      </c>
      <c r="J485" s="1047"/>
      <c r="K485" s="383">
        <v>2072.96</v>
      </c>
      <c r="L485" s="383">
        <v>-17217.009999999998</v>
      </c>
    </row>
    <row r="486" spans="2:12">
      <c r="B486" s="1050"/>
      <c r="C486" s="1050"/>
      <c r="D486" s="382" t="s">
        <v>2455</v>
      </c>
      <c r="E486" s="382" t="s">
        <v>2007</v>
      </c>
      <c r="F486" s="382" t="s">
        <v>2342</v>
      </c>
      <c r="G486" s="382" t="s">
        <v>2343</v>
      </c>
      <c r="H486" s="383">
        <v>0</v>
      </c>
      <c r="I486" s="1046">
        <v>4984.38</v>
      </c>
      <c r="J486" s="1047"/>
      <c r="K486" s="383">
        <v>0</v>
      </c>
      <c r="L486" s="383">
        <v>-4984.38</v>
      </c>
    </row>
    <row r="487" spans="2:12">
      <c r="B487" s="1050"/>
      <c r="C487" s="1051"/>
      <c r="D487" s="359" t="s">
        <v>12</v>
      </c>
      <c r="E487" s="359" t="s">
        <v>111</v>
      </c>
      <c r="F487" s="359" t="s">
        <v>111</v>
      </c>
      <c r="G487" s="359" t="s">
        <v>111</v>
      </c>
      <c r="H487" s="384">
        <v>-142504.82</v>
      </c>
      <c r="I487" s="1048">
        <v>46629.96</v>
      </c>
      <c r="J487" s="1047"/>
      <c r="K487" s="384">
        <v>32195.200000000001</v>
      </c>
      <c r="L487" s="384">
        <v>-156939.57999999999</v>
      </c>
    </row>
    <row r="488" spans="2:12">
      <c r="B488" s="1050"/>
      <c r="C488" s="1049" t="s">
        <v>2456</v>
      </c>
      <c r="D488" s="382" t="s">
        <v>2457</v>
      </c>
      <c r="E488" s="382" t="s">
        <v>2008</v>
      </c>
      <c r="F488" s="382" t="s">
        <v>2342</v>
      </c>
      <c r="G488" s="382" t="s">
        <v>2355</v>
      </c>
      <c r="H488" s="383">
        <v>0</v>
      </c>
      <c r="I488" s="1046">
        <v>0</v>
      </c>
      <c r="J488" s="1047"/>
      <c r="K488" s="383">
        <v>0</v>
      </c>
      <c r="L488" s="383">
        <v>0</v>
      </c>
    </row>
    <row r="489" spans="2:12">
      <c r="B489" s="1050"/>
      <c r="C489" s="1051"/>
      <c r="D489" s="359" t="s">
        <v>12</v>
      </c>
      <c r="E489" s="359" t="s">
        <v>111</v>
      </c>
      <c r="F489" s="359" t="s">
        <v>111</v>
      </c>
      <c r="G489" s="359" t="s">
        <v>111</v>
      </c>
      <c r="H489" s="384">
        <v>0</v>
      </c>
      <c r="I489" s="1048">
        <v>0</v>
      </c>
      <c r="J489" s="1047"/>
      <c r="K489" s="384">
        <v>0</v>
      </c>
      <c r="L489" s="384">
        <v>0</v>
      </c>
    </row>
    <row r="490" spans="2:12">
      <c r="B490" s="1050"/>
      <c r="C490" s="1049" t="s">
        <v>2458</v>
      </c>
      <c r="D490" s="382" t="s">
        <v>2459</v>
      </c>
      <c r="E490" s="382" t="s">
        <v>2009</v>
      </c>
      <c r="F490" s="382" t="s">
        <v>2342</v>
      </c>
      <c r="G490" s="382" t="s">
        <v>2347</v>
      </c>
      <c r="H490" s="383">
        <v>0</v>
      </c>
      <c r="I490" s="1046">
        <v>1.89</v>
      </c>
      <c r="J490" s="1047"/>
      <c r="K490" s="383">
        <v>1.9</v>
      </c>
      <c r="L490" s="383">
        <v>0.01</v>
      </c>
    </row>
    <row r="491" spans="2:12">
      <c r="B491" s="1050"/>
      <c r="C491" s="1050"/>
      <c r="D491" s="382" t="s">
        <v>2459</v>
      </c>
      <c r="E491" s="382" t="s">
        <v>2009</v>
      </c>
      <c r="F491" s="382" t="s">
        <v>2342</v>
      </c>
      <c r="G491" s="382" t="s">
        <v>2349</v>
      </c>
      <c r="H491" s="383">
        <v>0.01</v>
      </c>
      <c r="I491" s="1046">
        <v>0</v>
      </c>
      <c r="J491" s="1047"/>
      <c r="K491" s="383">
        <v>0</v>
      </c>
      <c r="L491" s="383">
        <v>0.01</v>
      </c>
    </row>
    <row r="492" spans="2:12">
      <c r="B492" s="1050"/>
      <c r="C492" s="1051"/>
      <c r="D492" s="359" t="s">
        <v>12</v>
      </c>
      <c r="E492" s="359" t="s">
        <v>111</v>
      </c>
      <c r="F492" s="359" t="s">
        <v>111</v>
      </c>
      <c r="G492" s="359" t="s">
        <v>111</v>
      </c>
      <c r="H492" s="384">
        <v>0.01</v>
      </c>
      <c r="I492" s="1048">
        <v>1.89</v>
      </c>
      <c r="J492" s="1047"/>
      <c r="K492" s="384">
        <v>1.9</v>
      </c>
      <c r="L492" s="384">
        <v>0.02</v>
      </c>
    </row>
    <row r="493" spans="2:12">
      <c r="B493" s="1050"/>
      <c r="C493" s="1049" t="s">
        <v>2460</v>
      </c>
      <c r="D493" s="382" t="s">
        <v>2461</v>
      </c>
      <c r="E493" s="382" t="s">
        <v>2462</v>
      </c>
      <c r="F493" s="382" t="s">
        <v>2342</v>
      </c>
      <c r="G493" s="382" t="s">
        <v>2343</v>
      </c>
      <c r="H493" s="383">
        <v>-72.38</v>
      </c>
      <c r="I493" s="1046">
        <v>2648.24</v>
      </c>
      <c r="J493" s="1047"/>
      <c r="K493" s="383">
        <v>2647.6</v>
      </c>
      <c r="L493" s="383">
        <v>-73.02</v>
      </c>
    </row>
    <row r="494" spans="2:12">
      <c r="B494" s="1050"/>
      <c r="C494" s="1050"/>
      <c r="D494" s="382" t="s">
        <v>2461</v>
      </c>
      <c r="E494" s="382" t="s">
        <v>2462</v>
      </c>
      <c r="F494" s="382" t="s">
        <v>2342</v>
      </c>
      <c r="G494" s="382" t="s">
        <v>2344</v>
      </c>
      <c r="H494" s="383">
        <v>-10.37</v>
      </c>
      <c r="I494" s="1046">
        <v>465.64</v>
      </c>
      <c r="J494" s="1047"/>
      <c r="K494" s="383">
        <v>465.39</v>
      </c>
      <c r="L494" s="383">
        <v>-10.62</v>
      </c>
    </row>
    <row r="495" spans="2:12">
      <c r="B495" s="1050"/>
      <c r="C495" s="1050"/>
      <c r="D495" s="382" t="s">
        <v>2461</v>
      </c>
      <c r="E495" s="382" t="s">
        <v>2462</v>
      </c>
      <c r="F495" s="382" t="s">
        <v>2342</v>
      </c>
      <c r="G495" s="382" t="s">
        <v>2345</v>
      </c>
      <c r="H495" s="383">
        <v>-23.4</v>
      </c>
      <c r="I495" s="1046">
        <v>1348.34</v>
      </c>
      <c r="J495" s="1047"/>
      <c r="K495" s="383">
        <v>1310.31</v>
      </c>
      <c r="L495" s="383">
        <v>-61.43</v>
      </c>
    </row>
    <row r="496" spans="2:12">
      <c r="B496" s="1050"/>
      <c r="C496" s="1050"/>
      <c r="D496" s="382" t="s">
        <v>2461</v>
      </c>
      <c r="E496" s="382" t="s">
        <v>2462</v>
      </c>
      <c r="F496" s="382" t="s">
        <v>2342</v>
      </c>
      <c r="G496" s="382" t="s">
        <v>2346</v>
      </c>
      <c r="H496" s="383">
        <v>-29.6</v>
      </c>
      <c r="I496" s="1046">
        <v>807.8</v>
      </c>
      <c r="J496" s="1047"/>
      <c r="K496" s="383">
        <v>811.61</v>
      </c>
      <c r="L496" s="383">
        <v>-25.79</v>
      </c>
    </row>
    <row r="497" spans="2:12">
      <c r="B497" s="1050"/>
      <c r="C497" s="1050"/>
      <c r="D497" s="382" t="s">
        <v>2461</v>
      </c>
      <c r="E497" s="382" t="s">
        <v>2462</v>
      </c>
      <c r="F497" s="382" t="s">
        <v>2342</v>
      </c>
      <c r="G497" s="382" t="s">
        <v>2347</v>
      </c>
      <c r="H497" s="383">
        <v>-170.61</v>
      </c>
      <c r="I497" s="1046">
        <v>3492.94</v>
      </c>
      <c r="J497" s="1047"/>
      <c r="K497" s="383">
        <v>3580.18</v>
      </c>
      <c r="L497" s="383">
        <v>-83.37</v>
      </c>
    </row>
    <row r="498" spans="2:12">
      <c r="B498" s="1050"/>
      <c r="C498" s="1050"/>
      <c r="D498" s="382" t="s">
        <v>2461</v>
      </c>
      <c r="E498" s="382" t="s">
        <v>2462</v>
      </c>
      <c r="F498" s="382" t="s">
        <v>2342</v>
      </c>
      <c r="G498" s="382" t="s">
        <v>2348</v>
      </c>
      <c r="H498" s="383">
        <v>-109.93</v>
      </c>
      <c r="I498" s="1046">
        <v>1765.25</v>
      </c>
      <c r="J498" s="1047"/>
      <c r="K498" s="383">
        <v>1823.56</v>
      </c>
      <c r="L498" s="383">
        <v>-51.62</v>
      </c>
    </row>
    <row r="499" spans="2:12">
      <c r="B499" s="1050"/>
      <c r="C499" s="1050"/>
      <c r="D499" s="382" t="s">
        <v>2461</v>
      </c>
      <c r="E499" s="382" t="s">
        <v>2462</v>
      </c>
      <c r="F499" s="382" t="s">
        <v>2342</v>
      </c>
      <c r="G499" s="382" t="s">
        <v>2349</v>
      </c>
      <c r="H499" s="383">
        <v>-250.91</v>
      </c>
      <c r="I499" s="1046">
        <v>4749.68</v>
      </c>
      <c r="J499" s="1047"/>
      <c r="K499" s="383">
        <v>4863.16</v>
      </c>
      <c r="L499" s="383">
        <v>-137.43</v>
      </c>
    </row>
    <row r="500" spans="2:12">
      <c r="B500" s="1050"/>
      <c r="C500" s="1050"/>
      <c r="D500" s="382" t="s">
        <v>2461</v>
      </c>
      <c r="E500" s="382" t="s">
        <v>2462</v>
      </c>
      <c r="F500" s="382" t="s">
        <v>2342</v>
      </c>
      <c r="G500" s="382" t="s">
        <v>2350</v>
      </c>
      <c r="H500" s="383">
        <v>-44.72</v>
      </c>
      <c r="I500" s="1046">
        <v>1061.57</v>
      </c>
      <c r="J500" s="1047"/>
      <c r="K500" s="383">
        <v>1082.19</v>
      </c>
      <c r="L500" s="383">
        <v>-24.1</v>
      </c>
    </row>
    <row r="501" spans="2:12">
      <c r="B501" s="1050"/>
      <c r="C501" s="1050"/>
      <c r="D501" s="382" t="s">
        <v>2461</v>
      </c>
      <c r="E501" s="382" t="s">
        <v>2462</v>
      </c>
      <c r="F501" s="382" t="s">
        <v>2342</v>
      </c>
      <c r="G501" s="382" t="s">
        <v>2351</v>
      </c>
      <c r="H501" s="383">
        <v>-78.78</v>
      </c>
      <c r="I501" s="1046">
        <v>1725.07</v>
      </c>
      <c r="J501" s="1047"/>
      <c r="K501" s="383">
        <v>1749.41</v>
      </c>
      <c r="L501" s="383">
        <v>-54.44</v>
      </c>
    </row>
    <row r="502" spans="2:12">
      <c r="B502" s="1050"/>
      <c r="C502" s="1050"/>
      <c r="D502" s="382" t="s">
        <v>2461</v>
      </c>
      <c r="E502" s="382" t="s">
        <v>2462</v>
      </c>
      <c r="F502" s="382" t="s">
        <v>2342</v>
      </c>
      <c r="G502" s="382" t="s">
        <v>2352</v>
      </c>
      <c r="H502" s="383">
        <v>-68.680000000000007</v>
      </c>
      <c r="I502" s="1046">
        <v>1703.85</v>
      </c>
      <c r="J502" s="1047"/>
      <c r="K502" s="383">
        <v>1720.03</v>
      </c>
      <c r="L502" s="383">
        <v>-52.5</v>
      </c>
    </row>
    <row r="503" spans="2:12">
      <c r="B503" s="1050"/>
      <c r="C503" s="1050"/>
      <c r="D503" s="382" t="s">
        <v>2461</v>
      </c>
      <c r="E503" s="382" t="s">
        <v>2462</v>
      </c>
      <c r="F503" s="382" t="s">
        <v>2342</v>
      </c>
      <c r="G503" s="382" t="s">
        <v>2353</v>
      </c>
      <c r="H503" s="383">
        <v>-89.93</v>
      </c>
      <c r="I503" s="1046">
        <v>2147.0700000000002</v>
      </c>
      <c r="J503" s="1047"/>
      <c r="K503" s="383">
        <v>2186.54</v>
      </c>
      <c r="L503" s="383">
        <v>-50.46</v>
      </c>
    </row>
    <row r="504" spans="2:12">
      <c r="B504" s="1050"/>
      <c r="C504" s="1050"/>
      <c r="D504" s="382" t="s">
        <v>2461</v>
      </c>
      <c r="E504" s="382" t="s">
        <v>2462</v>
      </c>
      <c r="F504" s="382" t="s">
        <v>2342</v>
      </c>
      <c r="G504" s="382" t="s">
        <v>405</v>
      </c>
      <c r="H504" s="383">
        <v>-37.71</v>
      </c>
      <c r="I504" s="1046">
        <v>1018.85</v>
      </c>
      <c r="J504" s="1047"/>
      <c r="K504" s="383">
        <v>1026.47</v>
      </c>
      <c r="L504" s="383">
        <v>-30.09</v>
      </c>
    </row>
    <row r="505" spans="2:12">
      <c r="B505" s="1050"/>
      <c r="C505" s="1050"/>
      <c r="D505" s="382" t="s">
        <v>2463</v>
      </c>
      <c r="E505" s="382" t="s">
        <v>2011</v>
      </c>
      <c r="F505" s="382" t="s">
        <v>2342</v>
      </c>
      <c r="G505" s="382" t="s">
        <v>2343</v>
      </c>
      <c r="H505" s="383">
        <v>-91.44</v>
      </c>
      <c r="I505" s="1046">
        <v>1401.22</v>
      </c>
      <c r="J505" s="1047"/>
      <c r="K505" s="383">
        <v>1461.21</v>
      </c>
      <c r="L505" s="383">
        <v>-31.45</v>
      </c>
    </row>
    <row r="506" spans="2:12">
      <c r="B506" s="1050"/>
      <c r="C506" s="1050"/>
      <c r="D506" s="382" t="s">
        <v>2463</v>
      </c>
      <c r="E506" s="382" t="s">
        <v>2011</v>
      </c>
      <c r="F506" s="382" t="s">
        <v>2342</v>
      </c>
      <c r="G506" s="382" t="s">
        <v>2344</v>
      </c>
      <c r="H506" s="383">
        <v>-22.77</v>
      </c>
      <c r="I506" s="1046">
        <v>544.34</v>
      </c>
      <c r="J506" s="1047"/>
      <c r="K506" s="383">
        <v>554.03</v>
      </c>
      <c r="L506" s="383">
        <v>-13.08</v>
      </c>
    </row>
    <row r="507" spans="2:12">
      <c r="B507" s="1050"/>
      <c r="C507" s="1050"/>
      <c r="D507" s="382" t="s">
        <v>2463</v>
      </c>
      <c r="E507" s="382" t="s">
        <v>2011</v>
      </c>
      <c r="F507" s="382" t="s">
        <v>2342</v>
      </c>
      <c r="G507" s="382" t="s">
        <v>2345</v>
      </c>
      <c r="H507" s="383">
        <v>-16.059999999999999</v>
      </c>
      <c r="I507" s="1046">
        <v>538.37</v>
      </c>
      <c r="J507" s="1047"/>
      <c r="K507" s="383">
        <v>561.72</v>
      </c>
      <c r="L507" s="383">
        <v>7.29</v>
      </c>
    </row>
    <row r="508" spans="2:12">
      <c r="B508" s="1050"/>
      <c r="C508" s="1050"/>
      <c r="D508" s="382" t="s">
        <v>2463</v>
      </c>
      <c r="E508" s="382" t="s">
        <v>2011</v>
      </c>
      <c r="F508" s="382" t="s">
        <v>2342</v>
      </c>
      <c r="G508" s="382" t="s">
        <v>2346</v>
      </c>
      <c r="H508" s="383">
        <v>-20.86</v>
      </c>
      <c r="I508" s="1046">
        <v>734.12</v>
      </c>
      <c r="J508" s="1047"/>
      <c r="K508" s="383">
        <v>736.9</v>
      </c>
      <c r="L508" s="383">
        <v>-18.079999999999998</v>
      </c>
    </row>
    <row r="509" spans="2:12">
      <c r="B509" s="1050"/>
      <c r="C509" s="1050"/>
      <c r="D509" s="382" t="s">
        <v>2463</v>
      </c>
      <c r="E509" s="382" t="s">
        <v>2011</v>
      </c>
      <c r="F509" s="382" t="s">
        <v>2342</v>
      </c>
      <c r="G509" s="382" t="s">
        <v>2347</v>
      </c>
      <c r="H509" s="383">
        <v>-63.77</v>
      </c>
      <c r="I509" s="1046">
        <v>1740.58</v>
      </c>
      <c r="J509" s="1047"/>
      <c r="K509" s="383">
        <v>1769.07</v>
      </c>
      <c r="L509" s="383">
        <v>-35.28</v>
      </c>
    </row>
    <row r="510" spans="2:12">
      <c r="B510" s="1050"/>
      <c r="C510" s="1050"/>
      <c r="D510" s="382" t="s">
        <v>2463</v>
      </c>
      <c r="E510" s="382" t="s">
        <v>2011</v>
      </c>
      <c r="F510" s="382" t="s">
        <v>2342</v>
      </c>
      <c r="G510" s="382" t="s">
        <v>2348</v>
      </c>
      <c r="H510" s="383">
        <v>-66.67</v>
      </c>
      <c r="I510" s="1046">
        <v>1416.7</v>
      </c>
      <c r="J510" s="1047"/>
      <c r="K510" s="383">
        <v>1441.5</v>
      </c>
      <c r="L510" s="383">
        <v>-41.87</v>
      </c>
    </row>
    <row r="511" spans="2:12">
      <c r="B511" s="1050"/>
      <c r="C511" s="1050"/>
      <c r="D511" s="382" t="s">
        <v>2463</v>
      </c>
      <c r="E511" s="382" t="s">
        <v>2011</v>
      </c>
      <c r="F511" s="382" t="s">
        <v>2342</v>
      </c>
      <c r="G511" s="382" t="s">
        <v>2349</v>
      </c>
      <c r="H511" s="383">
        <v>-63.69</v>
      </c>
      <c r="I511" s="1046">
        <v>1029.06</v>
      </c>
      <c r="J511" s="1047"/>
      <c r="K511" s="383">
        <v>1066.31</v>
      </c>
      <c r="L511" s="383">
        <v>-26.44</v>
      </c>
    </row>
    <row r="512" spans="2:12">
      <c r="B512" s="1050"/>
      <c r="C512" s="1050"/>
      <c r="D512" s="382" t="s">
        <v>2463</v>
      </c>
      <c r="E512" s="382" t="s">
        <v>2011</v>
      </c>
      <c r="F512" s="382" t="s">
        <v>2342</v>
      </c>
      <c r="G512" s="382" t="s">
        <v>2350</v>
      </c>
      <c r="H512" s="383">
        <v>-123.03</v>
      </c>
      <c r="I512" s="1046">
        <v>1795.44</v>
      </c>
      <c r="J512" s="1047"/>
      <c r="K512" s="383">
        <v>1872.57</v>
      </c>
      <c r="L512" s="383">
        <v>-45.9</v>
      </c>
    </row>
    <row r="513" spans="2:12">
      <c r="B513" s="1050"/>
      <c r="C513" s="1050"/>
      <c r="D513" s="382" t="s">
        <v>2463</v>
      </c>
      <c r="E513" s="382" t="s">
        <v>2011</v>
      </c>
      <c r="F513" s="382" t="s">
        <v>2342</v>
      </c>
      <c r="G513" s="382" t="s">
        <v>2351</v>
      </c>
      <c r="H513" s="383">
        <v>-113.02</v>
      </c>
      <c r="I513" s="1046">
        <v>1819.86</v>
      </c>
      <c r="J513" s="1047"/>
      <c r="K513" s="383">
        <v>1880.26</v>
      </c>
      <c r="L513" s="383">
        <v>-52.62</v>
      </c>
    </row>
    <row r="514" spans="2:12">
      <c r="B514" s="1050"/>
      <c r="C514" s="1050"/>
      <c r="D514" s="382" t="s">
        <v>2463</v>
      </c>
      <c r="E514" s="382" t="s">
        <v>2011</v>
      </c>
      <c r="F514" s="382" t="s">
        <v>2342</v>
      </c>
      <c r="G514" s="382" t="s">
        <v>2352</v>
      </c>
      <c r="H514" s="383">
        <v>-9.89</v>
      </c>
      <c r="I514" s="1046">
        <v>416</v>
      </c>
      <c r="J514" s="1047"/>
      <c r="K514" s="383">
        <v>417.85</v>
      </c>
      <c r="L514" s="383">
        <v>-8.0399999999999991</v>
      </c>
    </row>
    <row r="515" spans="2:12">
      <c r="B515" s="1050"/>
      <c r="C515" s="1050"/>
      <c r="D515" s="382" t="s">
        <v>2463</v>
      </c>
      <c r="E515" s="382" t="s">
        <v>2011</v>
      </c>
      <c r="F515" s="382" t="s">
        <v>2342</v>
      </c>
      <c r="G515" s="382" t="s">
        <v>2353</v>
      </c>
      <c r="H515" s="383">
        <v>-44.69</v>
      </c>
      <c r="I515" s="1046">
        <v>1019</v>
      </c>
      <c r="J515" s="1047"/>
      <c r="K515" s="383">
        <v>1037.8399999999999</v>
      </c>
      <c r="L515" s="383">
        <v>-25.85</v>
      </c>
    </row>
    <row r="516" spans="2:12">
      <c r="B516" s="1050"/>
      <c r="C516" s="1050"/>
      <c r="D516" s="382" t="s">
        <v>2463</v>
      </c>
      <c r="E516" s="382" t="s">
        <v>2011</v>
      </c>
      <c r="F516" s="382" t="s">
        <v>2342</v>
      </c>
      <c r="G516" s="382" t="s">
        <v>405</v>
      </c>
      <c r="H516" s="383">
        <v>-6.28</v>
      </c>
      <c r="I516" s="1046">
        <v>417.65</v>
      </c>
      <c r="J516" s="1047"/>
      <c r="K516" s="383">
        <v>410.3</v>
      </c>
      <c r="L516" s="383">
        <v>-13.63</v>
      </c>
    </row>
    <row r="517" spans="2:12">
      <c r="B517" s="1050"/>
      <c r="C517" s="1050"/>
      <c r="D517" s="382" t="s">
        <v>2464</v>
      </c>
      <c r="E517" s="382" t="s">
        <v>2465</v>
      </c>
      <c r="F517" s="382" t="s">
        <v>2342</v>
      </c>
      <c r="G517" s="382" t="s">
        <v>2343</v>
      </c>
      <c r="H517" s="383">
        <v>-33.85</v>
      </c>
      <c r="I517" s="1046">
        <v>470.4</v>
      </c>
      <c r="J517" s="1047"/>
      <c r="K517" s="383">
        <v>493.29</v>
      </c>
      <c r="L517" s="383">
        <v>-10.96</v>
      </c>
    </row>
    <row r="518" spans="2:12">
      <c r="B518" s="1050"/>
      <c r="C518" s="1050"/>
      <c r="D518" s="382" t="s">
        <v>2464</v>
      </c>
      <c r="E518" s="382" t="s">
        <v>2465</v>
      </c>
      <c r="F518" s="382" t="s">
        <v>2342</v>
      </c>
      <c r="G518" s="382" t="s">
        <v>2344</v>
      </c>
      <c r="H518" s="383">
        <v>-17.84</v>
      </c>
      <c r="I518" s="1046">
        <v>460.16</v>
      </c>
      <c r="J518" s="1047"/>
      <c r="K518" s="383">
        <v>468.91</v>
      </c>
      <c r="L518" s="383">
        <v>-9.09</v>
      </c>
    </row>
    <row r="519" spans="2:12">
      <c r="B519" s="1050"/>
      <c r="C519" s="1050"/>
      <c r="D519" s="382" t="s">
        <v>2464</v>
      </c>
      <c r="E519" s="382" t="s">
        <v>2465</v>
      </c>
      <c r="F519" s="382" t="s">
        <v>2342</v>
      </c>
      <c r="G519" s="382" t="s">
        <v>2345</v>
      </c>
      <c r="H519" s="383">
        <v>-31.63</v>
      </c>
      <c r="I519" s="1046">
        <v>466.92</v>
      </c>
      <c r="J519" s="1047"/>
      <c r="K519" s="383">
        <v>495.83</v>
      </c>
      <c r="L519" s="383">
        <v>-2.72</v>
      </c>
    </row>
    <row r="520" spans="2:12">
      <c r="B520" s="1050"/>
      <c r="C520" s="1050"/>
      <c r="D520" s="382" t="s">
        <v>2464</v>
      </c>
      <c r="E520" s="382" t="s">
        <v>2465</v>
      </c>
      <c r="F520" s="382" t="s">
        <v>2342</v>
      </c>
      <c r="G520" s="382" t="s">
        <v>2346</v>
      </c>
      <c r="H520" s="383">
        <v>-8.9</v>
      </c>
      <c r="I520" s="1046">
        <v>203.98</v>
      </c>
      <c r="J520" s="1047"/>
      <c r="K520" s="383">
        <v>206.66</v>
      </c>
      <c r="L520" s="383">
        <v>-6.22</v>
      </c>
    </row>
    <row r="521" spans="2:12">
      <c r="B521" s="1050"/>
      <c r="C521" s="1050"/>
      <c r="D521" s="382" t="s">
        <v>2464</v>
      </c>
      <c r="E521" s="382" t="s">
        <v>2465</v>
      </c>
      <c r="F521" s="382" t="s">
        <v>2342</v>
      </c>
      <c r="G521" s="382" t="s">
        <v>2347</v>
      </c>
      <c r="H521" s="383">
        <v>-55.5</v>
      </c>
      <c r="I521" s="1046">
        <v>1340.34</v>
      </c>
      <c r="J521" s="1047"/>
      <c r="K521" s="383">
        <v>1363.31</v>
      </c>
      <c r="L521" s="383">
        <v>-32.53</v>
      </c>
    </row>
    <row r="522" spans="2:12">
      <c r="B522" s="1050"/>
      <c r="C522" s="1050"/>
      <c r="D522" s="382" t="s">
        <v>2464</v>
      </c>
      <c r="E522" s="382" t="s">
        <v>2465</v>
      </c>
      <c r="F522" s="382" t="s">
        <v>2342</v>
      </c>
      <c r="G522" s="382" t="s">
        <v>2348</v>
      </c>
      <c r="H522" s="383">
        <v>-19.149999999999999</v>
      </c>
      <c r="I522" s="1046">
        <v>423.57</v>
      </c>
      <c r="J522" s="1047"/>
      <c r="K522" s="383">
        <v>432.38</v>
      </c>
      <c r="L522" s="383">
        <v>-10.34</v>
      </c>
    </row>
    <row r="523" spans="2:12">
      <c r="B523" s="1050"/>
      <c r="C523" s="1050"/>
      <c r="D523" s="382" t="s">
        <v>2464</v>
      </c>
      <c r="E523" s="382" t="s">
        <v>2465</v>
      </c>
      <c r="F523" s="382" t="s">
        <v>2342</v>
      </c>
      <c r="G523" s="382" t="s">
        <v>2349</v>
      </c>
      <c r="H523" s="383">
        <v>-104.5</v>
      </c>
      <c r="I523" s="1046">
        <v>1681.94</v>
      </c>
      <c r="J523" s="1047"/>
      <c r="K523" s="383">
        <v>1744.41</v>
      </c>
      <c r="L523" s="383">
        <v>-42.03</v>
      </c>
    </row>
    <row r="524" spans="2:12">
      <c r="B524" s="1050"/>
      <c r="C524" s="1050"/>
      <c r="D524" s="382" t="s">
        <v>2464</v>
      </c>
      <c r="E524" s="382" t="s">
        <v>2465</v>
      </c>
      <c r="F524" s="382" t="s">
        <v>2342</v>
      </c>
      <c r="G524" s="382" t="s">
        <v>2350</v>
      </c>
      <c r="H524" s="383">
        <v>-15.13</v>
      </c>
      <c r="I524" s="1046">
        <v>561.70000000000005</v>
      </c>
      <c r="J524" s="1047"/>
      <c r="K524" s="383">
        <v>559.51</v>
      </c>
      <c r="L524" s="383">
        <v>-17.32</v>
      </c>
    </row>
    <row r="525" spans="2:12">
      <c r="B525" s="1050"/>
      <c r="C525" s="1050"/>
      <c r="D525" s="382" t="s">
        <v>2464</v>
      </c>
      <c r="E525" s="382" t="s">
        <v>2465</v>
      </c>
      <c r="F525" s="382" t="s">
        <v>2342</v>
      </c>
      <c r="G525" s="382" t="s">
        <v>2351</v>
      </c>
      <c r="H525" s="383">
        <v>-18</v>
      </c>
      <c r="I525" s="1046">
        <v>378.72</v>
      </c>
      <c r="J525" s="1047"/>
      <c r="K525" s="383">
        <v>384.24</v>
      </c>
      <c r="L525" s="383">
        <v>-12.48</v>
      </c>
    </row>
    <row r="526" spans="2:12">
      <c r="B526" s="1050"/>
      <c r="C526" s="1050"/>
      <c r="D526" s="382" t="s">
        <v>2464</v>
      </c>
      <c r="E526" s="382" t="s">
        <v>2465</v>
      </c>
      <c r="F526" s="382" t="s">
        <v>2342</v>
      </c>
      <c r="G526" s="382" t="s">
        <v>2352</v>
      </c>
      <c r="H526" s="383">
        <v>-42.6</v>
      </c>
      <c r="I526" s="1046">
        <v>944.44</v>
      </c>
      <c r="J526" s="1047"/>
      <c r="K526" s="383">
        <v>961.74</v>
      </c>
      <c r="L526" s="383">
        <v>-25.3</v>
      </c>
    </row>
    <row r="527" spans="2:12">
      <c r="B527" s="1050"/>
      <c r="C527" s="1050"/>
      <c r="D527" s="382" t="s">
        <v>2464</v>
      </c>
      <c r="E527" s="382" t="s">
        <v>2465</v>
      </c>
      <c r="F527" s="382" t="s">
        <v>2342</v>
      </c>
      <c r="G527" s="382" t="s">
        <v>2353</v>
      </c>
      <c r="H527" s="383">
        <v>-20.5</v>
      </c>
      <c r="I527" s="1046">
        <v>140.74</v>
      </c>
      <c r="J527" s="1047"/>
      <c r="K527" s="383">
        <v>158.72</v>
      </c>
      <c r="L527" s="383">
        <v>-2.52</v>
      </c>
    </row>
    <row r="528" spans="2:12">
      <c r="B528" s="1050"/>
      <c r="C528" s="1050"/>
      <c r="D528" s="382" t="s">
        <v>2464</v>
      </c>
      <c r="E528" s="382" t="s">
        <v>2465</v>
      </c>
      <c r="F528" s="382" t="s">
        <v>2342</v>
      </c>
      <c r="G528" s="382" t="s">
        <v>405</v>
      </c>
      <c r="H528" s="383">
        <v>-4.25</v>
      </c>
      <c r="I528" s="1046">
        <v>101.3</v>
      </c>
      <c r="J528" s="1047"/>
      <c r="K528" s="383">
        <v>103.66</v>
      </c>
      <c r="L528" s="383">
        <v>-1.89</v>
      </c>
    </row>
    <row r="529" spans="2:12">
      <c r="B529" s="1050"/>
      <c r="C529" s="1050"/>
      <c r="D529" s="382" t="s">
        <v>2466</v>
      </c>
      <c r="E529" s="382" t="s">
        <v>2013</v>
      </c>
      <c r="F529" s="382" t="s">
        <v>2342</v>
      </c>
      <c r="G529" s="382" t="s">
        <v>2343</v>
      </c>
      <c r="H529" s="383">
        <v>-22.74</v>
      </c>
      <c r="I529" s="1046">
        <v>502.38</v>
      </c>
      <c r="J529" s="1047"/>
      <c r="K529" s="383">
        <v>521.61</v>
      </c>
      <c r="L529" s="383">
        <v>-3.51</v>
      </c>
    </row>
    <row r="530" spans="2:12">
      <c r="B530" s="1050"/>
      <c r="C530" s="1050"/>
      <c r="D530" s="382" t="s">
        <v>2466</v>
      </c>
      <c r="E530" s="382" t="s">
        <v>2013</v>
      </c>
      <c r="F530" s="382" t="s">
        <v>2342</v>
      </c>
      <c r="G530" s="382" t="s">
        <v>2344</v>
      </c>
      <c r="H530" s="383">
        <v>-8.67</v>
      </c>
      <c r="I530" s="1046">
        <v>220.44</v>
      </c>
      <c r="J530" s="1047"/>
      <c r="K530" s="383">
        <v>226.72</v>
      </c>
      <c r="L530" s="383">
        <v>-2.39</v>
      </c>
    </row>
    <row r="531" spans="2:12">
      <c r="B531" s="1050"/>
      <c r="C531" s="1050"/>
      <c r="D531" s="382" t="s">
        <v>2466</v>
      </c>
      <c r="E531" s="382" t="s">
        <v>2013</v>
      </c>
      <c r="F531" s="382" t="s">
        <v>2342</v>
      </c>
      <c r="G531" s="382" t="s">
        <v>2345</v>
      </c>
      <c r="H531" s="383">
        <v>-8.48</v>
      </c>
      <c r="I531" s="1046">
        <v>610.30999999999995</v>
      </c>
      <c r="J531" s="1047"/>
      <c r="K531" s="383">
        <v>601.75</v>
      </c>
      <c r="L531" s="383">
        <v>-17.04</v>
      </c>
    </row>
    <row r="532" spans="2:12">
      <c r="B532" s="1050"/>
      <c r="C532" s="1050"/>
      <c r="D532" s="382" t="s">
        <v>2466</v>
      </c>
      <c r="E532" s="382" t="s">
        <v>2013</v>
      </c>
      <c r="F532" s="382" t="s">
        <v>2342</v>
      </c>
      <c r="G532" s="382" t="s">
        <v>2346</v>
      </c>
      <c r="H532" s="383">
        <v>-4.1900000000000004</v>
      </c>
      <c r="I532" s="1046">
        <v>196.57</v>
      </c>
      <c r="J532" s="1047"/>
      <c r="K532" s="383">
        <v>194.98</v>
      </c>
      <c r="L532" s="383">
        <v>-5.78</v>
      </c>
    </row>
    <row r="533" spans="2:12">
      <c r="B533" s="1050"/>
      <c r="C533" s="1050"/>
      <c r="D533" s="382" t="s">
        <v>2466</v>
      </c>
      <c r="E533" s="382" t="s">
        <v>2013</v>
      </c>
      <c r="F533" s="382" t="s">
        <v>2342</v>
      </c>
      <c r="G533" s="382" t="s">
        <v>2347</v>
      </c>
      <c r="H533" s="383">
        <v>-8</v>
      </c>
      <c r="I533" s="1046">
        <v>124.07</v>
      </c>
      <c r="J533" s="1047"/>
      <c r="K533" s="383">
        <v>127.83</v>
      </c>
      <c r="L533" s="383">
        <v>-4.24</v>
      </c>
    </row>
    <row r="534" spans="2:12">
      <c r="B534" s="1050"/>
      <c r="C534" s="1050"/>
      <c r="D534" s="382" t="s">
        <v>2466</v>
      </c>
      <c r="E534" s="382" t="s">
        <v>2013</v>
      </c>
      <c r="F534" s="382" t="s">
        <v>2342</v>
      </c>
      <c r="G534" s="382" t="s">
        <v>2348</v>
      </c>
      <c r="H534" s="383">
        <v>-10.87</v>
      </c>
      <c r="I534" s="1046">
        <v>357.28</v>
      </c>
      <c r="J534" s="1047"/>
      <c r="K534" s="383">
        <v>347.02</v>
      </c>
      <c r="L534" s="383">
        <v>-21.13</v>
      </c>
    </row>
    <row r="535" spans="2:12">
      <c r="B535" s="1050"/>
      <c r="C535" s="1050"/>
      <c r="D535" s="382" t="s">
        <v>2466</v>
      </c>
      <c r="E535" s="382" t="s">
        <v>2013</v>
      </c>
      <c r="F535" s="382" t="s">
        <v>2342</v>
      </c>
      <c r="G535" s="382" t="s">
        <v>2349</v>
      </c>
      <c r="H535" s="383">
        <v>-32.89</v>
      </c>
      <c r="I535" s="1046">
        <v>803.16</v>
      </c>
      <c r="J535" s="1047"/>
      <c r="K535" s="383">
        <v>816.99</v>
      </c>
      <c r="L535" s="383">
        <v>-19.059999999999999</v>
      </c>
    </row>
    <row r="536" spans="2:12">
      <c r="B536" s="1050"/>
      <c r="C536" s="1050"/>
      <c r="D536" s="382" t="s">
        <v>2466</v>
      </c>
      <c r="E536" s="382" t="s">
        <v>2013</v>
      </c>
      <c r="F536" s="382" t="s">
        <v>2342</v>
      </c>
      <c r="G536" s="382" t="s">
        <v>2350</v>
      </c>
      <c r="H536" s="383">
        <v>-17.39</v>
      </c>
      <c r="I536" s="1046">
        <v>1239.5899999999999</v>
      </c>
      <c r="J536" s="1047"/>
      <c r="K536" s="383">
        <v>1227.52</v>
      </c>
      <c r="L536" s="383">
        <v>-29.46</v>
      </c>
    </row>
    <row r="537" spans="2:12">
      <c r="B537" s="1050"/>
      <c r="C537" s="1050"/>
      <c r="D537" s="382" t="s">
        <v>2466</v>
      </c>
      <c r="E537" s="382" t="s">
        <v>2013</v>
      </c>
      <c r="F537" s="382" t="s">
        <v>2342</v>
      </c>
      <c r="G537" s="382" t="s">
        <v>2351</v>
      </c>
      <c r="H537" s="383">
        <v>-7.46</v>
      </c>
      <c r="I537" s="1046">
        <v>31.03</v>
      </c>
      <c r="J537" s="1047"/>
      <c r="K537" s="383">
        <v>38.06</v>
      </c>
      <c r="L537" s="383">
        <v>-0.43</v>
      </c>
    </row>
    <row r="538" spans="2:12">
      <c r="B538" s="1050"/>
      <c r="C538" s="1050"/>
      <c r="D538" s="382" t="s">
        <v>2466</v>
      </c>
      <c r="E538" s="382" t="s">
        <v>2013</v>
      </c>
      <c r="F538" s="382" t="s">
        <v>2342</v>
      </c>
      <c r="G538" s="382" t="s">
        <v>2352</v>
      </c>
      <c r="H538" s="383">
        <v>-60.64</v>
      </c>
      <c r="I538" s="1046">
        <v>508.61</v>
      </c>
      <c r="J538" s="1047"/>
      <c r="K538" s="383">
        <v>559.46</v>
      </c>
      <c r="L538" s="383">
        <v>-9.7899999999999991</v>
      </c>
    </row>
    <row r="539" spans="2:12">
      <c r="B539" s="1050"/>
      <c r="C539" s="1050"/>
      <c r="D539" s="382" t="s">
        <v>2466</v>
      </c>
      <c r="E539" s="382" t="s">
        <v>2013</v>
      </c>
      <c r="F539" s="382" t="s">
        <v>2342</v>
      </c>
      <c r="G539" s="382" t="s">
        <v>2353</v>
      </c>
      <c r="H539" s="383">
        <v>0</v>
      </c>
      <c r="I539" s="1046">
        <v>26.76</v>
      </c>
      <c r="J539" s="1047"/>
      <c r="K539" s="383">
        <v>21.37</v>
      </c>
      <c r="L539" s="383">
        <v>-5.39</v>
      </c>
    </row>
    <row r="540" spans="2:12">
      <c r="B540" s="1050"/>
      <c r="C540" s="1050"/>
      <c r="D540" s="382" t="s">
        <v>2466</v>
      </c>
      <c r="E540" s="382" t="s">
        <v>2013</v>
      </c>
      <c r="F540" s="382" t="s">
        <v>2342</v>
      </c>
      <c r="G540" s="382" t="s">
        <v>405</v>
      </c>
      <c r="H540" s="383">
        <v>0</v>
      </c>
      <c r="I540" s="1046">
        <v>19.559999999999999</v>
      </c>
      <c r="J540" s="1047"/>
      <c r="K540" s="383">
        <v>19.559999999999999</v>
      </c>
      <c r="L540" s="383">
        <v>0</v>
      </c>
    </row>
    <row r="541" spans="2:12">
      <c r="B541" s="1050"/>
      <c r="C541" s="1050"/>
      <c r="D541" s="382" t="s">
        <v>2467</v>
      </c>
      <c r="E541" s="382" t="s">
        <v>2014</v>
      </c>
      <c r="F541" s="382" t="s">
        <v>2342</v>
      </c>
      <c r="G541" s="382" t="s">
        <v>2355</v>
      </c>
      <c r="H541" s="383">
        <v>-2.4900000000000002</v>
      </c>
      <c r="I541" s="1046">
        <v>91.9</v>
      </c>
      <c r="J541" s="1047"/>
      <c r="K541" s="383">
        <v>94.38</v>
      </c>
      <c r="L541" s="383">
        <v>-0.01</v>
      </c>
    </row>
    <row r="542" spans="2:12">
      <c r="B542" s="1050"/>
      <c r="C542" s="1050"/>
      <c r="D542" s="382" t="s">
        <v>2468</v>
      </c>
      <c r="E542" s="382" t="s">
        <v>2015</v>
      </c>
      <c r="F542" s="382" t="s">
        <v>2342</v>
      </c>
      <c r="G542" s="382" t="s">
        <v>2343</v>
      </c>
      <c r="H542" s="383">
        <v>0</v>
      </c>
      <c r="I542" s="1046">
        <v>0.44</v>
      </c>
      <c r="J542" s="1047"/>
      <c r="K542" s="383">
        <v>0</v>
      </c>
      <c r="L542" s="383">
        <v>-0.44</v>
      </c>
    </row>
    <row r="543" spans="2:12">
      <c r="B543" s="1050"/>
      <c r="C543" s="1050"/>
      <c r="D543" s="382" t="s">
        <v>2468</v>
      </c>
      <c r="E543" s="382" t="s">
        <v>2015</v>
      </c>
      <c r="F543" s="382" t="s">
        <v>2342</v>
      </c>
      <c r="G543" s="382" t="s">
        <v>2344</v>
      </c>
      <c r="H543" s="383">
        <v>0</v>
      </c>
      <c r="I543" s="1046">
        <v>295.93</v>
      </c>
      <c r="J543" s="1047"/>
      <c r="K543" s="383">
        <v>295.93</v>
      </c>
      <c r="L543" s="383">
        <v>0</v>
      </c>
    </row>
    <row r="544" spans="2:12">
      <c r="B544" s="1050"/>
      <c r="C544" s="1050"/>
      <c r="D544" s="382" t="s">
        <v>2468</v>
      </c>
      <c r="E544" s="382" t="s">
        <v>2015</v>
      </c>
      <c r="F544" s="382" t="s">
        <v>2342</v>
      </c>
      <c r="G544" s="382" t="s">
        <v>2347</v>
      </c>
      <c r="H544" s="383">
        <v>0</v>
      </c>
      <c r="I544" s="1046">
        <v>1.32</v>
      </c>
      <c r="J544" s="1047"/>
      <c r="K544" s="383">
        <v>1.32</v>
      </c>
      <c r="L544" s="383">
        <v>0</v>
      </c>
    </row>
    <row r="545" spans="2:12">
      <c r="B545" s="1050"/>
      <c r="C545" s="1050"/>
      <c r="D545" s="382" t="s">
        <v>2468</v>
      </c>
      <c r="E545" s="382" t="s">
        <v>2015</v>
      </c>
      <c r="F545" s="382" t="s">
        <v>2342</v>
      </c>
      <c r="G545" s="382" t="s">
        <v>2350</v>
      </c>
      <c r="H545" s="383">
        <v>0</v>
      </c>
      <c r="I545" s="1046">
        <v>17.989999999999998</v>
      </c>
      <c r="J545" s="1047"/>
      <c r="K545" s="383">
        <v>17.989999999999998</v>
      </c>
      <c r="L545" s="383">
        <v>0</v>
      </c>
    </row>
    <row r="546" spans="2:12">
      <c r="B546" s="1050"/>
      <c r="C546" s="1051"/>
      <c r="D546" s="359" t="s">
        <v>12</v>
      </c>
      <c r="E546" s="359" t="s">
        <v>111</v>
      </c>
      <c r="F546" s="359" t="s">
        <v>111</v>
      </c>
      <c r="G546" s="359" t="s">
        <v>111</v>
      </c>
      <c r="H546" s="384">
        <v>-2184.86</v>
      </c>
      <c r="I546" s="1048">
        <v>48028.19</v>
      </c>
      <c r="J546" s="1047"/>
      <c r="K546" s="384">
        <v>48961.16</v>
      </c>
      <c r="L546" s="384">
        <v>-1251.8900000000001</v>
      </c>
    </row>
    <row r="547" spans="2:12">
      <c r="B547" s="1050"/>
      <c r="C547" s="1049" t="s">
        <v>2469</v>
      </c>
      <c r="D547" s="382" t="s">
        <v>2470</v>
      </c>
      <c r="E547" s="382" t="s">
        <v>2462</v>
      </c>
      <c r="F547" s="382" t="s">
        <v>2342</v>
      </c>
      <c r="G547" s="382" t="s">
        <v>2343</v>
      </c>
      <c r="H547" s="383">
        <v>-328.74</v>
      </c>
      <c r="I547" s="1046">
        <v>2656.79</v>
      </c>
      <c r="J547" s="1047"/>
      <c r="K547" s="383">
        <v>1348.8</v>
      </c>
      <c r="L547" s="383">
        <v>-1636.73</v>
      </c>
    </row>
    <row r="548" spans="2:12">
      <c r="B548" s="1050"/>
      <c r="C548" s="1050"/>
      <c r="D548" s="382" t="s">
        <v>2470</v>
      </c>
      <c r="E548" s="382" t="s">
        <v>2462</v>
      </c>
      <c r="F548" s="382" t="s">
        <v>2342</v>
      </c>
      <c r="G548" s="382" t="s">
        <v>2344</v>
      </c>
      <c r="H548" s="383">
        <v>442.72</v>
      </c>
      <c r="I548" s="1046">
        <v>478.49</v>
      </c>
      <c r="J548" s="1047"/>
      <c r="K548" s="383">
        <v>245.21</v>
      </c>
      <c r="L548" s="383">
        <v>209.44</v>
      </c>
    </row>
    <row r="549" spans="2:12">
      <c r="B549" s="1050"/>
      <c r="C549" s="1050"/>
      <c r="D549" s="382" t="s">
        <v>2470</v>
      </c>
      <c r="E549" s="382" t="s">
        <v>2462</v>
      </c>
      <c r="F549" s="382" t="s">
        <v>2342</v>
      </c>
      <c r="G549" s="382" t="s">
        <v>2345</v>
      </c>
      <c r="H549" s="383">
        <v>-544.6</v>
      </c>
      <c r="I549" s="1046">
        <v>1309.6199999999999</v>
      </c>
      <c r="J549" s="1047"/>
      <c r="K549" s="383">
        <v>653.66</v>
      </c>
      <c r="L549" s="383">
        <v>-1200.56</v>
      </c>
    </row>
    <row r="550" spans="2:12">
      <c r="B550" s="1050"/>
      <c r="C550" s="1050"/>
      <c r="D550" s="382" t="s">
        <v>2470</v>
      </c>
      <c r="E550" s="382" t="s">
        <v>2462</v>
      </c>
      <c r="F550" s="382" t="s">
        <v>2342</v>
      </c>
      <c r="G550" s="382" t="s">
        <v>2346</v>
      </c>
      <c r="H550" s="383">
        <v>-482.44</v>
      </c>
      <c r="I550" s="1046">
        <v>793.94</v>
      </c>
      <c r="J550" s="1047"/>
      <c r="K550" s="383">
        <v>940.35</v>
      </c>
      <c r="L550" s="383">
        <v>-336.03</v>
      </c>
    </row>
    <row r="551" spans="2:12">
      <c r="B551" s="1050"/>
      <c r="C551" s="1050"/>
      <c r="D551" s="382" t="s">
        <v>2470</v>
      </c>
      <c r="E551" s="382" t="s">
        <v>2462</v>
      </c>
      <c r="F551" s="382" t="s">
        <v>2342</v>
      </c>
      <c r="G551" s="382" t="s">
        <v>2347</v>
      </c>
      <c r="H551" s="383">
        <v>-1667.43</v>
      </c>
      <c r="I551" s="1046">
        <v>3509.23</v>
      </c>
      <c r="J551" s="1047"/>
      <c r="K551" s="383">
        <v>3464.88</v>
      </c>
      <c r="L551" s="383">
        <v>-1711.78</v>
      </c>
    </row>
    <row r="552" spans="2:12">
      <c r="B552" s="1050"/>
      <c r="C552" s="1050"/>
      <c r="D552" s="382" t="s">
        <v>2470</v>
      </c>
      <c r="E552" s="382" t="s">
        <v>2462</v>
      </c>
      <c r="F552" s="382" t="s">
        <v>2342</v>
      </c>
      <c r="G552" s="382" t="s">
        <v>2348</v>
      </c>
      <c r="H552" s="383">
        <v>-960.77</v>
      </c>
      <c r="I552" s="1046">
        <v>1960.17</v>
      </c>
      <c r="J552" s="1047"/>
      <c r="K552" s="383">
        <v>2018.65</v>
      </c>
      <c r="L552" s="383">
        <v>-902.29</v>
      </c>
    </row>
    <row r="553" spans="2:12">
      <c r="B553" s="1050"/>
      <c r="C553" s="1050"/>
      <c r="D553" s="382" t="s">
        <v>2470</v>
      </c>
      <c r="E553" s="382" t="s">
        <v>2462</v>
      </c>
      <c r="F553" s="382" t="s">
        <v>2342</v>
      </c>
      <c r="G553" s="382" t="s">
        <v>2349</v>
      </c>
      <c r="H553" s="383">
        <v>-2780.58</v>
      </c>
      <c r="I553" s="1046">
        <v>4885.41</v>
      </c>
      <c r="J553" s="1047"/>
      <c r="K553" s="383">
        <v>4042.46</v>
      </c>
      <c r="L553" s="383">
        <v>-3623.53</v>
      </c>
    </row>
    <row r="554" spans="2:12">
      <c r="B554" s="1050"/>
      <c r="C554" s="1050"/>
      <c r="D554" s="382" t="s">
        <v>2470</v>
      </c>
      <c r="E554" s="382" t="s">
        <v>2462</v>
      </c>
      <c r="F554" s="382" t="s">
        <v>2342</v>
      </c>
      <c r="G554" s="382" t="s">
        <v>2350</v>
      </c>
      <c r="H554" s="383">
        <v>81.3</v>
      </c>
      <c r="I554" s="1046">
        <v>1384.66</v>
      </c>
      <c r="J554" s="1047"/>
      <c r="K554" s="383">
        <v>1808.93</v>
      </c>
      <c r="L554" s="383">
        <v>505.57</v>
      </c>
    </row>
    <row r="555" spans="2:12">
      <c r="B555" s="1050"/>
      <c r="C555" s="1050"/>
      <c r="D555" s="382" t="s">
        <v>2470</v>
      </c>
      <c r="E555" s="382" t="s">
        <v>2462</v>
      </c>
      <c r="F555" s="382" t="s">
        <v>2342</v>
      </c>
      <c r="G555" s="382" t="s">
        <v>2351</v>
      </c>
      <c r="H555" s="383">
        <v>1726.27</v>
      </c>
      <c r="I555" s="1046">
        <v>1852.16</v>
      </c>
      <c r="J555" s="1047"/>
      <c r="K555" s="383">
        <v>1770.2</v>
      </c>
      <c r="L555" s="383">
        <v>1644.31</v>
      </c>
    </row>
    <row r="556" spans="2:12">
      <c r="B556" s="1050"/>
      <c r="C556" s="1050"/>
      <c r="D556" s="382" t="s">
        <v>2470</v>
      </c>
      <c r="E556" s="382" t="s">
        <v>2462</v>
      </c>
      <c r="F556" s="382" t="s">
        <v>2342</v>
      </c>
      <c r="G556" s="382" t="s">
        <v>2352</v>
      </c>
      <c r="H556" s="383">
        <v>-231.74</v>
      </c>
      <c r="I556" s="1046">
        <v>1818.44</v>
      </c>
      <c r="J556" s="1047"/>
      <c r="K556" s="383">
        <v>1084.24</v>
      </c>
      <c r="L556" s="383">
        <v>-965.94</v>
      </c>
    </row>
    <row r="557" spans="2:12">
      <c r="B557" s="1050"/>
      <c r="C557" s="1050"/>
      <c r="D557" s="382" t="s">
        <v>2470</v>
      </c>
      <c r="E557" s="382" t="s">
        <v>2462</v>
      </c>
      <c r="F557" s="382" t="s">
        <v>2342</v>
      </c>
      <c r="G557" s="382" t="s">
        <v>2353</v>
      </c>
      <c r="H557" s="383">
        <v>-787.48</v>
      </c>
      <c r="I557" s="1046">
        <v>2176.6999999999998</v>
      </c>
      <c r="J557" s="1047"/>
      <c r="K557" s="383">
        <v>1778.08</v>
      </c>
      <c r="L557" s="383">
        <v>-1186.0999999999999</v>
      </c>
    </row>
    <row r="558" spans="2:12">
      <c r="B558" s="1050"/>
      <c r="C558" s="1050"/>
      <c r="D558" s="382" t="s">
        <v>2470</v>
      </c>
      <c r="E558" s="382" t="s">
        <v>2462</v>
      </c>
      <c r="F558" s="382" t="s">
        <v>2342</v>
      </c>
      <c r="G558" s="382" t="s">
        <v>405</v>
      </c>
      <c r="H558" s="383">
        <v>-384.19</v>
      </c>
      <c r="I558" s="1046">
        <v>1103.1400000000001</v>
      </c>
      <c r="J558" s="1047"/>
      <c r="K558" s="383">
        <v>1255.31</v>
      </c>
      <c r="L558" s="383">
        <v>-232.02</v>
      </c>
    </row>
    <row r="559" spans="2:12">
      <c r="B559" s="1050"/>
      <c r="C559" s="1050"/>
      <c r="D559" s="382" t="s">
        <v>2471</v>
      </c>
      <c r="E559" s="382" t="s">
        <v>2011</v>
      </c>
      <c r="F559" s="382" t="s">
        <v>2342</v>
      </c>
      <c r="G559" s="382" t="s">
        <v>2343</v>
      </c>
      <c r="H559" s="383">
        <v>-1543.11</v>
      </c>
      <c r="I559" s="1046">
        <v>1620.19</v>
      </c>
      <c r="J559" s="1047"/>
      <c r="K559" s="383">
        <v>2346.6799999999998</v>
      </c>
      <c r="L559" s="383">
        <v>-816.62</v>
      </c>
    </row>
    <row r="560" spans="2:12">
      <c r="B560" s="1050"/>
      <c r="C560" s="1050"/>
      <c r="D560" s="382" t="s">
        <v>2471</v>
      </c>
      <c r="E560" s="382" t="s">
        <v>2011</v>
      </c>
      <c r="F560" s="382" t="s">
        <v>2342</v>
      </c>
      <c r="G560" s="382" t="s">
        <v>2344</v>
      </c>
      <c r="H560" s="383">
        <v>184.87</v>
      </c>
      <c r="I560" s="1046">
        <v>549.19000000000005</v>
      </c>
      <c r="J560" s="1047"/>
      <c r="K560" s="383">
        <v>506.48</v>
      </c>
      <c r="L560" s="383">
        <v>142.16</v>
      </c>
    </row>
    <row r="561" spans="2:12">
      <c r="B561" s="1050"/>
      <c r="C561" s="1050"/>
      <c r="D561" s="382" t="s">
        <v>2471</v>
      </c>
      <c r="E561" s="382" t="s">
        <v>2011</v>
      </c>
      <c r="F561" s="382" t="s">
        <v>2342</v>
      </c>
      <c r="G561" s="382" t="s">
        <v>2345</v>
      </c>
      <c r="H561" s="383">
        <v>-162.29</v>
      </c>
      <c r="I561" s="1046">
        <v>609.9</v>
      </c>
      <c r="J561" s="1047"/>
      <c r="K561" s="383">
        <v>702.52</v>
      </c>
      <c r="L561" s="383">
        <v>-69.67</v>
      </c>
    </row>
    <row r="562" spans="2:12">
      <c r="B562" s="1050"/>
      <c r="C562" s="1050"/>
      <c r="D562" s="382" t="s">
        <v>2471</v>
      </c>
      <c r="E562" s="382" t="s">
        <v>2011</v>
      </c>
      <c r="F562" s="382" t="s">
        <v>2342</v>
      </c>
      <c r="G562" s="382" t="s">
        <v>2346</v>
      </c>
      <c r="H562" s="383">
        <v>-378.32</v>
      </c>
      <c r="I562" s="1046">
        <v>726.92</v>
      </c>
      <c r="J562" s="1047"/>
      <c r="K562" s="383">
        <v>454.47</v>
      </c>
      <c r="L562" s="383">
        <v>-650.77</v>
      </c>
    </row>
    <row r="563" spans="2:12">
      <c r="B563" s="1050"/>
      <c r="C563" s="1050"/>
      <c r="D563" s="382" t="s">
        <v>2471</v>
      </c>
      <c r="E563" s="382" t="s">
        <v>2011</v>
      </c>
      <c r="F563" s="382" t="s">
        <v>2342</v>
      </c>
      <c r="G563" s="382" t="s">
        <v>2347</v>
      </c>
      <c r="H563" s="383">
        <v>-211.65</v>
      </c>
      <c r="I563" s="1046">
        <v>2017.43</v>
      </c>
      <c r="J563" s="1047"/>
      <c r="K563" s="383">
        <v>1465.98</v>
      </c>
      <c r="L563" s="383">
        <v>-763.1</v>
      </c>
    </row>
    <row r="564" spans="2:12">
      <c r="B564" s="1050"/>
      <c r="C564" s="1050"/>
      <c r="D564" s="382" t="s">
        <v>2471</v>
      </c>
      <c r="E564" s="382" t="s">
        <v>2011</v>
      </c>
      <c r="F564" s="382" t="s">
        <v>2342</v>
      </c>
      <c r="G564" s="382" t="s">
        <v>2348</v>
      </c>
      <c r="H564" s="383">
        <v>-466.19</v>
      </c>
      <c r="I564" s="1046">
        <v>1457.21</v>
      </c>
      <c r="J564" s="1047"/>
      <c r="K564" s="383">
        <v>1361.71</v>
      </c>
      <c r="L564" s="383">
        <v>-561.69000000000005</v>
      </c>
    </row>
    <row r="565" spans="2:12">
      <c r="B565" s="1050"/>
      <c r="C565" s="1050"/>
      <c r="D565" s="382" t="s">
        <v>2471</v>
      </c>
      <c r="E565" s="382" t="s">
        <v>2011</v>
      </c>
      <c r="F565" s="382" t="s">
        <v>2342</v>
      </c>
      <c r="G565" s="382" t="s">
        <v>2349</v>
      </c>
      <c r="H565" s="383">
        <v>-267.68</v>
      </c>
      <c r="I565" s="1046">
        <v>1195.21</v>
      </c>
      <c r="J565" s="1047"/>
      <c r="K565" s="383">
        <v>971.21</v>
      </c>
      <c r="L565" s="383">
        <v>-491.68</v>
      </c>
    </row>
    <row r="566" spans="2:12">
      <c r="B566" s="1050"/>
      <c r="C566" s="1050"/>
      <c r="D566" s="382" t="s">
        <v>2471</v>
      </c>
      <c r="E566" s="382" t="s">
        <v>2011</v>
      </c>
      <c r="F566" s="382" t="s">
        <v>2342</v>
      </c>
      <c r="G566" s="382" t="s">
        <v>2350</v>
      </c>
      <c r="H566" s="383">
        <v>-884.63</v>
      </c>
      <c r="I566" s="1046">
        <v>1961.99</v>
      </c>
      <c r="J566" s="1047"/>
      <c r="K566" s="383">
        <v>1857.09</v>
      </c>
      <c r="L566" s="383">
        <v>-989.53</v>
      </c>
    </row>
    <row r="567" spans="2:12">
      <c r="B567" s="1050"/>
      <c r="C567" s="1050"/>
      <c r="D567" s="382" t="s">
        <v>2471</v>
      </c>
      <c r="E567" s="382" t="s">
        <v>2011</v>
      </c>
      <c r="F567" s="382" t="s">
        <v>2342</v>
      </c>
      <c r="G567" s="382" t="s">
        <v>2351</v>
      </c>
      <c r="H567" s="383">
        <v>-997.33</v>
      </c>
      <c r="I567" s="1046">
        <v>1859.35</v>
      </c>
      <c r="J567" s="1047"/>
      <c r="K567" s="383">
        <v>1452.14</v>
      </c>
      <c r="L567" s="383">
        <v>-1404.54</v>
      </c>
    </row>
    <row r="568" spans="2:12">
      <c r="B568" s="1050"/>
      <c r="C568" s="1050"/>
      <c r="D568" s="382" t="s">
        <v>2471</v>
      </c>
      <c r="E568" s="382" t="s">
        <v>2011</v>
      </c>
      <c r="F568" s="382" t="s">
        <v>2342</v>
      </c>
      <c r="G568" s="382" t="s">
        <v>2352</v>
      </c>
      <c r="H568" s="383">
        <v>-85.99</v>
      </c>
      <c r="I568" s="1046">
        <v>414.02</v>
      </c>
      <c r="J568" s="1047"/>
      <c r="K568" s="383">
        <v>362.51</v>
      </c>
      <c r="L568" s="383">
        <v>-137.5</v>
      </c>
    </row>
    <row r="569" spans="2:12">
      <c r="B569" s="1050"/>
      <c r="C569" s="1050"/>
      <c r="D569" s="382" t="s">
        <v>2471</v>
      </c>
      <c r="E569" s="382" t="s">
        <v>2011</v>
      </c>
      <c r="F569" s="382" t="s">
        <v>2342</v>
      </c>
      <c r="G569" s="382" t="s">
        <v>2353</v>
      </c>
      <c r="H569" s="383">
        <v>-563.19000000000005</v>
      </c>
      <c r="I569" s="1046">
        <v>1024.47</v>
      </c>
      <c r="J569" s="1047"/>
      <c r="K569" s="383">
        <v>1370.79</v>
      </c>
      <c r="L569" s="383">
        <v>-216.87</v>
      </c>
    </row>
    <row r="570" spans="2:12">
      <c r="B570" s="1050"/>
      <c r="C570" s="1050"/>
      <c r="D570" s="382" t="s">
        <v>2471</v>
      </c>
      <c r="E570" s="382" t="s">
        <v>2011</v>
      </c>
      <c r="F570" s="382" t="s">
        <v>2342</v>
      </c>
      <c r="G570" s="382" t="s">
        <v>405</v>
      </c>
      <c r="H570" s="383">
        <v>-35.659999999999997</v>
      </c>
      <c r="I570" s="1046">
        <v>395.8</v>
      </c>
      <c r="J570" s="1047"/>
      <c r="K570" s="383">
        <v>263.89</v>
      </c>
      <c r="L570" s="383">
        <v>-167.57</v>
      </c>
    </row>
    <row r="571" spans="2:12">
      <c r="B571" s="1050"/>
      <c r="C571" s="1050"/>
      <c r="D571" s="382" t="s">
        <v>2472</v>
      </c>
      <c r="E571" s="382" t="s">
        <v>2465</v>
      </c>
      <c r="F571" s="382" t="s">
        <v>2342</v>
      </c>
      <c r="G571" s="382" t="s">
        <v>2343</v>
      </c>
      <c r="H571" s="383">
        <v>-37.49</v>
      </c>
      <c r="I571" s="1046">
        <v>812.35</v>
      </c>
      <c r="J571" s="1047"/>
      <c r="K571" s="383">
        <v>900.07</v>
      </c>
      <c r="L571" s="383">
        <v>50.23</v>
      </c>
    </row>
    <row r="572" spans="2:12">
      <c r="B572" s="1050"/>
      <c r="C572" s="1050"/>
      <c r="D572" s="382" t="s">
        <v>2472</v>
      </c>
      <c r="E572" s="382" t="s">
        <v>2465</v>
      </c>
      <c r="F572" s="382" t="s">
        <v>2342</v>
      </c>
      <c r="G572" s="382" t="s">
        <v>2344</v>
      </c>
      <c r="H572" s="383">
        <v>-292.63</v>
      </c>
      <c r="I572" s="1046">
        <v>464.11</v>
      </c>
      <c r="J572" s="1047"/>
      <c r="K572" s="383">
        <v>519.82000000000005</v>
      </c>
      <c r="L572" s="383">
        <v>-236.92</v>
      </c>
    </row>
    <row r="573" spans="2:12">
      <c r="B573" s="1050"/>
      <c r="C573" s="1050"/>
      <c r="D573" s="382" t="s">
        <v>2472</v>
      </c>
      <c r="E573" s="382" t="s">
        <v>2465</v>
      </c>
      <c r="F573" s="382" t="s">
        <v>2342</v>
      </c>
      <c r="G573" s="382" t="s">
        <v>2345</v>
      </c>
      <c r="H573" s="383">
        <v>-477.03</v>
      </c>
      <c r="I573" s="1046">
        <v>481.75</v>
      </c>
      <c r="J573" s="1047"/>
      <c r="K573" s="383">
        <v>889.25</v>
      </c>
      <c r="L573" s="383">
        <v>-69.53</v>
      </c>
    </row>
    <row r="574" spans="2:12">
      <c r="B574" s="1050"/>
      <c r="C574" s="1050"/>
      <c r="D574" s="382" t="s">
        <v>2472</v>
      </c>
      <c r="E574" s="382" t="s">
        <v>2465</v>
      </c>
      <c r="F574" s="382" t="s">
        <v>2342</v>
      </c>
      <c r="G574" s="382" t="s">
        <v>2346</v>
      </c>
      <c r="H574" s="383">
        <v>-269.14</v>
      </c>
      <c r="I574" s="1046">
        <v>268.60000000000002</v>
      </c>
      <c r="J574" s="1047"/>
      <c r="K574" s="383">
        <v>398.38</v>
      </c>
      <c r="L574" s="383">
        <v>-139.36000000000001</v>
      </c>
    </row>
    <row r="575" spans="2:12">
      <c r="B575" s="1050"/>
      <c r="C575" s="1050"/>
      <c r="D575" s="382" t="s">
        <v>2472</v>
      </c>
      <c r="E575" s="382" t="s">
        <v>2465</v>
      </c>
      <c r="F575" s="382" t="s">
        <v>2342</v>
      </c>
      <c r="G575" s="382" t="s">
        <v>2347</v>
      </c>
      <c r="H575" s="383">
        <v>-338.12</v>
      </c>
      <c r="I575" s="1046">
        <v>1567.55</v>
      </c>
      <c r="J575" s="1047"/>
      <c r="K575" s="383">
        <v>1230.01</v>
      </c>
      <c r="L575" s="383">
        <v>-675.66</v>
      </c>
    </row>
    <row r="576" spans="2:12">
      <c r="B576" s="1050"/>
      <c r="C576" s="1050"/>
      <c r="D576" s="382" t="s">
        <v>2472</v>
      </c>
      <c r="E576" s="382" t="s">
        <v>2465</v>
      </c>
      <c r="F576" s="382" t="s">
        <v>2342</v>
      </c>
      <c r="G576" s="382" t="s">
        <v>2348</v>
      </c>
      <c r="H576" s="383">
        <v>-109.01</v>
      </c>
      <c r="I576" s="1046">
        <v>586.76</v>
      </c>
      <c r="J576" s="1047"/>
      <c r="K576" s="383">
        <v>339.78</v>
      </c>
      <c r="L576" s="383">
        <v>-355.99</v>
      </c>
    </row>
    <row r="577" spans="2:12">
      <c r="B577" s="1050"/>
      <c r="C577" s="1050"/>
      <c r="D577" s="382" t="s">
        <v>2472</v>
      </c>
      <c r="E577" s="382" t="s">
        <v>2465</v>
      </c>
      <c r="F577" s="382" t="s">
        <v>2342</v>
      </c>
      <c r="G577" s="382" t="s">
        <v>2349</v>
      </c>
      <c r="H577" s="383">
        <v>-976.31</v>
      </c>
      <c r="I577" s="1046">
        <v>1759.8</v>
      </c>
      <c r="J577" s="1047"/>
      <c r="K577" s="383">
        <v>1955.7</v>
      </c>
      <c r="L577" s="383">
        <v>-780.41</v>
      </c>
    </row>
    <row r="578" spans="2:12">
      <c r="B578" s="1050"/>
      <c r="C578" s="1050"/>
      <c r="D578" s="382" t="s">
        <v>2472</v>
      </c>
      <c r="E578" s="382" t="s">
        <v>2465</v>
      </c>
      <c r="F578" s="382" t="s">
        <v>2342</v>
      </c>
      <c r="G578" s="382" t="s">
        <v>2350</v>
      </c>
      <c r="H578" s="383">
        <v>-60.43</v>
      </c>
      <c r="I578" s="1046">
        <v>554.15</v>
      </c>
      <c r="J578" s="1047"/>
      <c r="K578" s="383">
        <v>499.48</v>
      </c>
      <c r="L578" s="383">
        <v>-115.1</v>
      </c>
    </row>
    <row r="579" spans="2:12">
      <c r="B579" s="1050"/>
      <c r="C579" s="1050"/>
      <c r="D579" s="382" t="s">
        <v>2472</v>
      </c>
      <c r="E579" s="382" t="s">
        <v>2465</v>
      </c>
      <c r="F579" s="382" t="s">
        <v>2342</v>
      </c>
      <c r="G579" s="382" t="s">
        <v>2351</v>
      </c>
      <c r="H579" s="383">
        <v>-53.14</v>
      </c>
      <c r="I579" s="1046">
        <v>379.83</v>
      </c>
      <c r="J579" s="1047"/>
      <c r="K579" s="383">
        <v>310.70999999999998</v>
      </c>
      <c r="L579" s="383">
        <v>-122.26</v>
      </c>
    </row>
    <row r="580" spans="2:12">
      <c r="B580" s="1050"/>
      <c r="C580" s="1050"/>
      <c r="D580" s="382" t="s">
        <v>2472</v>
      </c>
      <c r="E580" s="382" t="s">
        <v>2465</v>
      </c>
      <c r="F580" s="382" t="s">
        <v>2342</v>
      </c>
      <c r="G580" s="382" t="s">
        <v>2352</v>
      </c>
      <c r="H580" s="383">
        <v>-182.19</v>
      </c>
      <c r="I580" s="1046">
        <v>958.18</v>
      </c>
      <c r="J580" s="1047"/>
      <c r="K580" s="383">
        <v>798.07</v>
      </c>
      <c r="L580" s="383">
        <v>-342.3</v>
      </c>
    </row>
    <row r="581" spans="2:12">
      <c r="B581" s="1050"/>
      <c r="C581" s="1050"/>
      <c r="D581" s="382" t="s">
        <v>2472</v>
      </c>
      <c r="E581" s="382" t="s">
        <v>2465</v>
      </c>
      <c r="F581" s="382" t="s">
        <v>2342</v>
      </c>
      <c r="G581" s="382" t="s">
        <v>2353</v>
      </c>
      <c r="H581" s="383">
        <v>-247.26</v>
      </c>
      <c r="I581" s="1046">
        <v>149.63</v>
      </c>
      <c r="J581" s="1047"/>
      <c r="K581" s="383">
        <v>532.24</v>
      </c>
      <c r="L581" s="383">
        <v>135.35</v>
      </c>
    </row>
    <row r="582" spans="2:12">
      <c r="B582" s="1050"/>
      <c r="C582" s="1050"/>
      <c r="D582" s="382" t="s">
        <v>2472</v>
      </c>
      <c r="E582" s="382" t="s">
        <v>2465</v>
      </c>
      <c r="F582" s="382" t="s">
        <v>2342</v>
      </c>
      <c r="G582" s="382" t="s">
        <v>405</v>
      </c>
      <c r="H582" s="383">
        <v>-46.68</v>
      </c>
      <c r="I582" s="1046">
        <v>103.37</v>
      </c>
      <c r="J582" s="1047"/>
      <c r="K582" s="383">
        <v>93.99</v>
      </c>
      <c r="L582" s="383">
        <v>-56.06</v>
      </c>
    </row>
    <row r="583" spans="2:12">
      <c r="B583" s="1050"/>
      <c r="C583" s="1050"/>
      <c r="D583" s="382" t="s">
        <v>2473</v>
      </c>
      <c r="E583" s="382" t="s">
        <v>2474</v>
      </c>
      <c r="F583" s="382" t="s">
        <v>2342</v>
      </c>
      <c r="G583" s="382" t="s">
        <v>2343</v>
      </c>
      <c r="H583" s="383">
        <v>-474.47</v>
      </c>
      <c r="I583" s="1046">
        <v>864.63</v>
      </c>
      <c r="J583" s="1047"/>
      <c r="K583" s="383">
        <v>1134.43</v>
      </c>
      <c r="L583" s="383">
        <v>-204.67</v>
      </c>
    </row>
    <row r="584" spans="2:12">
      <c r="B584" s="1050"/>
      <c r="C584" s="1050"/>
      <c r="D584" s="382" t="s">
        <v>2473</v>
      </c>
      <c r="E584" s="382" t="s">
        <v>2474</v>
      </c>
      <c r="F584" s="382" t="s">
        <v>2342</v>
      </c>
      <c r="G584" s="382" t="s">
        <v>2344</v>
      </c>
      <c r="H584" s="383">
        <v>-55.72</v>
      </c>
      <c r="I584" s="1046">
        <v>226.39</v>
      </c>
      <c r="J584" s="1047"/>
      <c r="K584" s="383">
        <v>349.42</v>
      </c>
      <c r="L584" s="383">
        <v>67.31</v>
      </c>
    </row>
    <row r="585" spans="2:12">
      <c r="B585" s="1050"/>
      <c r="C585" s="1050"/>
      <c r="D585" s="382" t="s">
        <v>2473</v>
      </c>
      <c r="E585" s="382" t="s">
        <v>2474</v>
      </c>
      <c r="F585" s="382" t="s">
        <v>2342</v>
      </c>
      <c r="G585" s="382" t="s">
        <v>2345</v>
      </c>
      <c r="H585" s="383">
        <v>-11.32</v>
      </c>
      <c r="I585" s="1046">
        <v>600.78</v>
      </c>
      <c r="J585" s="1047"/>
      <c r="K585" s="383">
        <v>290.70999999999998</v>
      </c>
      <c r="L585" s="383">
        <v>-321.39</v>
      </c>
    </row>
    <row r="586" spans="2:12">
      <c r="B586" s="1050"/>
      <c r="C586" s="1050"/>
      <c r="D586" s="382" t="s">
        <v>2473</v>
      </c>
      <c r="E586" s="382" t="s">
        <v>2474</v>
      </c>
      <c r="F586" s="382" t="s">
        <v>2342</v>
      </c>
      <c r="G586" s="382" t="s">
        <v>2346</v>
      </c>
      <c r="H586" s="383">
        <v>119.64</v>
      </c>
      <c r="I586" s="1046">
        <v>194.77</v>
      </c>
      <c r="J586" s="1047"/>
      <c r="K586" s="383">
        <v>82.91</v>
      </c>
      <c r="L586" s="383">
        <v>7.78</v>
      </c>
    </row>
    <row r="587" spans="2:12">
      <c r="B587" s="1050"/>
      <c r="C587" s="1050"/>
      <c r="D587" s="382" t="s">
        <v>2473</v>
      </c>
      <c r="E587" s="382" t="s">
        <v>2474</v>
      </c>
      <c r="F587" s="382" t="s">
        <v>2342</v>
      </c>
      <c r="G587" s="382" t="s">
        <v>2347</v>
      </c>
      <c r="H587" s="383">
        <v>8.94</v>
      </c>
      <c r="I587" s="1046">
        <v>127.47</v>
      </c>
      <c r="J587" s="1047"/>
      <c r="K587" s="383">
        <v>181.22</v>
      </c>
      <c r="L587" s="383">
        <v>62.69</v>
      </c>
    </row>
    <row r="588" spans="2:12">
      <c r="B588" s="1050"/>
      <c r="C588" s="1050"/>
      <c r="D588" s="382" t="s">
        <v>2473</v>
      </c>
      <c r="E588" s="382" t="s">
        <v>2474</v>
      </c>
      <c r="F588" s="382" t="s">
        <v>2342</v>
      </c>
      <c r="G588" s="382" t="s">
        <v>2348</v>
      </c>
      <c r="H588" s="383">
        <v>3.73</v>
      </c>
      <c r="I588" s="1046">
        <v>446.75</v>
      </c>
      <c r="J588" s="1047"/>
      <c r="K588" s="383">
        <v>143.37</v>
      </c>
      <c r="L588" s="383">
        <v>-299.64999999999998</v>
      </c>
    </row>
    <row r="589" spans="2:12">
      <c r="B589" s="1050"/>
      <c r="C589" s="1050"/>
      <c r="D589" s="382" t="s">
        <v>2473</v>
      </c>
      <c r="E589" s="382" t="s">
        <v>2474</v>
      </c>
      <c r="F589" s="382" t="s">
        <v>2342</v>
      </c>
      <c r="G589" s="382" t="s">
        <v>2349</v>
      </c>
      <c r="H589" s="383">
        <v>1414.61</v>
      </c>
      <c r="I589" s="1046">
        <v>850.17</v>
      </c>
      <c r="J589" s="1047"/>
      <c r="K589" s="383">
        <v>604.79999999999995</v>
      </c>
      <c r="L589" s="383">
        <v>1169.24</v>
      </c>
    </row>
    <row r="590" spans="2:12">
      <c r="B590" s="1050"/>
      <c r="C590" s="1050"/>
      <c r="D590" s="382" t="s">
        <v>2473</v>
      </c>
      <c r="E590" s="382" t="s">
        <v>2474</v>
      </c>
      <c r="F590" s="382" t="s">
        <v>2342</v>
      </c>
      <c r="G590" s="382" t="s">
        <v>2350</v>
      </c>
      <c r="H590" s="383">
        <v>357.03</v>
      </c>
      <c r="I590" s="1046">
        <v>1311.29</v>
      </c>
      <c r="J590" s="1047"/>
      <c r="K590" s="383">
        <v>481.12</v>
      </c>
      <c r="L590" s="383">
        <v>-473.14</v>
      </c>
    </row>
    <row r="591" spans="2:12">
      <c r="B591" s="1050"/>
      <c r="C591" s="1050"/>
      <c r="D591" s="382" t="s">
        <v>2473</v>
      </c>
      <c r="E591" s="382" t="s">
        <v>2474</v>
      </c>
      <c r="F591" s="382" t="s">
        <v>2342</v>
      </c>
      <c r="G591" s="382" t="s">
        <v>2351</v>
      </c>
      <c r="H591" s="383">
        <v>-411.86</v>
      </c>
      <c r="I591" s="1046">
        <v>105.48</v>
      </c>
      <c r="J591" s="1047"/>
      <c r="K591" s="383">
        <v>401.34</v>
      </c>
      <c r="L591" s="383">
        <v>-116</v>
      </c>
    </row>
    <row r="592" spans="2:12">
      <c r="B592" s="1050"/>
      <c r="C592" s="1050"/>
      <c r="D592" s="382" t="s">
        <v>2473</v>
      </c>
      <c r="E592" s="382" t="s">
        <v>2474</v>
      </c>
      <c r="F592" s="382" t="s">
        <v>2342</v>
      </c>
      <c r="G592" s="382" t="s">
        <v>2352</v>
      </c>
      <c r="H592" s="383">
        <v>-737.71</v>
      </c>
      <c r="I592" s="1046">
        <v>1582.47</v>
      </c>
      <c r="J592" s="1047"/>
      <c r="K592" s="383">
        <v>1804.49</v>
      </c>
      <c r="L592" s="383">
        <v>-515.69000000000005</v>
      </c>
    </row>
    <row r="593" spans="2:12">
      <c r="B593" s="1050"/>
      <c r="C593" s="1050"/>
      <c r="D593" s="382" t="s">
        <v>2473</v>
      </c>
      <c r="E593" s="382" t="s">
        <v>2474</v>
      </c>
      <c r="F593" s="382" t="s">
        <v>2342</v>
      </c>
      <c r="G593" s="382" t="s">
        <v>2353</v>
      </c>
      <c r="H593" s="383">
        <v>27.59</v>
      </c>
      <c r="I593" s="1046">
        <v>21.26</v>
      </c>
      <c r="J593" s="1047"/>
      <c r="K593" s="383">
        <v>0</v>
      </c>
      <c r="L593" s="383">
        <v>6.33</v>
      </c>
    </row>
    <row r="594" spans="2:12">
      <c r="B594" s="1050"/>
      <c r="C594" s="1050"/>
      <c r="D594" s="382" t="s">
        <v>2473</v>
      </c>
      <c r="E594" s="382" t="s">
        <v>2474</v>
      </c>
      <c r="F594" s="382" t="s">
        <v>2342</v>
      </c>
      <c r="G594" s="382" t="s">
        <v>405</v>
      </c>
      <c r="H594" s="383">
        <v>0</v>
      </c>
      <c r="I594" s="1046">
        <v>19.559999999999999</v>
      </c>
      <c r="J594" s="1047"/>
      <c r="K594" s="383">
        <v>19.559999999999999</v>
      </c>
      <c r="L594" s="383">
        <v>0</v>
      </c>
    </row>
    <row r="595" spans="2:12">
      <c r="B595" s="1050"/>
      <c r="C595" s="1050"/>
      <c r="D595" s="382" t="s">
        <v>2475</v>
      </c>
      <c r="E595" s="382" t="s">
        <v>2014</v>
      </c>
      <c r="F595" s="382" t="s">
        <v>2342</v>
      </c>
      <c r="G595" s="382" t="s">
        <v>2355</v>
      </c>
      <c r="H595" s="383">
        <v>1254.3399999999999</v>
      </c>
      <c r="I595" s="1046">
        <v>90.01</v>
      </c>
      <c r="J595" s="1047"/>
      <c r="K595" s="383">
        <v>141.13</v>
      </c>
      <c r="L595" s="383">
        <v>1305.46</v>
      </c>
    </row>
    <row r="596" spans="2:12">
      <c r="B596" s="1050"/>
      <c r="C596" s="1050"/>
      <c r="D596" s="382" t="s">
        <v>2476</v>
      </c>
      <c r="E596" s="382" t="s">
        <v>2015</v>
      </c>
      <c r="F596" s="382" t="s">
        <v>2342</v>
      </c>
      <c r="G596" s="382" t="s">
        <v>2343</v>
      </c>
      <c r="H596" s="383">
        <v>0</v>
      </c>
      <c r="I596" s="1046">
        <v>0</v>
      </c>
      <c r="J596" s="1047"/>
      <c r="K596" s="383">
        <v>0</v>
      </c>
      <c r="L596" s="383">
        <v>0</v>
      </c>
    </row>
    <row r="597" spans="2:12">
      <c r="B597" s="1050"/>
      <c r="C597" s="1050"/>
      <c r="D597" s="382" t="s">
        <v>2476</v>
      </c>
      <c r="E597" s="382" t="s">
        <v>2015</v>
      </c>
      <c r="F597" s="382" t="s">
        <v>2342</v>
      </c>
      <c r="G597" s="382" t="s">
        <v>2344</v>
      </c>
      <c r="H597" s="383">
        <v>0</v>
      </c>
      <c r="I597" s="1046">
        <v>295.91000000000003</v>
      </c>
      <c r="J597" s="1047"/>
      <c r="K597" s="383">
        <v>282.45999999999998</v>
      </c>
      <c r="L597" s="383">
        <v>-13.45</v>
      </c>
    </row>
    <row r="598" spans="2:12">
      <c r="B598" s="1050"/>
      <c r="C598" s="1050"/>
      <c r="D598" s="382" t="s">
        <v>2476</v>
      </c>
      <c r="E598" s="382" t="s">
        <v>2015</v>
      </c>
      <c r="F598" s="382" t="s">
        <v>2342</v>
      </c>
      <c r="G598" s="382" t="s">
        <v>2347</v>
      </c>
      <c r="H598" s="383">
        <v>0</v>
      </c>
      <c r="I598" s="1046">
        <v>1.3</v>
      </c>
      <c r="J598" s="1047"/>
      <c r="K598" s="383">
        <v>1.3</v>
      </c>
      <c r="L598" s="383">
        <v>0</v>
      </c>
    </row>
    <row r="599" spans="2:12">
      <c r="B599" s="1050"/>
      <c r="C599" s="1050"/>
      <c r="D599" s="382" t="s">
        <v>2476</v>
      </c>
      <c r="E599" s="382" t="s">
        <v>2015</v>
      </c>
      <c r="F599" s="382" t="s">
        <v>2342</v>
      </c>
      <c r="G599" s="382" t="s">
        <v>2350</v>
      </c>
      <c r="H599" s="383">
        <v>0</v>
      </c>
      <c r="I599" s="1046">
        <v>17.98</v>
      </c>
      <c r="J599" s="1047"/>
      <c r="K599" s="383">
        <v>17.98</v>
      </c>
      <c r="L599" s="383">
        <v>0</v>
      </c>
    </row>
    <row r="600" spans="2:12">
      <c r="B600" s="1050"/>
      <c r="C600" s="1051"/>
      <c r="D600" s="359" t="s">
        <v>12</v>
      </c>
      <c r="E600" s="359" t="s">
        <v>111</v>
      </c>
      <c r="F600" s="359" t="s">
        <v>111</v>
      </c>
      <c r="G600" s="359" t="s">
        <v>111</v>
      </c>
      <c r="H600" s="384">
        <v>-12923.48</v>
      </c>
      <c r="I600" s="1048">
        <v>52602.73</v>
      </c>
      <c r="J600" s="1047"/>
      <c r="K600" s="384">
        <v>47929.98</v>
      </c>
      <c r="L600" s="384">
        <v>-17596.23</v>
      </c>
    </row>
    <row r="601" spans="2:12">
      <c r="B601" s="1050"/>
      <c r="C601" s="1049" t="s">
        <v>2477</v>
      </c>
      <c r="D601" s="382" t="s">
        <v>2478</v>
      </c>
      <c r="E601" s="382" t="s">
        <v>2462</v>
      </c>
      <c r="F601" s="382" t="s">
        <v>2342</v>
      </c>
      <c r="G601" s="382" t="s">
        <v>2343</v>
      </c>
      <c r="H601" s="383">
        <v>-145.28</v>
      </c>
      <c r="I601" s="1046">
        <v>2594.4</v>
      </c>
      <c r="J601" s="1047"/>
      <c r="K601" s="383">
        <v>2679.12</v>
      </c>
      <c r="L601" s="383">
        <v>-60.56</v>
      </c>
    </row>
    <row r="602" spans="2:12">
      <c r="B602" s="1050"/>
      <c r="C602" s="1050"/>
      <c r="D602" s="382" t="s">
        <v>2478</v>
      </c>
      <c r="E602" s="382" t="s">
        <v>2462</v>
      </c>
      <c r="F602" s="382" t="s">
        <v>2342</v>
      </c>
      <c r="G602" s="382" t="s">
        <v>2344</v>
      </c>
      <c r="H602" s="383">
        <v>-72.03</v>
      </c>
      <c r="I602" s="1046">
        <v>1208.1199999999999</v>
      </c>
      <c r="J602" s="1047"/>
      <c r="K602" s="383">
        <v>1237.44</v>
      </c>
      <c r="L602" s="383">
        <v>-42.71</v>
      </c>
    </row>
    <row r="603" spans="2:12">
      <c r="B603" s="1050"/>
      <c r="C603" s="1050"/>
      <c r="D603" s="382" t="s">
        <v>2478</v>
      </c>
      <c r="E603" s="382" t="s">
        <v>2462</v>
      </c>
      <c r="F603" s="382" t="s">
        <v>2342</v>
      </c>
      <c r="G603" s="382" t="s">
        <v>2345</v>
      </c>
      <c r="H603" s="383">
        <v>-31.61</v>
      </c>
      <c r="I603" s="1046">
        <v>534.27</v>
      </c>
      <c r="J603" s="1047"/>
      <c r="K603" s="383">
        <v>537.51</v>
      </c>
      <c r="L603" s="383">
        <v>-28.37</v>
      </c>
    </row>
    <row r="604" spans="2:12">
      <c r="B604" s="1050"/>
      <c r="C604" s="1050"/>
      <c r="D604" s="382" t="s">
        <v>2478</v>
      </c>
      <c r="E604" s="382" t="s">
        <v>2462</v>
      </c>
      <c r="F604" s="382" t="s">
        <v>2342</v>
      </c>
      <c r="G604" s="382" t="s">
        <v>2346</v>
      </c>
      <c r="H604" s="383">
        <v>-57.72</v>
      </c>
      <c r="I604" s="1046">
        <v>1034.4000000000001</v>
      </c>
      <c r="J604" s="1047"/>
      <c r="K604" s="383">
        <v>1061.6099999999999</v>
      </c>
      <c r="L604" s="383">
        <v>-30.51</v>
      </c>
    </row>
    <row r="605" spans="2:12">
      <c r="B605" s="1050"/>
      <c r="C605" s="1050"/>
      <c r="D605" s="382" t="s">
        <v>2478</v>
      </c>
      <c r="E605" s="382" t="s">
        <v>2462</v>
      </c>
      <c r="F605" s="382" t="s">
        <v>2342</v>
      </c>
      <c r="G605" s="382" t="s">
        <v>2347</v>
      </c>
      <c r="H605" s="383">
        <v>-136.43</v>
      </c>
      <c r="I605" s="1046">
        <v>2694.65</v>
      </c>
      <c r="J605" s="1047"/>
      <c r="K605" s="383">
        <v>2742.71</v>
      </c>
      <c r="L605" s="383">
        <v>-88.37</v>
      </c>
    </row>
    <row r="606" spans="2:12">
      <c r="B606" s="1050"/>
      <c r="C606" s="1050"/>
      <c r="D606" s="382" t="s">
        <v>2478</v>
      </c>
      <c r="E606" s="382" t="s">
        <v>2462</v>
      </c>
      <c r="F606" s="382" t="s">
        <v>2342</v>
      </c>
      <c r="G606" s="382" t="s">
        <v>2348</v>
      </c>
      <c r="H606" s="383">
        <v>-66.260000000000005</v>
      </c>
      <c r="I606" s="1046">
        <v>1326.86</v>
      </c>
      <c r="J606" s="1047"/>
      <c r="K606" s="383">
        <v>1351.4</v>
      </c>
      <c r="L606" s="383">
        <v>-41.72</v>
      </c>
    </row>
    <row r="607" spans="2:12">
      <c r="B607" s="1050"/>
      <c r="C607" s="1050"/>
      <c r="D607" s="382" t="s">
        <v>2478</v>
      </c>
      <c r="E607" s="382" t="s">
        <v>2462</v>
      </c>
      <c r="F607" s="382" t="s">
        <v>2342</v>
      </c>
      <c r="G607" s="382" t="s">
        <v>2349</v>
      </c>
      <c r="H607" s="383">
        <v>-305.61</v>
      </c>
      <c r="I607" s="1046">
        <v>5903.09</v>
      </c>
      <c r="J607" s="1047"/>
      <c r="K607" s="383">
        <v>6018.31</v>
      </c>
      <c r="L607" s="383">
        <v>-190.39</v>
      </c>
    </row>
    <row r="608" spans="2:12">
      <c r="B608" s="1050"/>
      <c r="C608" s="1050"/>
      <c r="D608" s="382" t="s">
        <v>2478</v>
      </c>
      <c r="E608" s="382" t="s">
        <v>2462</v>
      </c>
      <c r="F608" s="382" t="s">
        <v>2342</v>
      </c>
      <c r="G608" s="382" t="s">
        <v>2350</v>
      </c>
      <c r="H608" s="383">
        <v>-268.94</v>
      </c>
      <c r="I608" s="1046">
        <v>4327.6000000000004</v>
      </c>
      <c r="J608" s="1047"/>
      <c r="K608" s="383">
        <v>4503.53</v>
      </c>
      <c r="L608" s="383">
        <v>-93.01</v>
      </c>
    </row>
    <row r="609" spans="2:12">
      <c r="B609" s="1050"/>
      <c r="C609" s="1050"/>
      <c r="D609" s="382" t="s">
        <v>2478</v>
      </c>
      <c r="E609" s="382" t="s">
        <v>2462</v>
      </c>
      <c r="F609" s="382" t="s">
        <v>2342</v>
      </c>
      <c r="G609" s="382" t="s">
        <v>2351</v>
      </c>
      <c r="H609" s="383">
        <v>-768.03</v>
      </c>
      <c r="I609" s="1046">
        <v>12241.58</v>
      </c>
      <c r="J609" s="1047"/>
      <c r="K609" s="383">
        <v>12629.85</v>
      </c>
      <c r="L609" s="383">
        <v>-379.76</v>
      </c>
    </row>
    <row r="610" spans="2:12">
      <c r="B610" s="1050"/>
      <c r="C610" s="1050"/>
      <c r="D610" s="382" t="s">
        <v>2478</v>
      </c>
      <c r="E610" s="382" t="s">
        <v>2462</v>
      </c>
      <c r="F610" s="382" t="s">
        <v>2342</v>
      </c>
      <c r="G610" s="382" t="s">
        <v>2352</v>
      </c>
      <c r="H610" s="383">
        <v>-69.84</v>
      </c>
      <c r="I610" s="1046">
        <v>1393.67</v>
      </c>
      <c r="J610" s="1047"/>
      <c r="K610" s="383">
        <v>1415.67</v>
      </c>
      <c r="L610" s="383">
        <v>-47.84</v>
      </c>
    </row>
    <row r="611" spans="2:12">
      <c r="B611" s="1050"/>
      <c r="C611" s="1050"/>
      <c r="D611" s="382" t="s">
        <v>2478</v>
      </c>
      <c r="E611" s="382" t="s">
        <v>2462</v>
      </c>
      <c r="F611" s="382" t="s">
        <v>2342</v>
      </c>
      <c r="G611" s="382" t="s">
        <v>2353</v>
      </c>
      <c r="H611" s="383">
        <v>-66.849999999999994</v>
      </c>
      <c r="I611" s="1046">
        <v>1521.54</v>
      </c>
      <c r="J611" s="1047"/>
      <c r="K611" s="383">
        <v>1539.89</v>
      </c>
      <c r="L611" s="383">
        <v>-48.5</v>
      </c>
    </row>
    <row r="612" spans="2:12">
      <c r="B612" s="1050"/>
      <c r="C612" s="1050"/>
      <c r="D612" s="382" t="s">
        <v>2478</v>
      </c>
      <c r="E612" s="382" t="s">
        <v>2462</v>
      </c>
      <c r="F612" s="382" t="s">
        <v>2342</v>
      </c>
      <c r="G612" s="382" t="s">
        <v>405</v>
      </c>
      <c r="H612" s="383">
        <v>0</v>
      </c>
      <c r="I612" s="1046">
        <v>224.52</v>
      </c>
      <c r="J612" s="1047"/>
      <c r="K612" s="383">
        <v>208.15</v>
      </c>
      <c r="L612" s="383">
        <v>-16.37</v>
      </c>
    </row>
    <row r="613" spans="2:12">
      <c r="B613" s="1050"/>
      <c r="C613" s="1050"/>
      <c r="D613" s="382" t="s">
        <v>2479</v>
      </c>
      <c r="E613" s="382" t="s">
        <v>2011</v>
      </c>
      <c r="F613" s="382" t="s">
        <v>2342</v>
      </c>
      <c r="G613" s="382" t="s">
        <v>2343</v>
      </c>
      <c r="H613" s="383">
        <v>-116.13</v>
      </c>
      <c r="I613" s="1046">
        <v>2055.73</v>
      </c>
      <c r="J613" s="1047"/>
      <c r="K613" s="383">
        <v>2106.0300000000002</v>
      </c>
      <c r="L613" s="383">
        <v>-65.83</v>
      </c>
    </row>
    <row r="614" spans="2:12">
      <c r="B614" s="1050"/>
      <c r="C614" s="1050"/>
      <c r="D614" s="382" t="s">
        <v>2479</v>
      </c>
      <c r="E614" s="382" t="s">
        <v>2011</v>
      </c>
      <c r="F614" s="382" t="s">
        <v>2342</v>
      </c>
      <c r="G614" s="382" t="s">
        <v>2344</v>
      </c>
      <c r="H614" s="383">
        <v>-121.6</v>
      </c>
      <c r="I614" s="1046">
        <v>1916.5</v>
      </c>
      <c r="J614" s="1047"/>
      <c r="K614" s="383">
        <v>1975.75</v>
      </c>
      <c r="L614" s="383">
        <v>-62.35</v>
      </c>
    </row>
    <row r="615" spans="2:12">
      <c r="B615" s="1050"/>
      <c r="C615" s="1050"/>
      <c r="D615" s="382" t="s">
        <v>2479</v>
      </c>
      <c r="E615" s="382" t="s">
        <v>2011</v>
      </c>
      <c r="F615" s="382" t="s">
        <v>2342</v>
      </c>
      <c r="G615" s="382" t="s">
        <v>2345</v>
      </c>
      <c r="H615" s="383">
        <v>-52.73</v>
      </c>
      <c r="I615" s="1046">
        <v>1119.07</v>
      </c>
      <c r="J615" s="1047"/>
      <c r="K615" s="383">
        <v>1135.73</v>
      </c>
      <c r="L615" s="383">
        <v>-36.07</v>
      </c>
    </row>
    <row r="616" spans="2:12">
      <c r="B616" s="1050"/>
      <c r="C616" s="1050"/>
      <c r="D616" s="382" t="s">
        <v>2479</v>
      </c>
      <c r="E616" s="382" t="s">
        <v>2011</v>
      </c>
      <c r="F616" s="382" t="s">
        <v>2342</v>
      </c>
      <c r="G616" s="382" t="s">
        <v>2346</v>
      </c>
      <c r="H616" s="383">
        <v>-49.97</v>
      </c>
      <c r="I616" s="1046">
        <v>848.42</v>
      </c>
      <c r="J616" s="1047"/>
      <c r="K616" s="383">
        <v>866</v>
      </c>
      <c r="L616" s="383">
        <v>-32.39</v>
      </c>
    </row>
    <row r="617" spans="2:12">
      <c r="B617" s="1050"/>
      <c r="C617" s="1050"/>
      <c r="D617" s="382" t="s">
        <v>2479</v>
      </c>
      <c r="E617" s="382" t="s">
        <v>2011</v>
      </c>
      <c r="F617" s="382" t="s">
        <v>2342</v>
      </c>
      <c r="G617" s="382" t="s">
        <v>2347</v>
      </c>
      <c r="H617" s="383">
        <v>-149.02000000000001</v>
      </c>
      <c r="I617" s="1046">
        <v>2211.66</v>
      </c>
      <c r="J617" s="1047"/>
      <c r="K617" s="383">
        <v>2289.79</v>
      </c>
      <c r="L617" s="383">
        <v>-70.89</v>
      </c>
    </row>
    <row r="618" spans="2:12">
      <c r="B618" s="1050"/>
      <c r="C618" s="1050"/>
      <c r="D618" s="382" t="s">
        <v>2479</v>
      </c>
      <c r="E618" s="382" t="s">
        <v>2011</v>
      </c>
      <c r="F618" s="382" t="s">
        <v>2342</v>
      </c>
      <c r="G618" s="382" t="s">
        <v>2348</v>
      </c>
      <c r="H618" s="383">
        <v>-132</v>
      </c>
      <c r="I618" s="1046">
        <v>2182.2800000000002</v>
      </c>
      <c r="J618" s="1047"/>
      <c r="K618" s="383">
        <v>2246.52</v>
      </c>
      <c r="L618" s="383">
        <v>-67.760000000000005</v>
      </c>
    </row>
    <row r="619" spans="2:12">
      <c r="B619" s="1050"/>
      <c r="C619" s="1050"/>
      <c r="D619" s="382" t="s">
        <v>2479</v>
      </c>
      <c r="E619" s="382" t="s">
        <v>2011</v>
      </c>
      <c r="F619" s="382" t="s">
        <v>2342</v>
      </c>
      <c r="G619" s="382" t="s">
        <v>2349</v>
      </c>
      <c r="H619" s="383">
        <v>-210.01</v>
      </c>
      <c r="I619" s="1046">
        <v>3369.27</v>
      </c>
      <c r="J619" s="1047"/>
      <c r="K619" s="383">
        <v>3473.66</v>
      </c>
      <c r="L619" s="383">
        <v>-105.62</v>
      </c>
    </row>
    <row r="620" spans="2:12">
      <c r="B620" s="1050"/>
      <c r="C620" s="1050"/>
      <c r="D620" s="382" t="s">
        <v>2479</v>
      </c>
      <c r="E620" s="382" t="s">
        <v>2011</v>
      </c>
      <c r="F620" s="382" t="s">
        <v>2342</v>
      </c>
      <c r="G620" s="382" t="s">
        <v>2350</v>
      </c>
      <c r="H620" s="383">
        <v>-321.44</v>
      </c>
      <c r="I620" s="1046">
        <v>5366.97</v>
      </c>
      <c r="J620" s="1047"/>
      <c r="K620" s="383">
        <v>5524.81</v>
      </c>
      <c r="L620" s="383">
        <v>-163.6</v>
      </c>
    </row>
    <row r="621" spans="2:12">
      <c r="B621" s="1050"/>
      <c r="C621" s="1050"/>
      <c r="D621" s="382" t="s">
        <v>2479</v>
      </c>
      <c r="E621" s="382" t="s">
        <v>2011</v>
      </c>
      <c r="F621" s="382" t="s">
        <v>2342</v>
      </c>
      <c r="G621" s="382" t="s">
        <v>2351</v>
      </c>
      <c r="H621" s="383">
        <v>-207.16</v>
      </c>
      <c r="I621" s="1046">
        <v>3547.73</v>
      </c>
      <c r="J621" s="1047"/>
      <c r="K621" s="383">
        <v>3666.18</v>
      </c>
      <c r="L621" s="383">
        <v>-88.71</v>
      </c>
    </row>
    <row r="622" spans="2:12">
      <c r="B622" s="1050"/>
      <c r="C622" s="1050"/>
      <c r="D622" s="382" t="s">
        <v>2479</v>
      </c>
      <c r="E622" s="382" t="s">
        <v>2011</v>
      </c>
      <c r="F622" s="382" t="s">
        <v>2342</v>
      </c>
      <c r="G622" s="382" t="s">
        <v>2352</v>
      </c>
      <c r="H622" s="383">
        <v>-35.020000000000003</v>
      </c>
      <c r="I622" s="1046">
        <v>533.51</v>
      </c>
      <c r="J622" s="1047"/>
      <c r="K622" s="383">
        <v>552.1</v>
      </c>
      <c r="L622" s="383">
        <v>-16.43</v>
      </c>
    </row>
    <row r="623" spans="2:12">
      <c r="B623" s="1050"/>
      <c r="C623" s="1050"/>
      <c r="D623" s="382" t="s">
        <v>2479</v>
      </c>
      <c r="E623" s="382" t="s">
        <v>2011</v>
      </c>
      <c r="F623" s="382" t="s">
        <v>2342</v>
      </c>
      <c r="G623" s="382" t="s">
        <v>2353</v>
      </c>
      <c r="H623" s="383">
        <v>-28.82</v>
      </c>
      <c r="I623" s="1046">
        <v>516.05999999999995</v>
      </c>
      <c r="J623" s="1047"/>
      <c r="K623" s="383">
        <v>530.69000000000005</v>
      </c>
      <c r="L623" s="383">
        <v>-14.19</v>
      </c>
    </row>
    <row r="624" spans="2:12">
      <c r="B624" s="1050"/>
      <c r="C624" s="1050"/>
      <c r="D624" s="382" t="s">
        <v>2479</v>
      </c>
      <c r="E624" s="382" t="s">
        <v>2011</v>
      </c>
      <c r="F624" s="382" t="s">
        <v>2342</v>
      </c>
      <c r="G624" s="382" t="s">
        <v>405</v>
      </c>
      <c r="H624" s="383">
        <v>-17.52</v>
      </c>
      <c r="I624" s="1046">
        <v>369.31</v>
      </c>
      <c r="J624" s="1047"/>
      <c r="K624" s="383">
        <v>365.35</v>
      </c>
      <c r="L624" s="383">
        <v>-21.48</v>
      </c>
    </row>
    <row r="625" spans="2:12">
      <c r="B625" s="1050"/>
      <c r="C625" s="1050"/>
      <c r="D625" s="382" t="s">
        <v>2480</v>
      </c>
      <c r="E625" s="382" t="s">
        <v>2465</v>
      </c>
      <c r="F625" s="382" t="s">
        <v>2342</v>
      </c>
      <c r="G625" s="382" t="s">
        <v>2343</v>
      </c>
      <c r="H625" s="383">
        <v>-207.1</v>
      </c>
      <c r="I625" s="1046">
        <v>3230.01</v>
      </c>
      <c r="J625" s="1047"/>
      <c r="K625" s="383">
        <v>3339.14</v>
      </c>
      <c r="L625" s="383">
        <v>-97.97</v>
      </c>
    </row>
    <row r="626" spans="2:12">
      <c r="B626" s="1050"/>
      <c r="C626" s="1050"/>
      <c r="D626" s="382" t="s">
        <v>2480</v>
      </c>
      <c r="E626" s="382" t="s">
        <v>2465</v>
      </c>
      <c r="F626" s="382" t="s">
        <v>2342</v>
      </c>
      <c r="G626" s="382" t="s">
        <v>2344</v>
      </c>
      <c r="H626" s="383">
        <v>-100.26</v>
      </c>
      <c r="I626" s="1046">
        <v>1616.09</v>
      </c>
      <c r="J626" s="1047"/>
      <c r="K626" s="383">
        <v>1664.46</v>
      </c>
      <c r="L626" s="383">
        <v>-51.89</v>
      </c>
    </row>
    <row r="627" spans="2:12">
      <c r="B627" s="1050"/>
      <c r="C627" s="1050"/>
      <c r="D627" s="382" t="s">
        <v>2480</v>
      </c>
      <c r="E627" s="382" t="s">
        <v>2465</v>
      </c>
      <c r="F627" s="382" t="s">
        <v>2342</v>
      </c>
      <c r="G627" s="382" t="s">
        <v>2345</v>
      </c>
      <c r="H627" s="383">
        <v>-13.95</v>
      </c>
      <c r="I627" s="1046">
        <v>905.57</v>
      </c>
      <c r="J627" s="1047"/>
      <c r="K627" s="383">
        <v>808.35</v>
      </c>
      <c r="L627" s="383">
        <v>-111.17</v>
      </c>
    </row>
    <row r="628" spans="2:12">
      <c r="B628" s="1050"/>
      <c r="C628" s="1050"/>
      <c r="D628" s="382" t="s">
        <v>2480</v>
      </c>
      <c r="E628" s="382" t="s">
        <v>2465</v>
      </c>
      <c r="F628" s="382" t="s">
        <v>2342</v>
      </c>
      <c r="G628" s="382" t="s">
        <v>2346</v>
      </c>
      <c r="H628" s="383">
        <v>-23.75</v>
      </c>
      <c r="I628" s="1046">
        <v>349.44</v>
      </c>
      <c r="J628" s="1047"/>
      <c r="K628" s="383">
        <v>364.09</v>
      </c>
      <c r="L628" s="383">
        <v>-9.1</v>
      </c>
    </row>
    <row r="629" spans="2:12">
      <c r="B629" s="1050"/>
      <c r="C629" s="1050"/>
      <c r="D629" s="382" t="s">
        <v>2480</v>
      </c>
      <c r="E629" s="382" t="s">
        <v>2465</v>
      </c>
      <c r="F629" s="382" t="s">
        <v>2342</v>
      </c>
      <c r="G629" s="382" t="s">
        <v>2347</v>
      </c>
      <c r="H629" s="383">
        <v>-216.52</v>
      </c>
      <c r="I629" s="1046">
        <v>3518.95</v>
      </c>
      <c r="J629" s="1047"/>
      <c r="K629" s="383">
        <v>3621.31</v>
      </c>
      <c r="L629" s="383">
        <v>-114.16</v>
      </c>
    </row>
    <row r="630" spans="2:12">
      <c r="B630" s="1050"/>
      <c r="C630" s="1050"/>
      <c r="D630" s="382" t="s">
        <v>2480</v>
      </c>
      <c r="E630" s="382" t="s">
        <v>2465</v>
      </c>
      <c r="F630" s="382" t="s">
        <v>2342</v>
      </c>
      <c r="G630" s="382" t="s">
        <v>2348</v>
      </c>
      <c r="H630" s="383">
        <v>-258.85000000000002</v>
      </c>
      <c r="I630" s="1046">
        <v>1090.95</v>
      </c>
      <c r="J630" s="1047"/>
      <c r="K630" s="383">
        <v>1322.22</v>
      </c>
      <c r="L630" s="383">
        <v>-27.58</v>
      </c>
    </row>
    <row r="631" spans="2:12">
      <c r="B631" s="1050"/>
      <c r="C631" s="1050"/>
      <c r="D631" s="382" t="s">
        <v>2480</v>
      </c>
      <c r="E631" s="382" t="s">
        <v>2465</v>
      </c>
      <c r="F631" s="382" t="s">
        <v>2342</v>
      </c>
      <c r="G631" s="382" t="s">
        <v>2349</v>
      </c>
      <c r="H631" s="383">
        <v>-333.26</v>
      </c>
      <c r="I631" s="1046">
        <v>5338.47</v>
      </c>
      <c r="J631" s="1047"/>
      <c r="K631" s="383">
        <v>5501.86</v>
      </c>
      <c r="L631" s="383">
        <v>-169.87</v>
      </c>
    </row>
    <row r="632" spans="2:12">
      <c r="B632" s="1050"/>
      <c r="C632" s="1050"/>
      <c r="D632" s="382" t="s">
        <v>2480</v>
      </c>
      <c r="E632" s="382" t="s">
        <v>2465</v>
      </c>
      <c r="F632" s="382" t="s">
        <v>2342</v>
      </c>
      <c r="G632" s="382" t="s">
        <v>2350</v>
      </c>
      <c r="H632" s="383">
        <v>-66.17</v>
      </c>
      <c r="I632" s="1046">
        <v>1287.03</v>
      </c>
      <c r="J632" s="1047"/>
      <c r="K632" s="383">
        <v>1311.35</v>
      </c>
      <c r="L632" s="383">
        <v>-41.85</v>
      </c>
    </row>
    <row r="633" spans="2:12">
      <c r="B633" s="1050"/>
      <c r="C633" s="1050"/>
      <c r="D633" s="382" t="s">
        <v>2480</v>
      </c>
      <c r="E633" s="382" t="s">
        <v>2465</v>
      </c>
      <c r="F633" s="382" t="s">
        <v>2342</v>
      </c>
      <c r="G633" s="382" t="s">
        <v>2351</v>
      </c>
      <c r="H633" s="383">
        <v>-105.13</v>
      </c>
      <c r="I633" s="1046">
        <v>1703.63</v>
      </c>
      <c r="J633" s="1047"/>
      <c r="K633" s="383">
        <v>1752.83</v>
      </c>
      <c r="L633" s="383">
        <v>-55.93</v>
      </c>
    </row>
    <row r="634" spans="2:12">
      <c r="B634" s="1050"/>
      <c r="C634" s="1050"/>
      <c r="D634" s="382" t="s">
        <v>2480</v>
      </c>
      <c r="E634" s="382" t="s">
        <v>2465</v>
      </c>
      <c r="F634" s="382" t="s">
        <v>2342</v>
      </c>
      <c r="G634" s="382" t="s">
        <v>2352</v>
      </c>
      <c r="H634" s="383">
        <v>-105.61</v>
      </c>
      <c r="I634" s="1046">
        <v>1645.2</v>
      </c>
      <c r="J634" s="1047"/>
      <c r="K634" s="383">
        <v>1698.52</v>
      </c>
      <c r="L634" s="383">
        <v>-52.29</v>
      </c>
    </row>
    <row r="635" spans="2:12">
      <c r="B635" s="1050"/>
      <c r="C635" s="1050"/>
      <c r="D635" s="382" t="s">
        <v>2480</v>
      </c>
      <c r="E635" s="382" t="s">
        <v>2465</v>
      </c>
      <c r="F635" s="382" t="s">
        <v>2342</v>
      </c>
      <c r="G635" s="382" t="s">
        <v>2353</v>
      </c>
      <c r="H635" s="383">
        <v>-29.95</v>
      </c>
      <c r="I635" s="1046">
        <v>593.41</v>
      </c>
      <c r="J635" s="1047"/>
      <c r="K635" s="383">
        <v>610.70000000000005</v>
      </c>
      <c r="L635" s="383">
        <v>-12.66</v>
      </c>
    </row>
    <row r="636" spans="2:12">
      <c r="B636" s="1050"/>
      <c r="C636" s="1050"/>
      <c r="D636" s="382" t="s">
        <v>2480</v>
      </c>
      <c r="E636" s="382" t="s">
        <v>2465</v>
      </c>
      <c r="F636" s="382" t="s">
        <v>2342</v>
      </c>
      <c r="G636" s="382" t="s">
        <v>405</v>
      </c>
      <c r="H636" s="383">
        <v>-5.0199999999999996</v>
      </c>
      <c r="I636" s="1046">
        <v>77.72</v>
      </c>
      <c r="J636" s="1047"/>
      <c r="K636" s="383">
        <v>80.239999999999995</v>
      </c>
      <c r="L636" s="383">
        <v>-2.5</v>
      </c>
    </row>
    <row r="637" spans="2:12">
      <c r="B637" s="1050"/>
      <c r="C637" s="1050"/>
      <c r="D637" s="382" t="s">
        <v>2481</v>
      </c>
      <c r="E637" s="382" t="s">
        <v>2474</v>
      </c>
      <c r="F637" s="382" t="s">
        <v>2342</v>
      </c>
      <c r="G637" s="382" t="s">
        <v>2343</v>
      </c>
      <c r="H637" s="383">
        <v>-20</v>
      </c>
      <c r="I637" s="1046">
        <v>156.49</v>
      </c>
      <c r="J637" s="1047"/>
      <c r="K637" s="383">
        <v>173.48</v>
      </c>
      <c r="L637" s="383">
        <v>-3.01</v>
      </c>
    </row>
    <row r="638" spans="2:12">
      <c r="B638" s="1050"/>
      <c r="C638" s="1050"/>
      <c r="D638" s="382" t="s">
        <v>2481</v>
      </c>
      <c r="E638" s="382" t="s">
        <v>2474</v>
      </c>
      <c r="F638" s="382" t="s">
        <v>2342</v>
      </c>
      <c r="G638" s="382" t="s">
        <v>2344</v>
      </c>
      <c r="H638" s="383">
        <v>-68.48</v>
      </c>
      <c r="I638" s="1046">
        <v>1707.81</v>
      </c>
      <c r="J638" s="1047"/>
      <c r="K638" s="383">
        <v>1715.22</v>
      </c>
      <c r="L638" s="383">
        <v>-61.07</v>
      </c>
    </row>
    <row r="639" spans="2:12">
      <c r="B639" s="1050"/>
      <c r="C639" s="1050"/>
      <c r="D639" s="382" t="s">
        <v>2481</v>
      </c>
      <c r="E639" s="382" t="s">
        <v>2474</v>
      </c>
      <c r="F639" s="382" t="s">
        <v>2342</v>
      </c>
      <c r="G639" s="382" t="s">
        <v>2345</v>
      </c>
      <c r="H639" s="383">
        <v>-53.83</v>
      </c>
      <c r="I639" s="1046">
        <v>893.33</v>
      </c>
      <c r="J639" s="1047"/>
      <c r="K639" s="383">
        <v>925.53</v>
      </c>
      <c r="L639" s="383">
        <v>-21.63</v>
      </c>
    </row>
    <row r="640" spans="2:12">
      <c r="B640" s="1050"/>
      <c r="C640" s="1050"/>
      <c r="D640" s="382" t="s">
        <v>2481</v>
      </c>
      <c r="E640" s="382" t="s">
        <v>2474</v>
      </c>
      <c r="F640" s="382" t="s">
        <v>2342</v>
      </c>
      <c r="G640" s="382" t="s">
        <v>2346</v>
      </c>
      <c r="H640" s="383">
        <v>0</v>
      </c>
      <c r="I640" s="1046">
        <v>0</v>
      </c>
      <c r="J640" s="1047"/>
      <c r="K640" s="383">
        <v>0</v>
      </c>
      <c r="L640" s="383">
        <v>0</v>
      </c>
    </row>
    <row r="641" spans="2:12">
      <c r="B641" s="1050"/>
      <c r="C641" s="1050"/>
      <c r="D641" s="382" t="s">
        <v>2481</v>
      </c>
      <c r="E641" s="382" t="s">
        <v>2474</v>
      </c>
      <c r="F641" s="382" t="s">
        <v>2342</v>
      </c>
      <c r="G641" s="382" t="s">
        <v>2347</v>
      </c>
      <c r="H641" s="383">
        <v>-8.34</v>
      </c>
      <c r="I641" s="1046">
        <v>129.30000000000001</v>
      </c>
      <c r="J641" s="1047"/>
      <c r="K641" s="383">
        <v>133.47</v>
      </c>
      <c r="L641" s="383">
        <v>-4.17</v>
      </c>
    </row>
    <row r="642" spans="2:12">
      <c r="B642" s="1050"/>
      <c r="C642" s="1050"/>
      <c r="D642" s="382" t="s">
        <v>2481</v>
      </c>
      <c r="E642" s="382" t="s">
        <v>2474</v>
      </c>
      <c r="F642" s="382" t="s">
        <v>2342</v>
      </c>
      <c r="G642" s="382" t="s">
        <v>2348</v>
      </c>
      <c r="H642" s="383">
        <v>-24.46</v>
      </c>
      <c r="I642" s="1046">
        <v>522.47</v>
      </c>
      <c r="J642" s="1047"/>
      <c r="K642" s="383">
        <v>534.70000000000005</v>
      </c>
      <c r="L642" s="383">
        <v>-12.23</v>
      </c>
    </row>
    <row r="643" spans="2:12">
      <c r="B643" s="1050"/>
      <c r="C643" s="1050"/>
      <c r="D643" s="382" t="s">
        <v>2481</v>
      </c>
      <c r="E643" s="382" t="s">
        <v>2474</v>
      </c>
      <c r="F643" s="382" t="s">
        <v>2342</v>
      </c>
      <c r="G643" s="382" t="s">
        <v>2349</v>
      </c>
      <c r="H643" s="383">
        <v>-145.68</v>
      </c>
      <c r="I643" s="1046">
        <v>2949.49</v>
      </c>
      <c r="J643" s="1047"/>
      <c r="K643" s="383">
        <v>3052.21</v>
      </c>
      <c r="L643" s="383">
        <v>-42.96</v>
      </c>
    </row>
    <row r="644" spans="2:12">
      <c r="B644" s="1050"/>
      <c r="C644" s="1050"/>
      <c r="D644" s="382" t="s">
        <v>2481</v>
      </c>
      <c r="E644" s="382" t="s">
        <v>2474</v>
      </c>
      <c r="F644" s="382" t="s">
        <v>2342</v>
      </c>
      <c r="G644" s="382" t="s">
        <v>2350</v>
      </c>
      <c r="H644" s="383">
        <v>-194.74</v>
      </c>
      <c r="I644" s="1046">
        <v>2891.92</v>
      </c>
      <c r="J644" s="1047"/>
      <c r="K644" s="383">
        <v>2989.4</v>
      </c>
      <c r="L644" s="383">
        <v>-97.26</v>
      </c>
    </row>
    <row r="645" spans="2:12">
      <c r="B645" s="1050"/>
      <c r="C645" s="1050"/>
      <c r="D645" s="382" t="s">
        <v>2481</v>
      </c>
      <c r="E645" s="382" t="s">
        <v>2474</v>
      </c>
      <c r="F645" s="382" t="s">
        <v>2342</v>
      </c>
      <c r="G645" s="382" t="s">
        <v>2351</v>
      </c>
      <c r="H645" s="383">
        <v>-0.05</v>
      </c>
      <c r="I645" s="1046">
        <v>79.959999999999994</v>
      </c>
      <c r="J645" s="1047"/>
      <c r="K645" s="383">
        <v>78.709999999999994</v>
      </c>
      <c r="L645" s="383">
        <v>-1.3</v>
      </c>
    </row>
    <row r="646" spans="2:12">
      <c r="B646" s="1050"/>
      <c r="C646" s="1050"/>
      <c r="D646" s="382" t="s">
        <v>2481</v>
      </c>
      <c r="E646" s="382" t="s">
        <v>2474</v>
      </c>
      <c r="F646" s="382" t="s">
        <v>2342</v>
      </c>
      <c r="G646" s="382" t="s">
        <v>2352</v>
      </c>
      <c r="H646" s="383">
        <v>-34.24</v>
      </c>
      <c r="I646" s="1046">
        <v>917.51</v>
      </c>
      <c r="J646" s="1047"/>
      <c r="K646" s="383">
        <v>938.11</v>
      </c>
      <c r="L646" s="383">
        <v>-13.64</v>
      </c>
    </row>
    <row r="647" spans="2:12">
      <c r="B647" s="1050"/>
      <c r="C647" s="1050"/>
      <c r="D647" s="382" t="s">
        <v>2481</v>
      </c>
      <c r="E647" s="382" t="s">
        <v>2474</v>
      </c>
      <c r="F647" s="382" t="s">
        <v>2342</v>
      </c>
      <c r="G647" s="382" t="s">
        <v>2353</v>
      </c>
      <c r="H647" s="383">
        <v>-49.03</v>
      </c>
      <c r="I647" s="1046">
        <v>677.82</v>
      </c>
      <c r="J647" s="1047"/>
      <c r="K647" s="383">
        <v>711.47</v>
      </c>
      <c r="L647" s="383">
        <v>-15.38</v>
      </c>
    </row>
    <row r="648" spans="2:12">
      <c r="B648" s="1050"/>
      <c r="C648" s="1050"/>
      <c r="D648" s="382" t="s">
        <v>2482</v>
      </c>
      <c r="E648" s="382" t="s">
        <v>2014</v>
      </c>
      <c r="F648" s="382" t="s">
        <v>2342</v>
      </c>
      <c r="G648" s="382" t="s">
        <v>2355</v>
      </c>
      <c r="H648" s="383">
        <v>-27.59</v>
      </c>
      <c r="I648" s="1046">
        <v>495.5</v>
      </c>
      <c r="J648" s="1047"/>
      <c r="K648" s="383">
        <v>508.87</v>
      </c>
      <c r="L648" s="383">
        <v>-14.22</v>
      </c>
    </row>
    <row r="649" spans="2:12">
      <c r="B649" s="1050"/>
      <c r="C649" s="1051"/>
      <c r="D649" s="359" t="s">
        <v>12</v>
      </c>
      <c r="E649" s="359" t="s">
        <v>111</v>
      </c>
      <c r="F649" s="359" t="s">
        <v>111</v>
      </c>
      <c r="G649" s="359" t="s">
        <v>111</v>
      </c>
      <c r="H649" s="384">
        <v>-5522.03</v>
      </c>
      <c r="I649" s="1048">
        <v>91819.28</v>
      </c>
      <c r="J649" s="1047"/>
      <c r="K649" s="384">
        <v>94494.04</v>
      </c>
      <c r="L649" s="384">
        <v>-2847.27</v>
      </c>
    </row>
    <row r="650" spans="2:12">
      <c r="B650" s="1050"/>
      <c r="C650" s="1049" t="s">
        <v>2483</v>
      </c>
      <c r="D650" s="382" t="s">
        <v>2484</v>
      </c>
      <c r="E650" s="382" t="s">
        <v>2462</v>
      </c>
      <c r="F650" s="382" t="s">
        <v>2342</v>
      </c>
      <c r="G650" s="382" t="s">
        <v>2343</v>
      </c>
      <c r="H650" s="383">
        <v>-12255.95</v>
      </c>
      <c r="I650" s="1046">
        <v>3047.63</v>
      </c>
      <c r="J650" s="1047"/>
      <c r="K650" s="383">
        <v>8205.85</v>
      </c>
      <c r="L650" s="383">
        <v>-7097.73</v>
      </c>
    </row>
    <row r="651" spans="2:12">
      <c r="B651" s="1050"/>
      <c r="C651" s="1050"/>
      <c r="D651" s="382" t="s">
        <v>2484</v>
      </c>
      <c r="E651" s="382" t="s">
        <v>2462</v>
      </c>
      <c r="F651" s="382" t="s">
        <v>2342</v>
      </c>
      <c r="G651" s="382" t="s">
        <v>2344</v>
      </c>
      <c r="H651" s="383">
        <v>-7683.22</v>
      </c>
      <c r="I651" s="1046">
        <v>1225.23</v>
      </c>
      <c r="J651" s="1047"/>
      <c r="K651" s="383">
        <v>101.3</v>
      </c>
      <c r="L651" s="383">
        <v>-8807.15</v>
      </c>
    </row>
    <row r="652" spans="2:12">
      <c r="B652" s="1050"/>
      <c r="C652" s="1050"/>
      <c r="D652" s="382" t="s">
        <v>2484</v>
      </c>
      <c r="E652" s="382" t="s">
        <v>2462</v>
      </c>
      <c r="F652" s="382" t="s">
        <v>2342</v>
      </c>
      <c r="G652" s="382" t="s">
        <v>2345</v>
      </c>
      <c r="H652" s="383">
        <v>-1573.5</v>
      </c>
      <c r="I652" s="1046">
        <v>762.76</v>
      </c>
      <c r="J652" s="1047"/>
      <c r="K652" s="383">
        <v>269.67</v>
      </c>
      <c r="L652" s="383">
        <v>-2066.59</v>
      </c>
    </row>
    <row r="653" spans="2:12">
      <c r="B653" s="1050"/>
      <c r="C653" s="1050"/>
      <c r="D653" s="382" t="s">
        <v>2484</v>
      </c>
      <c r="E653" s="382" t="s">
        <v>2462</v>
      </c>
      <c r="F653" s="382" t="s">
        <v>2342</v>
      </c>
      <c r="G653" s="382" t="s">
        <v>2346</v>
      </c>
      <c r="H653" s="383">
        <v>-4987.8999999999996</v>
      </c>
      <c r="I653" s="1046">
        <v>1580.95</v>
      </c>
      <c r="J653" s="1047"/>
      <c r="K653" s="383">
        <v>1339.46</v>
      </c>
      <c r="L653" s="383">
        <v>-5229.3900000000003</v>
      </c>
    </row>
    <row r="654" spans="2:12">
      <c r="B654" s="1050"/>
      <c r="C654" s="1050"/>
      <c r="D654" s="382" t="s">
        <v>2484</v>
      </c>
      <c r="E654" s="382" t="s">
        <v>2462</v>
      </c>
      <c r="F654" s="382" t="s">
        <v>2342</v>
      </c>
      <c r="G654" s="382" t="s">
        <v>2347</v>
      </c>
      <c r="H654" s="383">
        <v>-12279.82</v>
      </c>
      <c r="I654" s="1046">
        <v>4796.2700000000004</v>
      </c>
      <c r="J654" s="1047"/>
      <c r="K654" s="383">
        <v>665.1</v>
      </c>
      <c r="L654" s="383">
        <v>-16410.990000000002</v>
      </c>
    </row>
    <row r="655" spans="2:12">
      <c r="B655" s="1050"/>
      <c r="C655" s="1050"/>
      <c r="D655" s="382" t="s">
        <v>2484</v>
      </c>
      <c r="E655" s="382" t="s">
        <v>2462</v>
      </c>
      <c r="F655" s="382" t="s">
        <v>2342</v>
      </c>
      <c r="G655" s="382" t="s">
        <v>2348</v>
      </c>
      <c r="H655" s="383">
        <v>-4773.62</v>
      </c>
      <c r="I655" s="1046">
        <v>2691.25</v>
      </c>
      <c r="J655" s="1047"/>
      <c r="K655" s="383">
        <v>1524.52</v>
      </c>
      <c r="L655" s="383">
        <v>-5940.35</v>
      </c>
    </row>
    <row r="656" spans="2:12">
      <c r="B656" s="1050"/>
      <c r="C656" s="1050"/>
      <c r="D656" s="382" t="s">
        <v>2484</v>
      </c>
      <c r="E656" s="382" t="s">
        <v>2462</v>
      </c>
      <c r="F656" s="382" t="s">
        <v>2342</v>
      </c>
      <c r="G656" s="382" t="s">
        <v>2349</v>
      </c>
      <c r="H656" s="383">
        <v>-18855.009999999998</v>
      </c>
      <c r="I656" s="1046">
        <v>8884.25</v>
      </c>
      <c r="J656" s="1047"/>
      <c r="K656" s="383">
        <v>3791.75</v>
      </c>
      <c r="L656" s="383">
        <v>-23947.51</v>
      </c>
    </row>
    <row r="657" spans="2:12">
      <c r="B657" s="1050"/>
      <c r="C657" s="1050"/>
      <c r="D657" s="382" t="s">
        <v>2484</v>
      </c>
      <c r="E657" s="382" t="s">
        <v>2462</v>
      </c>
      <c r="F657" s="382" t="s">
        <v>2342</v>
      </c>
      <c r="G657" s="382" t="s">
        <v>2350</v>
      </c>
      <c r="H657" s="383">
        <v>-26915.71</v>
      </c>
      <c r="I657" s="1046">
        <v>5275.94</v>
      </c>
      <c r="J657" s="1047"/>
      <c r="K657" s="383">
        <v>14689.06</v>
      </c>
      <c r="L657" s="383">
        <v>-17502.59</v>
      </c>
    </row>
    <row r="658" spans="2:12">
      <c r="B658" s="1050"/>
      <c r="C658" s="1050"/>
      <c r="D658" s="382" t="s">
        <v>2484</v>
      </c>
      <c r="E658" s="382" t="s">
        <v>2462</v>
      </c>
      <c r="F658" s="382" t="s">
        <v>2342</v>
      </c>
      <c r="G658" s="382" t="s">
        <v>2351</v>
      </c>
      <c r="H658" s="383">
        <v>-67329.98</v>
      </c>
      <c r="I658" s="1046">
        <v>14112.55</v>
      </c>
      <c r="J658" s="1047"/>
      <c r="K658" s="383">
        <v>5619.1</v>
      </c>
      <c r="L658" s="383">
        <v>-75823.429999999993</v>
      </c>
    </row>
    <row r="659" spans="2:12">
      <c r="B659" s="1050"/>
      <c r="C659" s="1050"/>
      <c r="D659" s="382" t="s">
        <v>2484</v>
      </c>
      <c r="E659" s="382" t="s">
        <v>2462</v>
      </c>
      <c r="F659" s="382" t="s">
        <v>2342</v>
      </c>
      <c r="G659" s="382" t="s">
        <v>2352</v>
      </c>
      <c r="H659" s="383">
        <v>-4457.7</v>
      </c>
      <c r="I659" s="1046">
        <v>2164.96</v>
      </c>
      <c r="J659" s="1047"/>
      <c r="K659" s="383">
        <v>1122.82</v>
      </c>
      <c r="L659" s="383">
        <v>-5499.84</v>
      </c>
    </row>
    <row r="660" spans="2:12">
      <c r="B660" s="1050"/>
      <c r="C660" s="1050"/>
      <c r="D660" s="382" t="s">
        <v>2484</v>
      </c>
      <c r="E660" s="382" t="s">
        <v>2462</v>
      </c>
      <c r="F660" s="382" t="s">
        <v>2342</v>
      </c>
      <c r="G660" s="382" t="s">
        <v>2353</v>
      </c>
      <c r="H660" s="383">
        <v>-6316.21</v>
      </c>
      <c r="I660" s="1046">
        <v>2257.7199999999998</v>
      </c>
      <c r="J660" s="1047"/>
      <c r="K660" s="383">
        <v>336.94</v>
      </c>
      <c r="L660" s="383">
        <v>-8236.99</v>
      </c>
    </row>
    <row r="661" spans="2:12">
      <c r="B661" s="1050"/>
      <c r="C661" s="1050"/>
      <c r="D661" s="382" t="s">
        <v>2484</v>
      </c>
      <c r="E661" s="382" t="s">
        <v>2462</v>
      </c>
      <c r="F661" s="382" t="s">
        <v>2342</v>
      </c>
      <c r="G661" s="382" t="s">
        <v>405</v>
      </c>
      <c r="H661" s="383">
        <v>0</v>
      </c>
      <c r="I661" s="1046">
        <v>1010.64</v>
      </c>
      <c r="J661" s="1047"/>
      <c r="K661" s="383">
        <v>99.36</v>
      </c>
      <c r="L661" s="383">
        <v>-911.28</v>
      </c>
    </row>
    <row r="662" spans="2:12">
      <c r="B662" s="1050"/>
      <c r="C662" s="1050"/>
      <c r="D662" s="382" t="s">
        <v>2485</v>
      </c>
      <c r="E662" s="382" t="s">
        <v>2011</v>
      </c>
      <c r="F662" s="382" t="s">
        <v>2342</v>
      </c>
      <c r="G662" s="382" t="s">
        <v>2343</v>
      </c>
      <c r="H662" s="383">
        <v>-6512.51</v>
      </c>
      <c r="I662" s="1046">
        <v>3576.33</v>
      </c>
      <c r="J662" s="1047"/>
      <c r="K662" s="383">
        <v>1374.22</v>
      </c>
      <c r="L662" s="383">
        <v>-8714.6200000000008</v>
      </c>
    </row>
    <row r="663" spans="2:12">
      <c r="B663" s="1050"/>
      <c r="C663" s="1050"/>
      <c r="D663" s="382" t="s">
        <v>2485</v>
      </c>
      <c r="E663" s="382" t="s">
        <v>2011</v>
      </c>
      <c r="F663" s="382" t="s">
        <v>2342</v>
      </c>
      <c r="G663" s="382" t="s">
        <v>2344</v>
      </c>
      <c r="H663" s="383">
        <v>-17640.62</v>
      </c>
      <c r="I663" s="1046">
        <v>2141.09</v>
      </c>
      <c r="J663" s="1047"/>
      <c r="K663" s="383">
        <v>91.75</v>
      </c>
      <c r="L663" s="383">
        <v>-19689.96</v>
      </c>
    </row>
    <row r="664" spans="2:12">
      <c r="B664" s="1050"/>
      <c r="C664" s="1050"/>
      <c r="D664" s="382" t="s">
        <v>2485</v>
      </c>
      <c r="E664" s="382" t="s">
        <v>2011</v>
      </c>
      <c r="F664" s="382" t="s">
        <v>2342</v>
      </c>
      <c r="G664" s="382" t="s">
        <v>2345</v>
      </c>
      <c r="H664" s="383">
        <v>-3186.78</v>
      </c>
      <c r="I664" s="1046">
        <v>1481.64</v>
      </c>
      <c r="J664" s="1047"/>
      <c r="K664" s="383">
        <v>429.72</v>
      </c>
      <c r="L664" s="383">
        <v>-4238.7</v>
      </c>
    </row>
    <row r="665" spans="2:12">
      <c r="B665" s="1050"/>
      <c r="C665" s="1050"/>
      <c r="D665" s="382" t="s">
        <v>2485</v>
      </c>
      <c r="E665" s="382" t="s">
        <v>2011</v>
      </c>
      <c r="F665" s="382" t="s">
        <v>2342</v>
      </c>
      <c r="G665" s="382" t="s">
        <v>2346</v>
      </c>
      <c r="H665" s="383">
        <v>-3890.24</v>
      </c>
      <c r="I665" s="1046">
        <v>1164.17</v>
      </c>
      <c r="J665" s="1047"/>
      <c r="K665" s="383">
        <v>1130.29</v>
      </c>
      <c r="L665" s="383">
        <v>-3924.12</v>
      </c>
    </row>
    <row r="666" spans="2:12">
      <c r="B666" s="1050"/>
      <c r="C666" s="1050"/>
      <c r="D666" s="382" t="s">
        <v>2485</v>
      </c>
      <c r="E666" s="382" t="s">
        <v>2011</v>
      </c>
      <c r="F666" s="382" t="s">
        <v>2342</v>
      </c>
      <c r="G666" s="382" t="s">
        <v>2347</v>
      </c>
      <c r="H666" s="383">
        <v>-12625.98</v>
      </c>
      <c r="I666" s="1046">
        <v>2605.34</v>
      </c>
      <c r="J666" s="1047"/>
      <c r="K666" s="383">
        <v>413.44</v>
      </c>
      <c r="L666" s="383">
        <v>-14817.88</v>
      </c>
    </row>
    <row r="667" spans="2:12">
      <c r="B667" s="1050"/>
      <c r="C667" s="1050"/>
      <c r="D667" s="382" t="s">
        <v>2485</v>
      </c>
      <c r="E667" s="382" t="s">
        <v>2011</v>
      </c>
      <c r="F667" s="382" t="s">
        <v>2342</v>
      </c>
      <c r="G667" s="382" t="s">
        <v>2348</v>
      </c>
      <c r="H667" s="383">
        <v>-8361.14</v>
      </c>
      <c r="I667" s="1046">
        <v>2933.8</v>
      </c>
      <c r="J667" s="1047"/>
      <c r="K667" s="383">
        <v>2850</v>
      </c>
      <c r="L667" s="383">
        <v>-8444.94</v>
      </c>
    </row>
    <row r="668" spans="2:12">
      <c r="B668" s="1050"/>
      <c r="C668" s="1050"/>
      <c r="D668" s="382" t="s">
        <v>2485</v>
      </c>
      <c r="E668" s="382" t="s">
        <v>2011</v>
      </c>
      <c r="F668" s="382" t="s">
        <v>2342</v>
      </c>
      <c r="G668" s="382" t="s">
        <v>2349</v>
      </c>
      <c r="H668" s="383">
        <v>-15050.73</v>
      </c>
      <c r="I668" s="1046">
        <v>4159.0200000000004</v>
      </c>
      <c r="J668" s="1047"/>
      <c r="K668" s="383">
        <v>1912.26</v>
      </c>
      <c r="L668" s="383">
        <v>-17297.490000000002</v>
      </c>
    </row>
    <row r="669" spans="2:12">
      <c r="B669" s="1050"/>
      <c r="C669" s="1050"/>
      <c r="D669" s="382" t="s">
        <v>2485</v>
      </c>
      <c r="E669" s="382" t="s">
        <v>2011</v>
      </c>
      <c r="F669" s="382" t="s">
        <v>2342</v>
      </c>
      <c r="G669" s="382" t="s">
        <v>2350</v>
      </c>
      <c r="H669" s="383">
        <v>-24178.52</v>
      </c>
      <c r="I669" s="1046">
        <v>6426.12</v>
      </c>
      <c r="J669" s="1047"/>
      <c r="K669" s="383">
        <v>2890.37</v>
      </c>
      <c r="L669" s="383">
        <v>-27714.27</v>
      </c>
    </row>
    <row r="670" spans="2:12">
      <c r="B670" s="1050"/>
      <c r="C670" s="1050"/>
      <c r="D670" s="382" t="s">
        <v>2485</v>
      </c>
      <c r="E670" s="382" t="s">
        <v>2011</v>
      </c>
      <c r="F670" s="382" t="s">
        <v>2342</v>
      </c>
      <c r="G670" s="382" t="s">
        <v>2351</v>
      </c>
      <c r="H670" s="383">
        <v>-15827.75</v>
      </c>
      <c r="I670" s="1046">
        <v>4701.5200000000004</v>
      </c>
      <c r="J670" s="1047"/>
      <c r="K670" s="383">
        <v>6767.18</v>
      </c>
      <c r="L670" s="383">
        <v>-13762.09</v>
      </c>
    </row>
    <row r="671" spans="2:12">
      <c r="B671" s="1050"/>
      <c r="C671" s="1050"/>
      <c r="D671" s="382" t="s">
        <v>2485</v>
      </c>
      <c r="E671" s="382" t="s">
        <v>2011</v>
      </c>
      <c r="F671" s="382" t="s">
        <v>2342</v>
      </c>
      <c r="G671" s="382" t="s">
        <v>2352</v>
      </c>
      <c r="H671" s="383">
        <v>-2755.11</v>
      </c>
      <c r="I671" s="1046">
        <v>716.16</v>
      </c>
      <c r="J671" s="1047"/>
      <c r="K671" s="383">
        <v>780.32</v>
      </c>
      <c r="L671" s="383">
        <v>-2690.95</v>
      </c>
    </row>
    <row r="672" spans="2:12">
      <c r="B672" s="1050"/>
      <c r="C672" s="1050"/>
      <c r="D672" s="382" t="s">
        <v>2485</v>
      </c>
      <c r="E672" s="382" t="s">
        <v>2011</v>
      </c>
      <c r="F672" s="382" t="s">
        <v>2342</v>
      </c>
      <c r="G672" s="382" t="s">
        <v>2353</v>
      </c>
      <c r="H672" s="383">
        <v>-1958.65</v>
      </c>
      <c r="I672" s="1046">
        <v>1107.2</v>
      </c>
      <c r="J672" s="1047"/>
      <c r="K672" s="383">
        <v>1072.47</v>
      </c>
      <c r="L672" s="383">
        <v>-1993.38</v>
      </c>
    </row>
    <row r="673" spans="2:12">
      <c r="B673" s="1050"/>
      <c r="C673" s="1050"/>
      <c r="D673" s="382" t="s">
        <v>2485</v>
      </c>
      <c r="E673" s="382" t="s">
        <v>2011</v>
      </c>
      <c r="F673" s="382" t="s">
        <v>2342</v>
      </c>
      <c r="G673" s="382" t="s">
        <v>405</v>
      </c>
      <c r="H673" s="383">
        <v>-1497.94</v>
      </c>
      <c r="I673" s="1046">
        <v>522.09</v>
      </c>
      <c r="J673" s="1047"/>
      <c r="K673" s="383">
        <v>959.75</v>
      </c>
      <c r="L673" s="383">
        <v>-1060.28</v>
      </c>
    </row>
    <row r="674" spans="2:12">
      <c r="B674" s="1050"/>
      <c r="C674" s="1050"/>
      <c r="D674" s="382" t="s">
        <v>2486</v>
      </c>
      <c r="E674" s="382" t="s">
        <v>2465</v>
      </c>
      <c r="F674" s="382" t="s">
        <v>2342</v>
      </c>
      <c r="G674" s="382" t="s">
        <v>2343</v>
      </c>
      <c r="H674" s="383">
        <v>-8742.0499999999993</v>
      </c>
      <c r="I674" s="1046">
        <v>3662.61</v>
      </c>
      <c r="J674" s="1047"/>
      <c r="K674" s="383">
        <v>3043.96</v>
      </c>
      <c r="L674" s="383">
        <v>-9360.7000000000007</v>
      </c>
    </row>
    <row r="675" spans="2:12">
      <c r="B675" s="1050"/>
      <c r="C675" s="1050"/>
      <c r="D675" s="382" t="s">
        <v>2486</v>
      </c>
      <c r="E675" s="382" t="s">
        <v>2465</v>
      </c>
      <c r="F675" s="382" t="s">
        <v>2342</v>
      </c>
      <c r="G675" s="382" t="s">
        <v>2344</v>
      </c>
      <c r="H675" s="383">
        <v>-4895.6899999999996</v>
      </c>
      <c r="I675" s="1046">
        <v>1997.04</v>
      </c>
      <c r="J675" s="1047"/>
      <c r="K675" s="383">
        <v>0</v>
      </c>
      <c r="L675" s="383">
        <v>-6892.73</v>
      </c>
    </row>
    <row r="676" spans="2:12">
      <c r="B676" s="1050"/>
      <c r="C676" s="1050"/>
      <c r="D676" s="382" t="s">
        <v>2486</v>
      </c>
      <c r="E676" s="382" t="s">
        <v>2465</v>
      </c>
      <c r="F676" s="382" t="s">
        <v>2342</v>
      </c>
      <c r="G676" s="382" t="s">
        <v>2345</v>
      </c>
      <c r="H676" s="383">
        <v>-975.34</v>
      </c>
      <c r="I676" s="1046">
        <v>1428.3</v>
      </c>
      <c r="J676" s="1047"/>
      <c r="K676" s="383">
        <v>0</v>
      </c>
      <c r="L676" s="383">
        <v>-2403.64</v>
      </c>
    </row>
    <row r="677" spans="2:12">
      <c r="B677" s="1050"/>
      <c r="C677" s="1050"/>
      <c r="D677" s="382" t="s">
        <v>2486</v>
      </c>
      <c r="E677" s="382" t="s">
        <v>2465</v>
      </c>
      <c r="F677" s="382" t="s">
        <v>2342</v>
      </c>
      <c r="G677" s="382" t="s">
        <v>2346</v>
      </c>
      <c r="H677" s="383">
        <v>-1826.54</v>
      </c>
      <c r="I677" s="1046">
        <v>502.64</v>
      </c>
      <c r="J677" s="1047"/>
      <c r="K677" s="383">
        <v>868.49</v>
      </c>
      <c r="L677" s="383">
        <v>-1460.69</v>
      </c>
    </row>
    <row r="678" spans="2:12">
      <c r="B678" s="1050"/>
      <c r="C678" s="1050"/>
      <c r="D678" s="382" t="s">
        <v>2486</v>
      </c>
      <c r="E678" s="382" t="s">
        <v>2465</v>
      </c>
      <c r="F678" s="382" t="s">
        <v>2342</v>
      </c>
      <c r="G678" s="382" t="s">
        <v>2347</v>
      </c>
      <c r="H678" s="383">
        <v>-10971.4</v>
      </c>
      <c r="I678" s="1046">
        <v>4116.66</v>
      </c>
      <c r="J678" s="1047"/>
      <c r="K678" s="383">
        <v>429.96</v>
      </c>
      <c r="L678" s="383">
        <v>-14658.1</v>
      </c>
    </row>
    <row r="679" spans="2:12">
      <c r="B679" s="1050"/>
      <c r="C679" s="1050"/>
      <c r="D679" s="382" t="s">
        <v>2486</v>
      </c>
      <c r="E679" s="382" t="s">
        <v>2465</v>
      </c>
      <c r="F679" s="382" t="s">
        <v>2342</v>
      </c>
      <c r="G679" s="382" t="s">
        <v>2348</v>
      </c>
      <c r="H679" s="383">
        <v>-4552.79</v>
      </c>
      <c r="I679" s="1046">
        <v>1468.79</v>
      </c>
      <c r="J679" s="1047"/>
      <c r="K679" s="383">
        <v>875.38</v>
      </c>
      <c r="L679" s="383">
        <v>-5146.2</v>
      </c>
    </row>
    <row r="680" spans="2:12">
      <c r="B680" s="1050"/>
      <c r="C680" s="1050"/>
      <c r="D680" s="382" t="s">
        <v>2486</v>
      </c>
      <c r="E680" s="382" t="s">
        <v>2465</v>
      </c>
      <c r="F680" s="382" t="s">
        <v>2342</v>
      </c>
      <c r="G680" s="382" t="s">
        <v>2349</v>
      </c>
      <c r="H680" s="383">
        <v>-14912.66</v>
      </c>
      <c r="I680" s="1046">
        <v>6761.91</v>
      </c>
      <c r="J680" s="1047"/>
      <c r="K680" s="383">
        <v>1521.7</v>
      </c>
      <c r="L680" s="383">
        <v>-20152.87</v>
      </c>
    </row>
    <row r="681" spans="2:12">
      <c r="B681" s="1050"/>
      <c r="C681" s="1050"/>
      <c r="D681" s="382" t="s">
        <v>2486</v>
      </c>
      <c r="E681" s="382" t="s">
        <v>2465</v>
      </c>
      <c r="F681" s="382" t="s">
        <v>2342</v>
      </c>
      <c r="G681" s="382" t="s">
        <v>2350</v>
      </c>
      <c r="H681" s="383">
        <v>-4881.57</v>
      </c>
      <c r="I681" s="1046">
        <v>1643.73</v>
      </c>
      <c r="J681" s="1047"/>
      <c r="K681" s="383">
        <v>1351.44</v>
      </c>
      <c r="L681" s="383">
        <v>-5173.8599999999997</v>
      </c>
    </row>
    <row r="682" spans="2:12">
      <c r="B682" s="1050"/>
      <c r="C682" s="1050"/>
      <c r="D682" s="382" t="s">
        <v>2486</v>
      </c>
      <c r="E682" s="382" t="s">
        <v>2465</v>
      </c>
      <c r="F682" s="382" t="s">
        <v>2342</v>
      </c>
      <c r="G682" s="382" t="s">
        <v>2351</v>
      </c>
      <c r="H682" s="383">
        <v>-5414.4</v>
      </c>
      <c r="I682" s="1046">
        <v>1944.52</v>
      </c>
      <c r="J682" s="1047"/>
      <c r="K682" s="383">
        <v>0</v>
      </c>
      <c r="L682" s="383">
        <v>-7358.92</v>
      </c>
    </row>
    <row r="683" spans="2:12">
      <c r="B683" s="1050"/>
      <c r="C683" s="1050"/>
      <c r="D683" s="382" t="s">
        <v>2486</v>
      </c>
      <c r="E683" s="382" t="s">
        <v>2465</v>
      </c>
      <c r="F683" s="382" t="s">
        <v>2342</v>
      </c>
      <c r="G683" s="382" t="s">
        <v>2352</v>
      </c>
      <c r="H683" s="383">
        <v>-4908.34</v>
      </c>
      <c r="I683" s="1046">
        <v>1930.16</v>
      </c>
      <c r="J683" s="1047"/>
      <c r="K683" s="383">
        <v>175.58</v>
      </c>
      <c r="L683" s="383">
        <v>-6662.92</v>
      </c>
    </row>
    <row r="684" spans="2:12">
      <c r="B684" s="1050"/>
      <c r="C684" s="1050"/>
      <c r="D684" s="382" t="s">
        <v>2486</v>
      </c>
      <c r="E684" s="382" t="s">
        <v>2465</v>
      </c>
      <c r="F684" s="382" t="s">
        <v>2342</v>
      </c>
      <c r="G684" s="382" t="s">
        <v>2353</v>
      </c>
      <c r="H684" s="383">
        <v>-1855.26</v>
      </c>
      <c r="I684" s="1046">
        <v>1068.72</v>
      </c>
      <c r="J684" s="1047"/>
      <c r="K684" s="383">
        <v>1329.81</v>
      </c>
      <c r="L684" s="383">
        <v>-1594.17</v>
      </c>
    </row>
    <row r="685" spans="2:12">
      <c r="B685" s="1050"/>
      <c r="C685" s="1050"/>
      <c r="D685" s="382" t="s">
        <v>2486</v>
      </c>
      <c r="E685" s="382" t="s">
        <v>2465</v>
      </c>
      <c r="F685" s="382" t="s">
        <v>2342</v>
      </c>
      <c r="G685" s="382" t="s">
        <v>405</v>
      </c>
      <c r="H685" s="383">
        <v>-194.35</v>
      </c>
      <c r="I685" s="1046">
        <v>80</v>
      </c>
      <c r="J685" s="1047"/>
      <c r="K685" s="383">
        <v>0</v>
      </c>
      <c r="L685" s="383">
        <v>-274.35000000000002</v>
      </c>
    </row>
    <row r="686" spans="2:12">
      <c r="B686" s="1050"/>
      <c r="C686" s="1050"/>
      <c r="D686" s="382" t="s">
        <v>2487</v>
      </c>
      <c r="E686" s="382" t="s">
        <v>2474</v>
      </c>
      <c r="F686" s="382" t="s">
        <v>2342</v>
      </c>
      <c r="G686" s="382" t="s">
        <v>2343</v>
      </c>
      <c r="H686" s="383">
        <v>-1330.21</v>
      </c>
      <c r="I686" s="1046">
        <v>173.21</v>
      </c>
      <c r="J686" s="1047"/>
      <c r="K686" s="383">
        <v>343.6</v>
      </c>
      <c r="L686" s="383">
        <v>-1159.82</v>
      </c>
    </row>
    <row r="687" spans="2:12">
      <c r="B687" s="1050"/>
      <c r="C687" s="1050"/>
      <c r="D687" s="382" t="s">
        <v>2487</v>
      </c>
      <c r="E687" s="382" t="s">
        <v>2474</v>
      </c>
      <c r="F687" s="382" t="s">
        <v>2342</v>
      </c>
      <c r="G687" s="382" t="s">
        <v>2344</v>
      </c>
      <c r="H687" s="383">
        <v>-3580.64</v>
      </c>
      <c r="I687" s="1046">
        <v>1715.18</v>
      </c>
      <c r="J687" s="1047"/>
      <c r="K687" s="383">
        <v>87.99</v>
      </c>
      <c r="L687" s="383">
        <v>-5207.83</v>
      </c>
    </row>
    <row r="688" spans="2:12">
      <c r="B688" s="1050"/>
      <c r="C688" s="1050"/>
      <c r="D688" s="382" t="s">
        <v>2487</v>
      </c>
      <c r="E688" s="382" t="s">
        <v>2474</v>
      </c>
      <c r="F688" s="382" t="s">
        <v>2342</v>
      </c>
      <c r="G688" s="382" t="s">
        <v>2345</v>
      </c>
      <c r="H688" s="383">
        <v>-2280.85</v>
      </c>
      <c r="I688" s="1046">
        <v>915.9</v>
      </c>
      <c r="J688" s="1047"/>
      <c r="K688" s="383">
        <v>1603.3</v>
      </c>
      <c r="L688" s="383">
        <v>-1593.45</v>
      </c>
    </row>
    <row r="689" spans="2:12">
      <c r="B689" s="1050"/>
      <c r="C689" s="1050"/>
      <c r="D689" s="382" t="s">
        <v>2487</v>
      </c>
      <c r="E689" s="382" t="s">
        <v>2474</v>
      </c>
      <c r="F689" s="382" t="s">
        <v>2342</v>
      </c>
      <c r="G689" s="382" t="s">
        <v>2346</v>
      </c>
      <c r="H689" s="383">
        <v>0</v>
      </c>
      <c r="I689" s="1046">
        <v>0</v>
      </c>
      <c r="J689" s="1047"/>
      <c r="K689" s="383">
        <v>0</v>
      </c>
      <c r="L689" s="383">
        <v>0</v>
      </c>
    </row>
    <row r="690" spans="2:12">
      <c r="B690" s="1050"/>
      <c r="C690" s="1050"/>
      <c r="D690" s="382" t="s">
        <v>2487</v>
      </c>
      <c r="E690" s="382" t="s">
        <v>2474</v>
      </c>
      <c r="F690" s="382" t="s">
        <v>2342</v>
      </c>
      <c r="G690" s="382" t="s">
        <v>2347</v>
      </c>
      <c r="H690" s="383">
        <v>-3060.69</v>
      </c>
      <c r="I690" s="1046">
        <v>132.72</v>
      </c>
      <c r="J690" s="1047"/>
      <c r="K690" s="383">
        <v>0</v>
      </c>
      <c r="L690" s="383">
        <v>-3193.41</v>
      </c>
    </row>
    <row r="691" spans="2:12">
      <c r="B691" s="1050"/>
      <c r="C691" s="1050"/>
      <c r="D691" s="382" t="s">
        <v>2487</v>
      </c>
      <c r="E691" s="382" t="s">
        <v>2474</v>
      </c>
      <c r="F691" s="382" t="s">
        <v>2342</v>
      </c>
      <c r="G691" s="382" t="s">
        <v>2348</v>
      </c>
      <c r="H691" s="383">
        <v>-1979.87</v>
      </c>
      <c r="I691" s="1046">
        <v>491.29</v>
      </c>
      <c r="J691" s="1047"/>
      <c r="K691" s="383">
        <v>100.15</v>
      </c>
      <c r="L691" s="383">
        <v>-2371.0100000000002</v>
      </c>
    </row>
    <row r="692" spans="2:12">
      <c r="B692" s="1050"/>
      <c r="C692" s="1050"/>
      <c r="D692" s="382" t="s">
        <v>2487</v>
      </c>
      <c r="E692" s="382" t="s">
        <v>2474</v>
      </c>
      <c r="F692" s="382" t="s">
        <v>2342</v>
      </c>
      <c r="G692" s="382" t="s">
        <v>2349</v>
      </c>
      <c r="H692" s="383">
        <v>-108257.7</v>
      </c>
      <c r="I692" s="1046">
        <v>3363.83</v>
      </c>
      <c r="J692" s="1047"/>
      <c r="K692" s="383">
        <v>107519.21</v>
      </c>
      <c r="L692" s="383">
        <v>-4102.32</v>
      </c>
    </row>
    <row r="693" spans="2:12">
      <c r="B693" s="1050"/>
      <c r="C693" s="1050"/>
      <c r="D693" s="382" t="s">
        <v>2487</v>
      </c>
      <c r="E693" s="382" t="s">
        <v>2474</v>
      </c>
      <c r="F693" s="382" t="s">
        <v>2342</v>
      </c>
      <c r="G693" s="382" t="s">
        <v>2350</v>
      </c>
      <c r="H693" s="383">
        <v>-13575.73</v>
      </c>
      <c r="I693" s="1046">
        <v>3173.33</v>
      </c>
      <c r="J693" s="1047"/>
      <c r="K693" s="383">
        <v>4011.54</v>
      </c>
      <c r="L693" s="383">
        <v>-12737.52</v>
      </c>
    </row>
    <row r="694" spans="2:12">
      <c r="B694" s="1050"/>
      <c r="C694" s="1050"/>
      <c r="D694" s="382" t="s">
        <v>2487</v>
      </c>
      <c r="E694" s="382" t="s">
        <v>2474</v>
      </c>
      <c r="F694" s="382" t="s">
        <v>2342</v>
      </c>
      <c r="G694" s="382" t="s">
        <v>2351</v>
      </c>
      <c r="H694" s="383">
        <v>-5.6</v>
      </c>
      <c r="I694" s="1046">
        <v>476.26</v>
      </c>
      <c r="J694" s="1047"/>
      <c r="K694" s="383">
        <v>129.68</v>
      </c>
      <c r="L694" s="383">
        <v>-352.18</v>
      </c>
    </row>
    <row r="695" spans="2:12">
      <c r="B695" s="1050"/>
      <c r="C695" s="1050"/>
      <c r="D695" s="382" t="s">
        <v>2487</v>
      </c>
      <c r="E695" s="382" t="s">
        <v>2474</v>
      </c>
      <c r="F695" s="382" t="s">
        <v>2342</v>
      </c>
      <c r="G695" s="382" t="s">
        <v>2352</v>
      </c>
      <c r="H695" s="383">
        <v>-1221.6600000000001</v>
      </c>
      <c r="I695" s="1046">
        <v>1562.14</v>
      </c>
      <c r="J695" s="1047"/>
      <c r="K695" s="383">
        <v>1734.2</v>
      </c>
      <c r="L695" s="383">
        <v>-1049.5999999999999</v>
      </c>
    </row>
    <row r="696" spans="2:12">
      <c r="B696" s="1050"/>
      <c r="C696" s="1050"/>
      <c r="D696" s="382" t="s">
        <v>2487</v>
      </c>
      <c r="E696" s="382" t="s">
        <v>2474</v>
      </c>
      <c r="F696" s="382" t="s">
        <v>2342</v>
      </c>
      <c r="G696" s="382" t="s">
        <v>2353</v>
      </c>
      <c r="H696" s="383">
        <v>-2298.54</v>
      </c>
      <c r="I696" s="1046">
        <v>702.13</v>
      </c>
      <c r="J696" s="1047"/>
      <c r="K696" s="383">
        <v>1759.69</v>
      </c>
      <c r="L696" s="383">
        <v>-1240.98</v>
      </c>
    </row>
    <row r="697" spans="2:12">
      <c r="B697" s="1050"/>
      <c r="C697" s="1050"/>
      <c r="D697" s="382" t="s">
        <v>2488</v>
      </c>
      <c r="E697" s="382" t="s">
        <v>2014</v>
      </c>
      <c r="F697" s="382" t="s">
        <v>2342</v>
      </c>
      <c r="G697" s="382" t="s">
        <v>2355</v>
      </c>
      <c r="H697" s="383">
        <v>-3890.89</v>
      </c>
      <c r="I697" s="1046">
        <v>618.82000000000005</v>
      </c>
      <c r="J697" s="1047"/>
      <c r="K697" s="383">
        <v>644.76</v>
      </c>
      <c r="L697" s="383">
        <v>-3864.95</v>
      </c>
    </row>
    <row r="698" spans="2:12">
      <c r="B698" s="1050"/>
      <c r="C698" s="1051"/>
      <c r="D698" s="359" t="s">
        <v>12</v>
      </c>
      <c r="E698" s="359" t="s">
        <v>111</v>
      </c>
      <c r="F698" s="359" t="s">
        <v>111</v>
      </c>
      <c r="G698" s="359" t="s">
        <v>111</v>
      </c>
      <c r="H698" s="384">
        <v>-486527.36</v>
      </c>
      <c r="I698" s="1048">
        <v>119274.52</v>
      </c>
      <c r="J698" s="1047"/>
      <c r="K698" s="384">
        <v>185967.14</v>
      </c>
      <c r="L698" s="384">
        <v>-419834.74</v>
      </c>
    </row>
    <row r="699" spans="2:12">
      <c r="B699" s="1050"/>
      <c r="C699" s="1049" t="s">
        <v>2489</v>
      </c>
      <c r="D699" s="382" t="s">
        <v>2490</v>
      </c>
      <c r="E699" s="382" t="s">
        <v>2016</v>
      </c>
      <c r="F699" s="382" t="s">
        <v>2342</v>
      </c>
      <c r="G699" s="382" t="s">
        <v>2355</v>
      </c>
      <c r="H699" s="383">
        <v>-622.14</v>
      </c>
      <c r="I699" s="1046">
        <v>0</v>
      </c>
      <c r="J699" s="1047"/>
      <c r="K699" s="383">
        <v>622.14</v>
      </c>
      <c r="L699" s="383">
        <v>0</v>
      </c>
    </row>
    <row r="700" spans="2:12">
      <c r="B700" s="1050"/>
      <c r="C700" s="1050"/>
      <c r="D700" s="382" t="s">
        <v>2491</v>
      </c>
      <c r="E700" s="382" t="s">
        <v>2017</v>
      </c>
      <c r="F700" s="382" t="s">
        <v>2342</v>
      </c>
      <c r="G700" s="382" t="s">
        <v>2355</v>
      </c>
      <c r="H700" s="383">
        <v>0</v>
      </c>
      <c r="I700" s="1046">
        <v>0</v>
      </c>
      <c r="J700" s="1047"/>
      <c r="K700" s="383">
        <v>0</v>
      </c>
      <c r="L700" s="383">
        <v>0</v>
      </c>
    </row>
    <row r="701" spans="2:12">
      <c r="B701" s="1050"/>
      <c r="C701" s="1050"/>
      <c r="D701" s="382" t="s">
        <v>2492</v>
      </c>
      <c r="E701" s="382" t="s">
        <v>2018</v>
      </c>
      <c r="F701" s="382" t="s">
        <v>2342</v>
      </c>
      <c r="G701" s="382" t="s">
        <v>2355</v>
      </c>
      <c r="H701" s="383">
        <v>-6510.17</v>
      </c>
      <c r="I701" s="1046">
        <v>0</v>
      </c>
      <c r="J701" s="1047"/>
      <c r="K701" s="383">
        <v>1627.5</v>
      </c>
      <c r="L701" s="383">
        <v>-4882.67</v>
      </c>
    </row>
    <row r="702" spans="2:12">
      <c r="B702" s="1050"/>
      <c r="C702" s="1050"/>
      <c r="D702" s="382" t="s">
        <v>2493</v>
      </c>
      <c r="E702" s="382" t="s">
        <v>2019</v>
      </c>
      <c r="F702" s="382" t="s">
        <v>2342</v>
      </c>
      <c r="G702" s="382" t="s">
        <v>2355</v>
      </c>
      <c r="H702" s="383">
        <v>-3479.97</v>
      </c>
      <c r="I702" s="1046">
        <v>0</v>
      </c>
      <c r="J702" s="1047"/>
      <c r="K702" s="383">
        <v>870</v>
      </c>
      <c r="L702" s="383">
        <v>-2609.9699999999998</v>
      </c>
    </row>
    <row r="703" spans="2:12">
      <c r="B703" s="1050"/>
      <c r="C703" s="1050"/>
      <c r="D703" s="382" t="s">
        <v>2494</v>
      </c>
      <c r="E703" s="382" t="s">
        <v>2020</v>
      </c>
      <c r="F703" s="382" t="s">
        <v>2342</v>
      </c>
      <c r="G703" s="382" t="s">
        <v>2355</v>
      </c>
      <c r="H703" s="383">
        <v>-157998</v>
      </c>
      <c r="I703" s="1046">
        <v>0</v>
      </c>
      <c r="J703" s="1047"/>
      <c r="K703" s="383">
        <v>157998</v>
      </c>
      <c r="L703" s="383">
        <v>0</v>
      </c>
    </row>
    <row r="704" spans="2:12">
      <c r="B704" s="1050"/>
      <c r="C704" s="1050"/>
      <c r="D704" s="382" t="s">
        <v>2495</v>
      </c>
      <c r="E704" s="382" t="s">
        <v>2021</v>
      </c>
      <c r="F704" s="382" t="s">
        <v>2342</v>
      </c>
      <c r="G704" s="382" t="s">
        <v>2355</v>
      </c>
      <c r="H704" s="383">
        <v>-10772.55</v>
      </c>
      <c r="I704" s="1046">
        <v>0</v>
      </c>
      <c r="J704" s="1047"/>
      <c r="K704" s="383">
        <v>2693.13</v>
      </c>
      <c r="L704" s="383">
        <v>-8079.42</v>
      </c>
    </row>
    <row r="705" spans="2:12">
      <c r="B705" s="1050"/>
      <c r="C705" s="1050"/>
      <c r="D705" s="382" t="s">
        <v>2496</v>
      </c>
      <c r="E705" s="382" t="s">
        <v>2022</v>
      </c>
      <c r="F705" s="382" t="s">
        <v>2342</v>
      </c>
      <c r="G705" s="382" t="s">
        <v>2355</v>
      </c>
      <c r="H705" s="383">
        <v>-241.61</v>
      </c>
      <c r="I705" s="1046">
        <v>0</v>
      </c>
      <c r="J705" s="1047"/>
      <c r="K705" s="383">
        <v>60.42</v>
      </c>
      <c r="L705" s="383">
        <v>-181.19</v>
      </c>
    </row>
    <row r="706" spans="2:12">
      <c r="B706" s="1050"/>
      <c r="C706" s="1051"/>
      <c r="D706" s="359" t="s">
        <v>12</v>
      </c>
      <c r="E706" s="359" t="s">
        <v>111</v>
      </c>
      <c r="F706" s="359" t="s">
        <v>111</v>
      </c>
      <c r="G706" s="359" t="s">
        <v>111</v>
      </c>
      <c r="H706" s="384">
        <v>-179624.44</v>
      </c>
      <c r="I706" s="1048">
        <v>0</v>
      </c>
      <c r="J706" s="1047"/>
      <c r="K706" s="384">
        <v>163871.19</v>
      </c>
      <c r="L706" s="384">
        <v>-15753.25</v>
      </c>
    </row>
    <row r="707" spans="2:12">
      <c r="B707" s="1050"/>
      <c r="C707" s="1049" t="s">
        <v>2497</v>
      </c>
      <c r="D707" s="382" t="s">
        <v>2498</v>
      </c>
      <c r="E707" s="382" t="s">
        <v>2023</v>
      </c>
      <c r="F707" s="382" t="s">
        <v>2342</v>
      </c>
      <c r="G707" s="382" t="s">
        <v>2355</v>
      </c>
      <c r="H707" s="383">
        <v>-1163277</v>
      </c>
      <c r="I707" s="1046">
        <v>697856</v>
      </c>
      <c r="J707" s="1047"/>
      <c r="K707" s="383">
        <v>0</v>
      </c>
      <c r="L707" s="383">
        <f>H707+K707-I707</f>
        <v>-1861133</v>
      </c>
    </row>
    <row r="708" spans="2:12">
      <c r="B708" s="1050"/>
      <c r="C708" s="1051"/>
      <c r="D708" s="359" t="s">
        <v>12</v>
      </c>
      <c r="E708" s="359" t="s">
        <v>111</v>
      </c>
      <c r="F708" s="359" t="s">
        <v>111</v>
      </c>
      <c r="G708" s="359" t="s">
        <v>111</v>
      </c>
      <c r="H708" s="384">
        <f>H707</f>
        <v>-1163277</v>
      </c>
      <c r="I708" s="1048">
        <f>I707</f>
        <v>697856</v>
      </c>
      <c r="J708" s="1047"/>
      <c r="K708" s="384">
        <f>K707</f>
        <v>0</v>
      </c>
      <c r="L708" s="384">
        <f>L707</f>
        <v>-1861133</v>
      </c>
    </row>
    <row r="709" spans="2:12">
      <c r="B709" s="1050"/>
      <c r="C709" s="1049" t="s">
        <v>2499</v>
      </c>
      <c r="D709" s="382" t="s">
        <v>2500</v>
      </c>
      <c r="E709" s="382" t="s">
        <v>2024</v>
      </c>
      <c r="F709" s="382" t="s">
        <v>2342</v>
      </c>
      <c r="G709" s="382" t="s">
        <v>2355</v>
      </c>
      <c r="H709" s="383">
        <v>-11150</v>
      </c>
      <c r="I709" s="1046">
        <v>0</v>
      </c>
      <c r="J709" s="1047"/>
      <c r="K709" s="383">
        <v>0</v>
      </c>
      <c r="L709" s="383">
        <v>-11150</v>
      </c>
    </row>
    <row r="710" spans="2:12">
      <c r="B710" s="1050"/>
      <c r="C710" s="1050"/>
      <c r="D710" s="382" t="s">
        <v>2501</v>
      </c>
      <c r="E710" s="382" t="s">
        <v>2025</v>
      </c>
      <c r="F710" s="382" t="s">
        <v>2342</v>
      </c>
      <c r="G710" s="382" t="s">
        <v>2355</v>
      </c>
      <c r="H710" s="383">
        <v>-75026.03</v>
      </c>
      <c r="I710" s="1046">
        <v>73625</v>
      </c>
      <c r="J710" s="1047"/>
      <c r="K710" s="383">
        <v>76625</v>
      </c>
      <c r="L710" s="383">
        <v>-72026.03</v>
      </c>
    </row>
    <row r="711" spans="2:12">
      <c r="B711" s="1050"/>
      <c r="C711" s="1051"/>
      <c r="D711" s="359" t="s">
        <v>12</v>
      </c>
      <c r="E711" s="359" t="s">
        <v>111</v>
      </c>
      <c r="F711" s="359" t="s">
        <v>111</v>
      </c>
      <c r="G711" s="359" t="s">
        <v>111</v>
      </c>
      <c r="H711" s="384">
        <v>-86176.03</v>
      </c>
      <c r="I711" s="1048">
        <v>73625</v>
      </c>
      <c r="J711" s="1047"/>
      <c r="K711" s="384">
        <v>76625</v>
      </c>
      <c r="L711" s="384">
        <v>-83176.03</v>
      </c>
    </row>
    <row r="712" spans="2:12">
      <c r="B712" s="1050"/>
      <c r="C712" s="1049" t="s">
        <v>2502</v>
      </c>
      <c r="D712" s="382" t="s">
        <v>2503</v>
      </c>
      <c r="E712" s="382" t="s">
        <v>2026</v>
      </c>
      <c r="F712" s="382" t="s">
        <v>2342</v>
      </c>
      <c r="G712" s="382" t="s">
        <v>2355</v>
      </c>
      <c r="H712" s="383">
        <v>-734145.85</v>
      </c>
      <c r="I712" s="1046">
        <v>141753.64000000001</v>
      </c>
      <c r="J712" s="1047"/>
      <c r="K712" s="383">
        <v>757813.02</v>
      </c>
      <c r="L712" s="383">
        <v>-118086.47</v>
      </c>
    </row>
    <row r="713" spans="2:12">
      <c r="B713" s="1050"/>
      <c r="C713" s="1051"/>
      <c r="D713" s="359" t="s">
        <v>12</v>
      </c>
      <c r="E713" s="359" t="s">
        <v>111</v>
      </c>
      <c r="F713" s="359" t="s">
        <v>111</v>
      </c>
      <c r="G713" s="359" t="s">
        <v>111</v>
      </c>
      <c r="H713" s="384">
        <v>-734145.85</v>
      </c>
      <c r="I713" s="1048">
        <v>141753.64000000001</v>
      </c>
      <c r="J713" s="1047"/>
      <c r="K713" s="384">
        <v>757813.02</v>
      </c>
      <c r="L713" s="384">
        <v>-118086.47</v>
      </c>
    </row>
    <row r="714" spans="2:12">
      <c r="B714" s="1050"/>
      <c r="C714" s="1049" t="s">
        <v>2504</v>
      </c>
      <c r="D714" s="382" t="s">
        <v>2505</v>
      </c>
      <c r="E714" s="382" t="s">
        <v>2027</v>
      </c>
      <c r="F714" s="382" t="s">
        <v>2342</v>
      </c>
      <c r="G714" s="382" t="s">
        <v>2343</v>
      </c>
      <c r="H714" s="383">
        <v>190.73</v>
      </c>
      <c r="I714" s="1046">
        <v>189.79</v>
      </c>
      <c r="J714" s="1047"/>
      <c r="K714" s="383">
        <v>0</v>
      </c>
      <c r="L714" s="383">
        <v>0.94</v>
      </c>
    </row>
    <row r="715" spans="2:12">
      <c r="B715" s="1050"/>
      <c r="C715" s="1050"/>
      <c r="D715" s="382" t="s">
        <v>2505</v>
      </c>
      <c r="E715" s="382" t="s">
        <v>2027</v>
      </c>
      <c r="F715" s="382" t="s">
        <v>2342</v>
      </c>
      <c r="G715" s="382" t="s">
        <v>2344</v>
      </c>
      <c r="H715" s="383">
        <v>0</v>
      </c>
      <c r="I715" s="1046">
        <v>0</v>
      </c>
      <c r="J715" s="1047"/>
      <c r="K715" s="383">
        <v>210.81</v>
      </c>
      <c r="L715" s="383">
        <v>210.81</v>
      </c>
    </row>
    <row r="716" spans="2:12">
      <c r="B716" s="1050"/>
      <c r="C716" s="1050"/>
      <c r="D716" s="382" t="s">
        <v>2505</v>
      </c>
      <c r="E716" s="382" t="s">
        <v>2027</v>
      </c>
      <c r="F716" s="382" t="s">
        <v>2342</v>
      </c>
      <c r="G716" s="382" t="s">
        <v>2345</v>
      </c>
      <c r="H716" s="383">
        <v>0.63</v>
      </c>
      <c r="I716" s="1046">
        <v>0</v>
      </c>
      <c r="J716" s="1047"/>
      <c r="K716" s="383">
        <v>0</v>
      </c>
      <c r="L716" s="383">
        <v>0.63</v>
      </c>
    </row>
    <row r="717" spans="2:12">
      <c r="B717" s="1050"/>
      <c r="C717" s="1050"/>
      <c r="D717" s="382" t="s">
        <v>2505</v>
      </c>
      <c r="E717" s="382" t="s">
        <v>2027</v>
      </c>
      <c r="F717" s="382" t="s">
        <v>2342</v>
      </c>
      <c r="G717" s="382" t="s">
        <v>2346</v>
      </c>
      <c r="H717" s="383">
        <v>-72.37</v>
      </c>
      <c r="I717" s="1046">
        <v>0</v>
      </c>
      <c r="J717" s="1047"/>
      <c r="K717" s="383">
        <v>0</v>
      </c>
      <c r="L717" s="383">
        <v>-72.37</v>
      </c>
    </row>
    <row r="718" spans="2:12">
      <c r="B718" s="1050"/>
      <c r="C718" s="1050"/>
      <c r="D718" s="382" t="s">
        <v>2505</v>
      </c>
      <c r="E718" s="382" t="s">
        <v>2027</v>
      </c>
      <c r="F718" s="382" t="s">
        <v>2342</v>
      </c>
      <c r="G718" s="382" t="s">
        <v>2347</v>
      </c>
      <c r="H718" s="383">
        <v>179.2</v>
      </c>
      <c r="I718" s="1046">
        <v>0</v>
      </c>
      <c r="J718" s="1047"/>
      <c r="K718" s="383">
        <v>823.81</v>
      </c>
      <c r="L718" s="383">
        <v>1003.01</v>
      </c>
    </row>
    <row r="719" spans="2:12">
      <c r="B719" s="1050"/>
      <c r="C719" s="1050"/>
      <c r="D719" s="382" t="s">
        <v>2505</v>
      </c>
      <c r="E719" s="382" t="s">
        <v>2027</v>
      </c>
      <c r="F719" s="382" t="s">
        <v>2342</v>
      </c>
      <c r="G719" s="382" t="s">
        <v>2348</v>
      </c>
      <c r="H719" s="383">
        <v>124.29</v>
      </c>
      <c r="I719" s="1046">
        <v>543.45000000000005</v>
      </c>
      <c r="J719" s="1047"/>
      <c r="K719" s="383">
        <v>1738.4</v>
      </c>
      <c r="L719" s="383">
        <v>1319.24</v>
      </c>
    </row>
    <row r="720" spans="2:12">
      <c r="B720" s="1050"/>
      <c r="C720" s="1050"/>
      <c r="D720" s="382" t="s">
        <v>2505</v>
      </c>
      <c r="E720" s="382" t="s">
        <v>2027</v>
      </c>
      <c r="F720" s="382" t="s">
        <v>2342</v>
      </c>
      <c r="G720" s="382" t="s">
        <v>2349</v>
      </c>
      <c r="H720" s="383">
        <v>0</v>
      </c>
      <c r="I720" s="1046">
        <v>2158.1799999999998</v>
      </c>
      <c r="J720" s="1047"/>
      <c r="K720" s="383">
        <v>10626.66</v>
      </c>
      <c r="L720" s="383">
        <v>8468.48</v>
      </c>
    </row>
    <row r="721" spans="2:12">
      <c r="B721" s="1050"/>
      <c r="C721" s="1050"/>
      <c r="D721" s="382" t="s">
        <v>2505</v>
      </c>
      <c r="E721" s="382" t="s">
        <v>2027</v>
      </c>
      <c r="F721" s="382" t="s">
        <v>2342</v>
      </c>
      <c r="G721" s="382" t="s">
        <v>2350</v>
      </c>
      <c r="H721" s="383">
        <v>0</v>
      </c>
      <c r="I721" s="1046">
        <v>0</v>
      </c>
      <c r="J721" s="1047"/>
      <c r="K721" s="383">
        <v>0</v>
      </c>
      <c r="L721" s="383">
        <v>0</v>
      </c>
    </row>
    <row r="722" spans="2:12">
      <c r="B722" s="1050"/>
      <c r="C722" s="1050"/>
      <c r="D722" s="382" t="s">
        <v>2505</v>
      </c>
      <c r="E722" s="382" t="s">
        <v>2027</v>
      </c>
      <c r="F722" s="382" t="s">
        <v>2342</v>
      </c>
      <c r="G722" s="382" t="s">
        <v>2351</v>
      </c>
      <c r="H722" s="383">
        <v>0</v>
      </c>
      <c r="I722" s="1046">
        <v>5754.5</v>
      </c>
      <c r="J722" s="1047"/>
      <c r="K722" s="383">
        <v>5754.5</v>
      </c>
      <c r="L722" s="383">
        <v>0</v>
      </c>
    </row>
    <row r="723" spans="2:12">
      <c r="B723" s="1050"/>
      <c r="C723" s="1050"/>
      <c r="D723" s="382" t="s">
        <v>2505</v>
      </c>
      <c r="E723" s="382" t="s">
        <v>2027</v>
      </c>
      <c r="F723" s="382" t="s">
        <v>2342</v>
      </c>
      <c r="G723" s="382" t="s">
        <v>2352</v>
      </c>
      <c r="H723" s="383">
        <v>0</v>
      </c>
      <c r="I723" s="1046">
        <v>0</v>
      </c>
      <c r="J723" s="1047"/>
      <c r="K723" s="383">
        <v>0</v>
      </c>
      <c r="L723" s="383">
        <v>0</v>
      </c>
    </row>
    <row r="724" spans="2:12">
      <c r="B724" s="1050"/>
      <c r="C724" s="1050"/>
      <c r="D724" s="382" t="s">
        <v>2505</v>
      </c>
      <c r="E724" s="382" t="s">
        <v>2027</v>
      </c>
      <c r="F724" s="382" t="s">
        <v>2342</v>
      </c>
      <c r="G724" s="382" t="s">
        <v>2353</v>
      </c>
      <c r="H724" s="383">
        <v>72.37</v>
      </c>
      <c r="I724" s="1046">
        <v>0</v>
      </c>
      <c r="J724" s="1047"/>
      <c r="K724" s="383">
        <v>0</v>
      </c>
      <c r="L724" s="383">
        <v>72.37</v>
      </c>
    </row>
    <row r="725" spans="2:12">
      <c r="B725" s="1050"/>
      <c r="C725" s="1050"/>
      <c r="D725" s="382" t="s">
        <v>2505</v>
      </c>
      <c r="E725" s="382" t="s">
        <v>2027</v>
      </c>
      <c r="F725" s="382" t="s">
        <v>2342</v>
      </c>
      <c r="G725" s="382" t="s">
        <v>2354</v>
      </c>
      <c r="H725" s="383">
        <v>920.86</v>
      </c>
      <c r="I725" s="1046">
        <v>0</v>
      </c>
      <c r="J725" s="1047"/>
      <c r="K725" s="383">
        <v>784.46</v>
      </c>
      <c r="L725" s="383">
        <v>1705.32</v>
      </c>
    </row>
    <row r="726" spans="2:12">
      <c r="B726" s="1050"/>
      <c r="C726" s="1050"/>
      <c r="D726" s="382" t="s">
        <v>2505</v>
      </c>
      <c r="E726" s="382" t="s">
        <v>2027</v>
      </c>
      <c r="F726" s="382" t="s">
        <v>2342</v>
      </c>
      <c r="G726" s="382" t="s">
        <v>2355</v>
      </c>
      <c r="H726" s="383">
        <v>-1042.5899999999999</v>
      </c>
      <c r="I726" s="1046">
        <v>10683.15</v>
      </c>
      <c r="J726" s="1047"/>
      <c r="K726" s="383">
        <v>917.05</v>
      </c>
      <c r="L726" s="383">
        <v>-10808.69</v>
      </c>
    </row>
    <row r="727" spans="2:12">
      <c r="B727" s="1050"/>
      <c r="C727" s="1050"/>
      <c r="D727" s="382" t="s">
        <v>2506</v>
      </c>
      <c r="E727" s="382" t="s">
        <v>2028</v>
      </c>
      <c r="F727" s="382" t="s">
        <v>2342</v>
      </c>
      <c r="G727" s="382" t="s">
        <v>2343</v>
      </c>
      <c r="H727" s="383">
        <v>0</v>
      </c>
      <c r="I727" s="1046">
        <v>999940</v>
      </c>
      <c r="J727" s="1047"/>
      <c r="K727" s="383">
        <v>999940</v>
      </c>
      <c r="L727" s="383">
        <f>H727+K727-I727</f>
        <v>0</v>
      </c>
    </row>
    <row r="728" spans="2:12">
      <c r="B728" s="1050"/>
      <c r="C728" s="1050"/>
      <c r="D728" s="382" t="s">
        <v>2506</v>
      </c>
      <c r="E728" s="382" t="s">
        <v>2028</v>
      </c>
      <c r="F728" s="382" t="s">
        <v>2342</v>
      </c>
      <c r="G728" s="382" t="s">
        <v>2344</v>
      </c>
      <c r="H728" s="383">
        <v>3103.9</v>
      </c>
      <c r="I728" s="1046">
        <v>0</v>
      </c>
      <c r="J728" s="1047"/>
      <c r="K728" s="383">
        <v>0</v>
      </c>
      <c r="L728" s="383">
        <v>3103.9</v>
      </c>
    </row>
    <row r="729" spans="2:12">
      <c r="B729" s="1050"/>
      <c r="C729" s="1050"/>
      <c r="D729" s="382" t="s">
        <v>2506</v>
      </c>
      <c r="E729" s="382" t="s">
        <v>2028</v>
      </c>
      <c r="F729" s="382" t="s">
        <v>2342</v>
      </c>
      <c r="G729" s="382" t="s">
        <v>2354</v>
      </c>
      <c r="H729" s="383">
        <v>0</v>
      </c>
      <c r="I729" s="1046">
        <v>0</v>
      </c>
      <c r="J729" s="1047"/>
      <c r="K729" s="383">
        <v>272.39999999999998</v>
      </c>
      <c r="L729" s="383">
        <v>272.39999999999998</v>
      </c>
    </row>
    <row r="730" spans="2:12">
      <c r="B730" s="1050"/>
      <c r="C730" s="1050"/>
      <c r="D730" s="382" t="s">
        <v>2506</v>
      </c>
      <c r="E730" s="382" t="s">
        <v>2028</v>
      </c>
      <c r="F730" s="382" t="s">
        <v>2342</v>
      </c>
      <c r="G730" s="382" t="s">
        <v>2355</v>
      </c>
      <c r="H730" s="383">
        <v>-3376.3</v>
      </c>
      <c r="I730" s="1046">
        <v>0</v>
      </c>
      <c r="J730" s="1047"/>
      <c r="K730" s="383">
        <v>0</v>
      </c>
      <c r="L730" s="383">
        <v>-3376.3</v>
      </c>
    </row>
    <row r="731" spans="2:12">
      <c r="B731" s="1050"/>
      <c r="C731" s="1050"/>
      <c r="D731" s="382" t="s">
        <v>2507</v>
      </c>
      <c r="E731" s="382" t="s">
        <v>2029</v>
      </c>
      <c r="F731" s="382" t="s">
        <v>2342</v>
      </c>
      <c r="G731" s="382" t="s">
        <v>2343</v>
      </c>
      <c r="H731" s="383">
        <v>-3142189.39</v>
      </c>
      <c r="I731" s="1046">
        <v>24165</v>
      </c>
      <c r="J731" s="1047"/>
      <c r="K731" s="383">
        <v>0</v>
      </c>
      <c r="L731" s="383">
        <v>-3166354.39</v>
      </c>
    </row>
    <row r="732" spans="2:12">
      <c r="B732" s="1050"/>
      <c r="C732" s="1050"/>
      <c r="D732" s="382" t="s">
        <v>2507</v>
      </c>
      <c r="E732" s="382" t="s">
        <v>2029</v>
      </c>
      <c r="F732" s="382" t="s">
        <v>2342</v>
      </c>
      <c r="G732" s="382" t="s">
        <v>2344</v>
      </c>
      <c r="H732" s="383">
        <v>-6066</v>
      </c>
      <c r="I732" s="1046">
        <v>20030</v>
      </c>
      <c r="J732" s="1047"/>
      <c r="K732" s="383">
        <v>0</v>
      </c>
      <c r="L732" s="383">
        <v>-26096</v>
      </c>
    </row>
    <row r="733" spans="2:12">
      <c r="B733" s="1050"/>
      <c r="C733" s="1050"/>
      <c r="D733" s="382" t="s">
        <v>2507</v>
      </c>
      <c r="E733" s="382" t="s">
        <v>2029</v>
      </c>
      <c r="F733" s="382" t="s">
        <v>2342</v>
      </c>
      <c r="G733" s="382" t="s">
        <v>2347</v>
      </c>
      <c r="H733" s="383">
        <v>-33335.67</v>
      </c>
      <c r="I733" s="1046">
        <v>41591.339999999997</v>
      </c>
      <c r="J733" s="1047"/>
      <c r="K733" s="383">
        <v>0</v>
      </c>
      <c r="L733" s="383">
        <v>-74927.009999999995</v>
      </c>
    </row>
    <row r="734" spans="2:12">
      <c r="B734" s="1050"/>
      <c r="C734" s="1050"/>
      <c r="D734" s="382" t="s">
        <v>2507</v>
      </c>
      <c r="E734" s="382" t="s">
        <v>2029</v>
      </c>
      <c r="F734" s="382" t="s">
        <v>2342</v>
      </c>
      <c r="G734" s="382" t="s">
        <v>2348</v>
      </c>
      <c r="H734" s="383">
        <v>-18880</v>
      </c>
      <c r="I734" s="1046">
        <v>64540</v>
      </c>
      <c r="J734" s="1047"/>
      <c r="K734" s="383">
        <v>0</v>
      </c>
      <c r="L734" s="383">
        <v>-83420</v>
      </c>
    </row>
    <row r="735" spans="2:12">
      <c r="B735" s="1050"/>
      <c r="C735" s="1050"/>
      <c r="D735" s="382" t="s">
        <v>2507</v>
      </c>
      <c r="E735" s="382" t="s">
        <v>2029</v>
      </c>
      <c r="F735" s="382" t="s">
        <v>2342</v>
      </c>
      <c r="G735" s="382" t="s">
        <v>2349</v>
      </c>
      <c r="H735" s="383">
        <v>-5315</v>
      </c>
      <c r="I735" s="1046">
        <v>11072</v>
      </c>
      <c r="J735" s="1047"/>
      <c r="K735" s="383">
        <v>0</v>
      </c>
      <c r="L735" s="383">
        <v>-16387</v>
      </c>
    </row>
    <row r="736" spans="2:12">
      <c r="B736" s="1050"/>
      <c r="C736" s="1050"/>
      <c r="D736" s="382" t="s">
        <v>2507</v>
      </c>
      <c r="E736" s="382" t="s">
        <v>2029</v>
      </c>
      <c r="F736" s="382" t="s">
        <v>2342</v>
      </c>
      <c r="G736" s="382" t="s">
        <v>2350</v>
      </c>
      <c r="H736" s="383">
        <v>-39500</v>
      </c>
      <c r="I736" s="1046">
        <v>13500</v>
      </c>
      <c r="J736" s="1047"/>
      <c r="K736" s="383">
        <v>0</v>
      </c>
      <c r="L736" s="383">
        <v>-53000</v>
      </c>
    </row>
    <row r="737" spans="2:12">
      <c r="B737" s="1050"/>
      <c r="C737" s="1050"/>
      <c r="D737" s="382" t="s">
        <v>2507</v>
      </c>
      <c r="E737" s="382" t="s">
        <v>2029</v>
      </c>
      <c r="F737" s="382" t="s">
        <v>2342</v>
      </c>
      <c r="G737" s="382" t="s">
        <v>2353</v>
      </c>
      <c r="H737" s="383">
        <v>0</v>
      </c>
      <c r="I737" s="1046">
        <v>10000</v>
      </c>
      <c r="J737" s="1047"/>
      <c r="K737" s="383">
        <v>0</v>
      </c>
      <c r="L737" s="383">
        <v>-10000</v>
      </c>
    </row>
    <row r="738" spans="2:12">
      <c r="B738" s="1050"/>
      <c r="C738" s="1050"/>
      <c r="D738" s="382" t="s">
        <v>2507</v>
      </c>
      <c r="E738" s="382" t="s">
        <v>2029</v>
      </c>
      <c r="F738" s="382" t="s">
        <v>2342</v>
      </c>
      <c r="G738" s="382" t="s">
        <v>405</v>
      </c>
      <c r="H738" s="383">
        <v>-20380</v>
      </c>
      <c r="I738" s="1046">
        <v>0</v>
      </c>
      <c r="J738" s="1047"/>
      <c r="K738" s="383">
        <v>0</v>
      </c>
      <c r="L738" s="383">
        <v>-20380</v>
      </c>
    </row>
    <row r="739" spans="2:12">
      <c r="B739" s="1050"/>
      <c r="C739" s="1050"/>
      <c r="D739" s="382" t="s">
        <v>2507</v>
      </c>
      <c r="E739" s="382" t="s">
        <v>2029</v>
      </c>
      <c r="F739" s="382" t="s">
        <v>2342</v>
      </c>
      <c r="G739" s="382" t="s">
        <v>2355</v>
      </c>
      <c r="H739" s="383">
        <v>3263466.06</v>
      </c>
      <c r="I739" s="1046">
        <v>9000</v>
      </c>
      <c r="J739" s="1047"/>
      <c r="K739" s="383">
        <v>151482.67000000001</v>
      </c>
      <c r="L739" s="383">
        <v>3405948.73</v>
      </c>
    </row>
    <row r="740" spans="2:12">
      <c r="B740" s="1050"/>
      <c r="C740" s="1050"/>
      <c r="D740" s="382" t="s">
        <v>2508</v>
      </c>
      <c r="E740" s="382" t="s">
        <v>2030</v>
      </c>
      <c r="F740" s="382" t="s">
        <v>2342</v>
      </c>
      <c r="G740" s="382" t="s">
        <v>2343</v>
      </c>
      <c r="H740" s="383">
        <v>-89</v>
      </c>
      <c r="I740" s="1046">
        <v>648</v>
      </c>
      <c r="J740" s="1047"/>
      <c r="K740" s="383">
        <v>210</v>
      </c>
      <c r="L740" s="383">
        <v>-527</v>
      </c>
    </row>
    <row r="741" spans="2:12">
      <c r="B741" s="1050"/>
      <c r="C741" s="1050"/>
      <c r="D741" s="382" t="s">
        <v>2508</v>
      </c>
      <c r="E741" s="382" t="s">
        <v>2030</v>
      </c>
      <c r="F741" s="382" t="s">
        <v>2342</v>
      </c>
      <c r="G741" s="382" t="s">
        <v>2347</v>
      </c>
      <c r="H741" s="383">
        <v>-30.5</v>
      </c>
      <c r="I741" s="1046">
        <v>0</v>
      </c>
      <c r="J741" s="1047"/>
      <c r="K741" s="383">
        <v>15.25</v>
      </c>
      <c r="L741" s="383">
        <v>-15.25</v>
      </c>
    </row>
    <row r="742" spans="2:12">
      <c r="B742" s="1050"/>
      <c r="C742" s="1050"/>
      <c r="D742" s="382" t="s">
        <v>2508</v>
      </c>
      <c r="E742" s="382" t="s">
        <v>2030</v>
      </c>
      <c r="F742" s="382" t="s">
        <v>2342</v>
      </c>
      <c r="G742" s="382" t="s">
        <v>2348</v>
      </c>
      <c r="H742" s="383">
        <v>-100</v>
      </c>
      <c r="I742" s="1046">
        <v>0</v>
      </c>
      <c r="J742" s="1047"/>
      <c r="K742" s="383">
        <v>0</v>
      </c>
      <c r="L742" s="383">
        <v>-100</v>
      </c>
    </row>
    <row r="743" spans="2:12">
      <c r="B743" s="1050"/>
      <c r="C743" s="1050"/>
      <c r="D743" s="382" t="s">
        <v>2508</v>
      </c>
      <c r="E743" s="382" t="s">
        <v>2030</v>
      </c>
      <c r="F743" s="382" t="s">
        <v>2342</v>
      </c>
      <c r="G743" s="382" t="s">
        <v>2349</v>
      </c>
      <c r="H743" s="383">
        <v>-8044</v>
      </c>
      <c r="I743" s="1046">
        <v>1069.24</v>
      </c>
      <c r="J743" s="1047"/>
      <c r="K743" s="383">
        <v>1129.24</v>
      </c>
      <c r="L743" s="383">
        <v>-7984</v>
      </c>
    </row>
    <row r="744" spans="2:12">
      <c r="B744" s="1050"/>
      <c r="C744" s="1050"/>
      <c r="D744" s="382" t="s">
        <v>2508</v>
      </c>
      <c r="E744" s="382" t="s">
        <v>2030</v>
      </c>
      <c r="F744" s="382" t="s">
        <v>2342</v>
      </c>
      <c r="G744" s="382" t="s">
        <v>2350</v>
      </c>
      <c r="H744" s="383">
        <v>-463.3</v>
      </c>
      <c r="I744" s="1046">
        <v>0</v>
      </c>
      <c r="J744" s="1047"/>
      <c r="K744" s="383">
        <v>463.3</v>
      </c>
      <c r="L744" s="383">
        <v>0</v>
      </c>
    </row>
    <row r="745" spans="2:12">
      <c r="B745" s="1050"/>
      <c r="C745" s="1050"/>
      <c r="D745" s="382" t="s">
        <v>2508</v>
      </c>
      <c r="E745" s="382" t="s">
        <v>2030</v>
      </c>
      <c r="F745" s="382" t="s">
        <v>2342</v>
      </c>
      <c r="G745" s="382" t="s">
        <v>2351</v>
      </c>
      <c r="H745" s="383">
        <v>0</v>
      </c>
      <c r="I745" s="1046">
        <v>480</v>
      </c>
      <c r="J745" s="1047"/>
      <c r="K745" s="383">
        <v>480</v>
      </c>
      <c r="L745" s="383">
        <v>0</v>
      </c>
    </row>
    <row r="746" spans="2:12">
      <c r="B746" s="1050"/>
      <c r="C746" s="1050"/>
      <c r="D746" s="382" t="s">
        <v>2508</v>
      </c>
      <c r="E746" s="382" t="s">
        <v>2030</v>
      </c>
      <c r="F746" s="382" t="s">
        <v>2342</v>
      </c>
      <c r="G746" s="382" t="s">
        <v>2352</v>
      </c>
      <c r="H746" s="383">
        <v>0</v>
      </c>
      <c r="I746" s="1046">
        <v>1280.5</v>
      </c>
      <c r="J746" s="1047"/>
      <c r="K746" s="383">
        <v>0</v>
      </c>
      <c r="L746" s="383">
        <v>-1280.5</v>
      </c>
    </row>
    <row r="747" spans="2:12">
      <c r="B747" s="1050"/>
      <c r="C747" s="1050"/>
      <c r="D747" s="382" t="s">
        <v>2508</v>
      </c>
      <c r="E747" s="382" t="s">
        <v>2030</v>
      </c>
      <c r="F747" s="382" t="s">
        <v>2342</v>
      </c>
      <c r="G747" s="382" t="s">
        <v>2353</v>
      </c>
      <c r="H747" s="383">
        <v>-24</v>
      </c>
      <c r="I747" s="1046">
        <v>0</v>
      </c>
      <c r="J747" s="1047"/>
      <c r="K747" s="383">
        <v>4</v>
      </c>
      <c r="L747" s="383">
        <v>-20</v>
      </c>
    </row>
    <row r="748" spans="2:12">
      <c r="B748" s="1050"/>
      <c r="C748" s="1050"/>
      <c r="D748" s="382" t="s">
        <v>2508</v>
      </c>
      <c r="E748" s="382" t="s">
        <v>2030</v>
      </c>
      <c r="F748" s="382" t="s">
        <v>2342</v>
      </c>
      <c r="G748" s="382" t="s">
        <v>2354</v>
      </c>
      <c r="H748" s="383">
        <v>-3079.84</v>
      </c>
      <c r="I748" s="1046">
        <v>0</v>
      </c>
      <c r="J748" s="1047"/>
      <c r="K748" s="383">
        <v>0</v>
      </c>
      <c r="L748" s="383">
        <v>-3079.84</v>
      </c>
    </row>
    <row r="749" spans="2:12">
      <c r="B749" s="1050"/>
      <c r="C749" s="1050"/>
      <c r="D749" s="382" t="s">
        <v>2508</v>
      </c>
      <c r="E749" s="382" t="s">
        <v>2030</v>
      </c>
      <c r="F749" s="382" t="s">
        <v>2342</v>
      </c>
      <c r="G749" s="382" t="s">
        <v>2355</v>
      </c>
      <c r="H749" s="383">
        <v>10079.84</v>
      </c>
      <c r="I749" s="1046">
        <v>0</v>
      </c>
      <c r="J749" s="1047"/>
      <c r="K749" s="383">
        <v>1666</v>
      </c>
      <c r="L749" s="383">
        <v>11745.84</v>
      </c>
    </row>
    <row r="750" spans="2:12">
      <c r="B750" s="1050"/>
      <c r="C750" s="1050"/>
      <c r="D750" s="382" t="s">
        <v>2509</v>
      </c>
      <c r="E750" s="382" t="s">
        <v>2031</v>
      </c>
      <c r="F750" s="382" t="s">
        <v>2342</v>
      </c>
      <c r="G750" s="382" t="s">
        <v>2355</v>
      </c>
      <c r="H750" s="383">
        <v>-6020.03</v>
      </c>
      <c r="I750" s="1046">
        <v>0</v>
      </c>
      <c r="J750" s="1047"/>
      <c r="K750" s="383">
        <v>6020.03</v>
      </c>
      <c r="L750" s="383">
        <v>0</v>
      </c>
    </row>
    <row r="751" spans="2:12">
      <c r="B751" s="1050"/>
      <c r="C751" s="1050"/>
      <c r="D751" s="382" t="s">
        <v>2510</v>
      </c>
      <c r="E751" s="382" t="s">
        <v>2032</v>
      </c>
      <c r="F751" s="382" t="s">
        <v>2342</v>
      </c>
      <c r="G751" s="382" t="s">
        <v>2355</v>
      </c>
      <c r="H751" s="383">
        <v>2761.69</v>
      </c>
      <c r="I751" s="1046">
        <v>7796.95</v>
      </c>
      <c r="J751" s="1047"/>
      <c r="K751" s="383">
        <v>5035.26</v>
      </c>
      <c r="L751" s="383">
        <v>0</v>
      </c>
    </row>
    <row r="752" spans="2:12">
      <c r="B752" s="1050"/>
      <c r="C752" s="1050"/>
      <c r="D752" s="382" t="s">
        <v>2511</v>
      </c>
      <c r="E752" s="382" t="s">
        <v>2033</v>
      </c>
      <c r="F752" s="382" t="s">
        <v>2358</v>
      </c>
      <c r="G752" s="382" t="s">
        <v>2355</v>
      </c>
      <c r="H752" s="383">
        <v>0</v>
      </c>
      <c r="I752" s="1046">
        <v>11250.54</v>
      </c>
      <c r="J752" s="1047"/>
      <c r="K752" s="383">
        <v>0</v>
      </c>
      <c r="L752" s="383">
        <v>-11250.54</v>
      </c>
    </row>
    <row r="753" spans="2:12">
      <c r="B753" s="1050"/>
      <c r="C753" s="1050"/>
      <c r="D753" s="382" t="s">
        <v>2511</v>
      </c>
      <c r="E753" s="382" t="s">
        <v>2033</v>
      </c>
      <c r="F753" s="382" t="s">
        <v>2342</v>
      </c>
      <c r="G753" s="382" t="s">
        <v>2355</v>
      </c>
      <c r="H753" s="383">
        <v>0</v>
      </c>
      <c r="I753" s="1046">
        <v>45490.99</v>
      </c>
      <c r="J753" s="1047"/>
      <c r="K753" s="383">
        <v>40858.33</v>
      </c>
      <c r="L753" s="383">
        <v>-4632.66</v>
      </c>
    </row>
    <row r="754" spans="2:12">
      <c r="B754" s="1050"/>
      <c r="C754" s="1050"/>
      <c r="D754" s="382" t="s">
        <v>2512</v>
      </c>
      <c r="E754" s="382" t="s">
        <v>2034</v>
      </c>
      <c r="F754" s="382" t="s">
        <v>2342</v>
      </c>
      <c r="G754" s="382" t="s">
        <v>2355</v>
      </c>
      <c r="H754" s="383">
        <v>0</v>
      </c>
      <c r="I754" s="1046">
        <v>13142.31</v>
      </c>
      <c r="J754" s="1047"/>
      <c r="K754" s="383">
        <v>2106.81</v>
      </c>
      <c r="L754" s="383">
        <v>-11035.5</v>
      </c>
    </row>
    <row r="755" spans="2:12">
      <c r="B755" s="1050"/>
      <c r="C755" s="1051"/>
      <c r="D755" s="359" t="s">
        <v>12</v>
      </c>
      <c r="E755" s="359" t="s">
        <v>111</v>
      </c>
      <c r="F755" s="359" t="s">
        <v>111</v>
      </c>
      <c r="G755" s="359" t="s">
        <v>111</v>
      </c>
      <c r="H755" s="384">
        <f>SUM(H714:H754)</f>
        <v>-7108.4199999997927</v>
      </c>
      <c r="I755" s="1048">
        <v>1294325.94</v>
      </c>
      <c r="J755" s="1047"/>
      <c r="K755" s="384">
        <v>230598.98</v>
      </c>
      <c r="L755" s="384">
        <f>SUM(L714:L754)</f>
        <v>-70895.379999999699</v>
      </c>
    </row>
    <row r="756" spans="2:12">
      <c r="B756" s="1050"/>
      <c r="C756" s="1049" t="s">
        <v>2513</v>
      </c>
      <c r="D756" s="382" t="s">
        <v>2514</v>
      </c>
      <c r="E756" s="382" t="s">
        <v>2035</v>
      </c>
      <c r="F756" s="382" t="s">
        <v>2342</v>
      </c>
      <c r="G756" s="382" t="s">
        <v>2355</v>
      </c>
      <c r="H756" s="383">
        <v>0</v>
      </c>
      <c r="I756" s="1046">
        <v>0</v>
      </c>
      <c r="J756" s="1047"/>
      <c r="K756" s="383">
        <v>0</v>
      </c>
      <c r="L756" s="383">
        <v>0</v>
      </c>
    </row>
    <row r="757" spans="2:12">
      <c r="B757" s="1050"/>
      <c r="C757" s="1050"/>
      <c r="D757" s="382" t="s">
        <v>2515</v>
      </c>
      <c r="E757" s="382" t="s">
        <v>2036</v>
      </c>
      <c r="F757" s="382" t="s">
        <v>2342</v>
      </c>
      <c r="G757" s="382" t="s">
        <v>2355</v>
      </c>
      <c r="H757" s="383">
        <v>0</v>
      </c>
      <c r="I757" s="1046">
        <v>0</v>
      </c>
      <c r="J757" s="1047"/>
      <c r="K757" s="383">
        <v>0</v>
      </c>
      <c r="L757" s="383">
        <v>0</v>
      </c>
    </row>
    <row r="758" spans="2:12">
      <c r="B758" s="1050"/>
      <c r="C758" s="1051"/>
      <c r="D758" s="359" t="s">
        <v>12</v>
      </c>
      <c r="E758" s="359" t="s">
        <v>111</v>
      </c>
      <c r="F758" s="359" t="s">
        <v>111</v>
      </c>
      <c r="G758" s="359" t="s">
        <v>111</v>
      </c>
      <c r="H758" s="384">
        <v>0</v>
      </c>
      <c r="I758" s="1048">
        <v>0</v>
      </c>
      <c r="J758" s="1047"/>
      <c r="K758" s="384">
        <v>0</v>
      </c>
      <c r="L758" s="384">
        <v>0</v>
      </c>
    </row>
    <row r="759" spans="2:12">
      <c r="B759" s="1050"/>
      <c r="C759" s="1049" t="s">
        <v>2516</v>
      </c>
      <c r="D759" s="382" t="s">
        <v>2517</v>
      </c>
      <c r="E759" s="382" t="s">
        <v>2037</v>
      </c>
      <c r="F759" s="382" t="s">
        <v>2342</v>
      </c>
      <c r="G759" s="382" t="s">
        <v>2355</v>
      </c>
      <c r="H759" s="383">
        <v>-27059.89</v>
      </c>
      <c r="I759" s="1046">
        <v>0</v>
      </c>
      <c r="J759" s="1047"/>
      <c r="K759" s="383">
        <v>0</v>
      </c>
      <c r="L759" s="383">
        <v>-27059.89</v>
      </c>
    </row>
    <row r="760" spans="2:12">
      <c r="B760" s="1050"/>
      <c r="C760" s="1050"/>
      <c r="D760" s="382" t="s">
        <v>2518</v>
      </c>
      <c r="E760" s="382" t="s">
        <v>2038</v>
      </c>
      <c r="F760" s="382" t="s">
        <v>2342</v>
      </c>
      <c r="G760" s="382" t="s">
        <v>2355</v>
      </c>
      <c r="H760" s="383">
        <v>-103207.14</v>
      </c>
      <c r="I760" s="1046">
        <v>0</v>
      </c>
      <c r="J760" s="1047"/>
      <c r="K760" s="383">
        <v>4470.08</v>
      </c>
      <c r="L760" s="383">
        <v>-98737.06</v>
      </c>
    </row>
    <row r="761" spans="2:12">
      <c r="B761" s="1050"/>
      <c r="C761" s="1050"/>
      <c r="D761" s="382" t="s">
        <v>2519</v>
      </c>
      <c r="E761" s="382" t="s">
        <v>2039</v>
      </c>
      <c r="F761" s="382" t="s">
        <v>2342</v>
      </c>
      <c r="G761" s="382" t="s">
        <v>2355</v>
      </c>
      <c r="H761" s="383">
        <v>-6362.71</v>
      </c>
      <c r="I761" s="1046">
        <v>0</v>
      </c>
      <c r="J761" s="1047"/>
      <c r="K761" s="383">
        <v>908.97</v>
      </c>
      <c r="L761" s="383">
        <v>-5453.74</v>
      </c>
    </row>
    <row r="762" spans="2:12">
      <c r="B762" s="1050"/>
      <c r="C762" s="1050"/>
      <c r="D762" s="382" t="s">
        <v>2520</v>
      </c>
      <c r="E762" s="382" t="s">
        <v>2040</v>
      </c>
      <c r="F762" s="382" t="s">
        <v>2342</v>
      </c>
      <c r="G762" s="382" t="s">
        <v>2355</v>
      </c>
      <c r="H762" s="383">
        <v>-35259.300000000003</v>
      </c>
      <c r="I762" s="1046">
        <v>0</v>
      </c>
      <c r="J762" s="1047"/>
      <c r="K762" s="383">
        <v>2074.0700000000002</v>
      </c>
      <c r="L762" s="383">
        <v>-33185.230000000003</v>
      </c>
    </row>
    <row r="763" spans="2:12">
      <c r="B763" s="1050"/>
      <c r="C763" s="1050"/>
      <c r="D763" s="382" t="s">
        <v>2521</v>
      </c>
      <c r="E763" s="382" t="s">
        <v>2041</v>
      </c>
      <c r="F763" s="382" t="s">
        <v>2342</v>
      </c>
      <c r="G763" s="382" t="s">
        <v>2355</v>
      </c>
      <c r="H763" s="383">
        <v>-80635.820000000007</v>
      </c>
      <c r="I763" s="1046">
        <v>0</v>
      </c>
      <c r="J763" s="1047"/>
      <c r="K763" s="383">
        <v>5036.67</v>
      </c>
      <c r="L763" s="383">
        <v>-75599.149999999994</v>
      </c>
    </row>
    <row r="764" spans="2:12">
      <c r="B764" s="1050"/>
      <c r="C764" s="1050"/>
      <c r="D764" s="382" t="s">
        <v>2522</v>
      </c>
      <c r="E764" s="382" t="s">
        <v>2042</v>
      </c>
      <c r="F764" s="382" t="s">
        <v>2342</v>
      </c>
      <c r="G764" s="382" t="s">
        <v>2355</v>
      </c>
      <c r="H764" s="383">
        <v>-35612.04</v>
      </c>
      <c r="I764" s="1046">
        <v>31645</v>
      </c>
      <c r="J764" s="1047"/>
      <c r="K764" s="383">
        <v>5087.4399999999996</v>
      </c>
      <c r="L764" s="383">
        <v>-62169.599999999999</v>
      </c>
    </row>
    <row r="765" spans="2:12">
      <c r="B765" s="1050"/>
      <c r="C765" s="1050"/>
      <c r="D765" s="382" t="s">
        <v>2523</v>
      </c>
      <c r="E765" s="382" t="s">
        <v>2043</v>
      </c>
      <c r="F765" s="382" t="s">
        <v>2342</v>
      </c>
      <c r="G765" s="382" t="s">
        <v>2355</v>
      </c>
      <c r="H765" s="383">
        <v>-171439.68</v>
      </c>
      <c r="I765" s="1046">
        <v>0</v>
      </c>
      <c r="J765" s="1047"/>
      <c r="K765" s="383">
        <v>7453.9</v>
      </c>
      <c r="L765" s="383">
        <v>-163985.78</v>
      </c>
    </row>
    <row r="766" spans="2:12">
      <c r="B766" s="1050"/>
      <c r="C766" s="1050"/>
      <c r="D766" s="382" t="s">
        <v>2524</v>
      </c>
      <c r="E766" s="382" t="s">
        <v>2044</v>
      </c>
      <c r="F766" s="382" t="s">
        <v>2342</v>
      </c>
      <c r="G766" s="382" t="s">
        <v>2355</v>
      </c>
      <c r="H766" s="383">
        <v>0</v>
      </c>
      <c r="I766" s="1046">
        <v>63183</v>
      </c>
      <c r="J766" s="1047"/>
      <c r="K766" s="383">
        <v>2632.63</v>
      </c>
      <c r="L766" s="383">
        <v>-60550.37</v>
      </c>
    </row>
    <row r="767" spans="2:12">
      <c r="B767" s="1050"/>
      <c r="C767" s="1051"/>
      <c r="D767" s="359" t="s">
        <v>12</v>
      </c>
      <c r="E767" s="359" t="s">
        <v>111</v>
      </c>
      <c r="F767" s="359" t="s">
        <v>111</v>
      </c>
      <c r="G767" s="359" t="s">
        <v>111</v>
      </c>
      <c r="H767" s="384">
        <v>-459576.58</v>
      </c>
      <c r="I767" s="1048">
        <v>94828</v>
      </c>
      <c r="J767" s="1047"/>
      <c r="K767" s="384">
        <v>27663.759999999998</v>
      </c>
      <c r="L767" s="384">
        <v>-526740.81999999995</v>
      </c>
    </row>
    <row r="768" spans="2:12">
      <c r="B768" s="1050"/>
      <c r="C768" s="1049" t="s">
        <v>2525</v>
      </c>
      <c r="D768" s="382" t="s">
        <v>2526</v>
      </c>
      <c r="E768" s="382" t="s">
        <v>2045</v>
      </c>
      <c r="F768" s="382" t="s">
        <v>2342</v>
      </c>
      <c r="G768" s="382" t="s">
        <v>2343</v>
      </c>
      <c r="H768" s="383">
        <v>-5505161.4900000002</v>
      </c>
      <c r="I768" s="1046">
        <v>3849386.19</v>
      </c>
      <c r="J768" s="1047"/>
      <c r="K768" s="383">
        <v>0</v>
      </c>
      <c r="L768" s="383">
        <v>-9354547.6799999997</v>
      </c>
    </row>
    <row r="769" spans="2:14">
      <c r="B769" s="1050"/>
      <c r="C769" s="1050"/>
      <c r="D769" s="382" t="s">
        <v>2526</v>
      </c>
      <c r="E769" s="382" t="s">
        <v>2045</v>
      </c>
      <c r="F769" s="382" t="s">
        <v>2342</v>
      </c>
      <c r="G769" s="382" t="s">
        <v>2344</v>
      </c>
      <c r="H769" s="383">
        <v>-2789700.76</v>
      </c>
      <c r="I769" s="1046">
        <v>1008990.7</v>
      </c>
      <c r="J769" s="1047"/>
      <c r="K769" s="383">
        <v>0</v>
      </c>
      <c r="L769" s="383">
        <v>-3798691.46</v>
      </c>
    </row>
    <row r="770" spans="2:14">
      <c r="B770" s="1050"/>
      <c r="C770" s="1050"/>
      <c r="D770" s="382" t="s">
        <v>2526</v>
      </c>
      <c r="E770" s="382" t="s">
        <v>2045</v>
      </c>
      <c r="F770" s="382" t="s">
        <v>2342</v>
      </c>
      <c r="G770" s="382" t="s">
        <v>2345</v>
      </c>
      <c r="H770" s="383">
        <v>-1703793.52</v>
      </c>
      <c r="I770" s="1046">
        <v>615046.61</v>
      </c>
      <c r="J770" s="1047"/>
      <c r="K770" s="383">
        <v>0</v>
      </c>
      <c r="L770" s="383">
        <v>-2318840.13</v>
      </c>
    </row>
    <row r="771" spans="2:14">
      <c r="B771" s="1050"/>
      <c r="C771" s="1050"/>
      <c r="D771" s="382" t="s">
        <v>2526</v>
      </c>
      <c r="E771" s="382" t="s">
        <v>2045</v>
      </c>
      <c r="F771" s="382" t="s">
        <v>2342</v>
      </c>
      <c r="G771" s="382" t="s">
        <v>2346</v>
      </c>
      <c r="H771" s="383">
        <v>-1363526.59</v>
      </c>
      <c r="I771" s="1046">
        <v>442492.62</v>
      </c>
      <c r="J771" s="1047"/>
      <c r="K771" s="383">
        <v>0</v>
      </c>
      <c r="L771" s="383">
        <v>-1806019.21</v>
      </c>
    </row>
    <row r="772" spans="2:14">
      <c r="B772" s="1050"/>
      <c r="C772" s="1050"/>
      <c r="D772" s="382" t="s">
        <v>2526</v>
      </c>
      <c r="E772" s="382" t="s">
        <v>2045</v>
      </c>
      <c r="F772" s="382" t="s">
        <v>2342</v>
      </c>
      <c r="G772" s="382" t="s">
        <v>2347</v>
      </c>
      <c r="H772" s="383">
        <v>-4234294.16</v>
      </c>
      <c r="I772" s="1046">
        <v>1401065.45</v>
      </c>
      <c r="J772" s="1047"/>
      <c r="K772" s="383">
        <v>0</v>
      </c>
      <c r="L772" s="383">
        <v>-5635359.6100000003</v>
      </c>
    </row>
    <row r="773" spans="2:14">
      <c r="B773" s="1050"/>
      <c r="C773" s="1050"/>
      <c r="D773" s="382" t="s">
        <v>2526</v>
      </c>
      <c r="E773" s="382" t="s">
        <v>2045</v>
      </c>
      <c r="F773" s="382" t="s">
        <v>2342</v>
      </c>
      <c r="G773" s="382" t="s">
        <v>2348</v>
      </c>
      <c r="H773" s="383">
        <v>-3120684.23</v>
      </c>
      <c r="I773" s="1046">
        <v>1450212.78</v>
      </c>
      <c r="J773" s="1047"/>
      <c r="K773" s="383">
        <v>0</v>
      </c>
      <c r="L773" s="383">
        <v>-4570897.01</v>
      </c>
    </row>
    <row r="774" spans="2:14">
      <c r="B774" s="1050"/>
      <c r="C774" s="1050"/>
      <c r="D774" s="382" t="s">
        <v>2526</v>
      </c>
      <c r="E774" s="382" t="s">
        <v>2045</v>
      </c>
      <c r="F774" s="382" t="s">
        <v>2342</v>
      </c>
      <c r="G774" s="382" t="s">
        <v>2349</v>
      </c>
      <c r="H774" s="383">
        <v>-4433730.5199999996</v>
      </c>
      <c r="I774" s="1046">
        <v>1643928.61</v>
      </c>
      <c r="J774" s="1047"/>
      <c r="K774" s="383">
        <v>0</v>
      </c>
      <c r="L774" s="383">
        <v>-6077659.1299999999</v>
      </c>
    </row>
    <row r="775" spans="2:14">
      <c r="B775" s="1050"/>
      <c r="C775" s="1050"/>
      <c r="D775" s="382" t="s">
        <v>2526</v>
      </c>
      <c r="E775" s="382" t="s">
        <v>2045</v>
      </c>
      <c r="F775" s="382" t="s">
        <v>2342</v>
      </c>
      <c r="G775" s="382" t="s">
        <v>2350</v>
      </c>
      <c r="H775" s="383">
        <v>-4787407.18</v>
      </c>
      <c r="I775" s="1046">
        <v>1676142.55</v>
      </c>
      <c r="J775" s="1047"/>
      <c r="K775" s="383">
        <v>0</v>
      </c>
      <c r="L775" s="383">
        <v>-6463549.7300000004</v>
      </c>
    </row>
    <row r="776" spans="2:14">
      <c r="B776" s="1050"/>
      <c r="C776" s="1050"/>
      <c r="D776" s="382" t="s">
        <v>2526</v>
      </c>
      <c r="E776" s="382" t="s">
        <v>2045</v>
      </c>
      <c r="F776" s="382" t="s">
        <v>2342</v>
      </c>
      <c r="G776" s="382" t="s">
        <v>2351</v>
      </c>
      <c r="H776" s="383">
        <v>-2096137.31</v>
      </c>
      <c r="I776" s="1046">
        <v>1203007.74</v>
      </c>
      <c r="J776" s="1047"/>
      <c r="K776" s="383">
        <v>0</v>
      </c>
      <c r="L776" s="383">
        <v>-3299145.05</v>
      </c>
    </row>
    <row r="777" spans="2:14">
      <c r="B777" s="1050"/>
      <c r="C777" s="1050"/>
      <c r="D777" s="382" t="s">
        <v>2526</v>
      </c>
      <c r="E777" s="382" t="s">
        <v>2045</v>
      </c>
      <c r="F777" s="382" t="s">
        <v>2342</v>
      </c>
      <c r="G777" s="382" t="s">
        <v>2352</v>
      </c>
      <c r="H777" s="383">
        <v>-2445226.44</v>
      </c>
      <c r="I777" s="1046">
        <v>924194.03</v>
      </c>
      <c r="J777" s="1047"/>
      <c r="K777" s="383">
        <v>0</v>
      </c>
      <c r="L777" s="383">
        <v>-3369420.47</v>
      </c>
    </row>
    <row r="778" spans="2:14">
      <c r="B778" s="1050"/>
      <c r="C778" s="1050"/>
      <c r="D778" s="382" t="s">
        <v>2526</v>
      </c>
      <c r="E778" s="382" t="s">
        <v>2045</v>
      </c>
      <c r="F778" s="382" t="s">
        <v>2342</v>
      </c>
      <c r="G778" s="382" t="s">
        <v>2353</v>
      </c>
      <c r="H778" s="383">
        <v>-2845914.19</v>
      </c>
      <c r="I778" s="1046">
        <v>1205755.42</v>
      </c>
      <c r="J778" s="1047"/>
      <c r="K778" s="383">
        <v>0</v>
      </c>
      <c r="L778" s="383">
        <v>-4051669.61</v>
      </c>
    </row>
    <row r="779" spans="2:14">
      <c r="B779" s="1050"/>
      <c r="C779" s="1050"/>
      <c r="D779" s="382" t="s">
        <v>2526</v>
      </c>
      <c r="E779" s="382" t="s">
        <v>2045</v>
      </c>
      <c r="F779" s="382" t="s">
        <v>2342</v>
      </c>
      <c r="G779" s="382" t="s">
        <v>405</v>
      </c>
      <c r="H779" s="383">
        <v>-1367172.9</v>
      </c>
      <c r="I779" s="1046">
        <v>331765.45</v>
      </c>
      <c r="J779" s="1047"/>
      <c r="K779" s="383">
        <v>0</v>
      </c>
      <c r="L779" s="383">
        <v>-1698938.35</v>
      </c>
    </row>
    <row r="780" spans="2:14">
      <c r="B780" s="1050"/>
      <c r="C780" s="1050"/>
      <c r="D780" s="382" t="s">
        <v>2526</v>
      </c>
      <c r="E780" s="382" t="s">
        <v>2045</v>
      </c>
      <c r="F780" s="382" t="s">
        <v>2342</v>
      </c>
      <c r="G780" s="382" t="s">
        <v>2354</v>
      </c>
      <c r="H780" s="383">
        <v>-150839.32</v>
      </c>
      <c r="I780" s="1046">
        <v>313358.15999999997</v>
      </c>
      <c r="J780" s="1047"/>
      <c r="K780" s="383">
        <v>0</v>
      </c>
      <c r="L780" s="383">
        <v>-464197.48</v>
      </c>
    </row>
    <row r="781" spans="2:14">
      <c r="B781" s="1050"/>
      <c r="C781" s="1050"/>
      <c r="D781" s="382" t="s">
        <v>2526</v>
      </c>
      <c r="E781" s="382" t="s">
        <v>2045</v>
      </c>
      <c r="F781" s="382" t="s">
        <v>2342</v>
      </c>
      <c r="G781" s="382" t="s">
        <v>2355</v>
      </c>
      <c r="H781" s="383">
        <v>-27045635.719999999</v>
      </c>
      <c r="I781" s="1046">
        <v>7064874.1299999999</v>
      </c>
      <c r="J781" s="1047"/>
      <c r="K781" s="383">
        <v>0</v>
      </c>
      <c r="L781" s="383">
        <v>-34110509.850000001</v>
      </c>
    </row>
    <row r="782" spans="2:14">
      <c r="B782" s="1050"/>
      <c r="C782" s="1051"/>
      <c r="D782" s="359" t="s">
        <v>12</v>
      </c>
      <c r="E782" s="359" t="s">
        <v>111</v>
      </c>
      <c r="F782" s="359" t="s">
        <v>111</v>
      </c>
      <c r="G782" s="359" t="s">
        <v>111</v>
      </c>
      <c r="H782" s="384">
        <v>-63889224.329999998</v>
      </c>
      <c r="I782" s="1048">
        <v>23130220.440000001</v>
      </c>
      <c r="J782" s="1047"/>
      <c r="K782" s="384">
        <v>0</v>
      </c>
      <c r="L782" s="384">
        <v>-87019444.769999996</v>
      </c>
      <c r="N782" s="363"/>
    </row>
    <row r="783" spans="2:14">
      <c r="B783" s="1050"/>
      <c r="C783" s="1049" t="s">
        <v>2527</v>
      </c>
      <c r="D783" s="382" t="s">
        <v>2528</v>
      </c>
      <c r="E783" s="382" t="s">
        <v>2046</v>
      </c>
      <c r="F783" s="382" t="s">
        <v>2342</v>
      </c>
      <c r="G783" s="382" t="s">
        <v>2355</v>
      </c>
      <c r="H783" s="383">
        <v>-2517452.44</v>
      </c>
      <c r="I783" s="1046">
        <v>42246</v>
      </c>
      <c r="J783" s="1047"/>
      <c r="K783" s="383">
        <v>0</v>
      </c>
      <c r="L783" s="383">
        <v>-2559698.44</v>
      </c>
    </row>
    <row r="784" spans="2:14">
      <c r="B784" s="1050"/>
      <c r="C784" s="1051"/>
      <c r="D784" s="359" t="s">
        <v>12</v>
      </c>
      <c r="E784" s="359" t="s">
        <v>111</v>
      </c>
      <c r="F784" s="359" t="s">
        <v>111</v>
      </c>
      <c r="G784" s="359" t="s">
        <v>111</v>
      </c>
      <c r="H784" s="384">
        <v>-2517452.44</v>
      </c>
      <c r="I784" s="1048">
        <v>42246</v>
      </c>
      <c r="J784" s="1047"/>
      <c r="K784" s="384">
        <v>0</v>
      </c>
      <c r="L784" s="384">
        <v>-2559698.44</v>
      </c>
    </row>
    <row r="785" spans="2:14">
      <c r="B785" s="1050"/>
      <c r="C785" s="1049" t="s">
        <v>2529</v>
      </c>
      <c r="D785" s="382" t="s">
        <v>2530</v>
      </c>
      <c r="E785" s="382" t="s">
        <v>2047</v>
      </c>
      <c r="F785" s="382" t="s">
        <v>2342</v>
      </c>
      <c r="G785" s="382" t="s">
        <v>2355</v>
      </c>
      <c r="H785" s="383">
        <v>-4597333.45</v>
      </c>
      <c r="I785" s="1046">
        <v>150943.79999999999</v>
      </c>
      <c r="J785" s="1047"/>
      <c r="K785" s="383">
        <v>0</v>
      </c>
      <c r="L785" s="383">
        <v>-4748277.25</v>
      </c>
      <c r="N785" s="363"/>
    </row>
    <row r="786" spans="2:14">
      <c r="B786" s="1050"/>
      <c r="C786" s="1051"/>
      <c r="D786" s="359" t="s">
        <v>12</v>
      </c>
      <c r="E786" s="359" t="s">
        <v>111</v>
      </c>
      <c r="F786" s="359" t="s">
        <v>111</v>
      </c>
      <c r="G786" s="359" t="s">
        <v>111</v>
      </c>
      <c r="H786" s="384">
        <v>-4597333.45</v>
      </c>
      <c r="I786" s="1048">
        <v>150943.79999999999</v>
      </c>
      <c r="J786" s="1047"/>
      <c r="K786" s="384">
        <v>0</v>
      </c>
      <c r="L786" s="384">
        <v>-4748277.25</v>
      </c>
      <c r="N786" s="363"/>
    </row>
    <row r="787" spans="2:14">
      <c r="B787" s="1050"/>
      <c r="C787" s="1049" t="s">
        <v>2531</v>
      </c>
      <c r="D787" s="382" t="s">
        <v>2532</v>
      </c>
      <c r="E787" s="382" t="s">
        <v>2048</v>
      </c>
      <c r="F787" s="382" t="s">
        <v>2342</v>
      </c>
      <c r="G787" s="382" t="s">
        <v>2355</v>
      </c>
      <c r="H787" s="383">
        <v>-257185.1</v>
      </c>
      <c r="I787" s="1046">
        <v>0</v>
      </c>
      <c r="J787" s="1047"/>
      <c r="K787" s="383">
        <v>0</v>
      </c>
      <c r="L787" s="383">
        <v>-257185.1</v>
      </c>
    </row>
    <row r="788" spans="2:14">
      <c r="B788" s="1050"/>
      <c r="C788" s="1051"/>
      <c r="D788" s="359" t="s">
        <v>12</v>
      </c>
      <c r="E788" s="359" t="s">
        <v>111</v>
      </c>
      <c r="F788" s="359" t="s">
        <v>111</v>
      </c>
      <c r="G788" s="359" t="s">
        <v>111</v>
      </c>
      <c r="H788" s="384">
        <v>-257185.1</v>
      </c>
      <c r="I788" s="1048">
        <v>0</v>
      </c>
      <c r="J788" s="1047"/>
      <c r="K788" s="384">
        <v>0</v>
      </c>
      <c r="L788" s="384">
        <v>-257185.1</v>
      </c>
    </row>
    <row r="789" spans="2:14">
      <c r="B789" s="1050"/>
      <c r="C789" s="1049" t="s">
        <v>2533</v>
      </c>
      <c r="D789" s="382" t="s">
        <v>2534</v>
      </c>
      <c r="E789" s="382" t="s">
        <v>2049</v>
      </c>
      <c r="F789" s="382" t="s">
        <v>2342</v>
      </c>
      <c r="G789" s="382" t="s">
        <v>2355</v>
      </c>
      <c r="H789" s="383">
        <v>-3297186.04</v>
      </c>
      <c r="I789" s="1046">
        <v>99235.12</v>
      </c>
      <c r="J789" s="1047"/>
      <c r="K789" s="383">
        <v>0</v>
      </c>
      <c r="L789" s="383">
        <v>-3396421.16</v>
      </c>
    </row>
    <row r="790" spans="2:14">
      <c r="B790" s="1050"/>
      <c r="C790" s="1051"/>
      <c r="D790" s="359" t="s">
        <v>12</v>
      </c>
      <c r="E790" s="359" t="s">
        <v>111</v>
      </c>
      <c r="F790" s="359" t="s">
        <v>111</v>
      </c>
      <c r="G790" s="359" t="s">
        <v>111</v>
      </c>
      <c r="H790" s="384">
        <v>-3297186.04</v>
      </c>
      <c r="I790" s="1048">
        <v>99235.12</v>
      </c>
      <c r="J790" s="1047"/>
      <c r="K790" s="384">
        <v>0</v>
      </c>
      <c r="L790" s="384">
        <v>-3396421.16</v>
      </c>
    </row>
    <row r="791" spans="2:14">
      <c r="B791" s="1050"/>
      <c r="C791" s="1049" t="s">
        <v>2535</v>
      </c>
      <c r="D791" s="382" t="s">
        <v>2536</v>
      </c>
      <c r="E791" s="382" t="s">
        <v>2050</v>
      </c>
      <c r="F791" s="382" t="s">
        <v>2342</v>
      </c>
      <c r="G791" s="382" t="s">
        <v>2355</v>
      </c>
      <c r="H791" s="383">
        <v>-2556629.7200000002</v>
      </c>
      <c r="I791" s="1046">
        <v>8294.9599999999991</v>
      </c>
      <c r="J791" s="1047"/>
      <c r="K791" s="383">
        <v>100</v>
      </c>
      <c r="L791" s="383">
        <v>-2564824.6800000002</v>
      </c>
      <c r="N791" s="363"/>
    </row>
    <row r="792" spans="2:14">
      <c r="B792" s="1050"/>
      <c r="C792" s="1050"/>
      <c r="D792" s="382" t="s">
        <v>2537</v>
      </c>
      <c r="E792" s="382" t="s">
        <v>2051</v>
      </c>
      <c r="F792" s="382" t="s">
        <v>2342</v>
      </c>
      <c r="G792" s="382" t="s">
        <v>2355</v>
      </c>
      <c r="H792" s="383">
        <v>-574442.85</v>
      </c>
      <c r="I792" s="1046">
        <v>23006</v>
      </c>
      <c r="J792" s="1047"/>
      <c r="K792" s="383">
        <v>0</v>
      </c>
      <c r="L792" s="383">
        <v>-597448.85</v>
      </c>
      <c r="N792" s="363"/>
    </row>
    <row r="793" spans="2:14">
      <c r="B793" s="1050"/>
      <c r="C793" s="1051"/>
      <c r="D793" s="359" t="s">
        <v>12</v>
      </c>
      <c r="E793" s="359" t="s">
        <v>111</v>
      </c>
      <c r="F793" s="359" t="s">
        <v>111</v>
      </c>
      <c r="G793" s="359" t="s">
        <v>111</v>
      </c>
      <c r="H793" s="384">
        <v>-3131072.57</v>
      </c>
      <c r="I793" s="1048">
        <v>31300.959999999999</v>
      </c>
      <c r="J793" s="1047"/>
      <c r="K793" s="384">
        <v>100</v>
      </c>
      <c r="L793" s="384">
        <v>-3162273.53</v>
      </c>
      <c r="N793" s="363"/>
    </row>
    <row r="794" spans="2:14">
      <c r="B794" s="1050"/>
      <c r="C794" s="1049" t="s">
        <v>2538</v>
      </c>
      <c r="D794" s="382" t="s">
        <v>2539</v>
      </c>
      <c r="E794" s="382" t="s">
        <v>2052</v>
      </c>
      <c r="F794" s="382" t="s">
        <v>2342</v>
      </c>
      <c r="G794" s="382" t="s">
        <v>2355</v>
      </c>
      <c r="H794" s="383">
        <v>-601273.12</v>
      </c>
      <c r="I794" s="1046">
        <v>1312000</v>
      </c>
      <c r="J794" s="1047"/>
      <c r="K794" s="383">
        <v>640000</v>
      </c>
      <c r="L794" s="383">
        <v>-1273273.1200000001</v>
      </c>
    </row>
    <row r="795" spans="2:14">
      <c r="B795" s="1050"/>
      <c r="C795" s="1050"/>
      <c r="D795" s="382" t="s">
        <v>2540</v>
      </c>
      <c r="E795" s="382" t="s">
        <v>2053</v>
      </c>
      <c r="F795" s="382" t="s">
        <v>2342</v>
      </c>
      <c r="G795" s="382" t="s">
        <v>2353</v>
      </c>
      <c r="H795" s="383">
        <v>335</v>
      </c>
      <c r="I795" s="1046">
        <v>0</v>
      </c>
      <c r="J795" s="1047"/>
      <c r="K795" s="383">
        <v>0</v>
      </c>
      <c r="L795" s="383">
        <v>335</v>
      </c>
      <c r="N795" s="396"/>
    </row>
    <row r="796" spans="2:14">
      <c r="B796" s="1050"/>
      <c r="C796" s="1050"/>
      <c r="D796" s="382" t="s">
        <v>2540</v>
      </c>
      <c r="E796" s="382" t="s">
        <v>2053</v>
      </c>
      <c r="F796" s="382" t="s">
        <v>2342</v>
      </c>
      <c r="G796" s="382" t="s">
        <v>2355</v>
      </c>
      <c r="H796" s="383">
        <v>-4515541.9800000004</v>
      </c>
      <c r="I796" s="1046">
        <v>774290.98</v>
      </c>
      <c r="J796" s="1047"/>
      <c r="K796" s="383">
        <v>0</v>
      </c>
      <c r="L796" s="383">
        <v>-5289832.96</v>
      </c>
    </row>
    <row r="797" spans="2:14">
      <c r="B797" s="1050"/>
      <c r="C797" s="1051"/>
      <c r="D797" s="359" t="s">
        <v>12</v>
      </c>
      <c r="E797" s="359" t="s">
        <v>111</v>
      </c>
      <c r="F797" s="359" t="s">
        <v>111</v>
      </c>
      <c r="G797" s="359" t="s">
        <v>111</v>
      </c>
      <c r="H797" s="384">
        <v>-5116480.0999999996</v>
      </c>
      <c r="I797" s="1048">
        <v>2086290.98</v>
      </c>
      <c r="J797" s="1047"/>
      <c r="K797" s="384">
        <v>640000</v>
      </c>
      <c r="L797" s="384">
        <v>-6562771.0800000001</v>
      </c>
    </row>
    <row r="798" spans="2:14">
      <c r="B798" s="1050"/>
      <c r="C798" s="1049" t="s">
        <v>2541</v>
      </c>
      <c r="D798" s="382" t="s">
        <v>2542</v>
      </c>
      <c r="E798" s="382" t="s">
        <v>2054</v>
      </c>
      <c r="F798" s="382" t="s">
        <v>2342</v>
      </c>
      <c r="G798" s="382" t="s">
        <v>2355</v>
      </c>
      <c r="H798" s="383">
        <v>1344037.97</v>
      </c>
      <c r="I798" s="1046">
        <v>34307</v>
      </c>
      <c r="J798" s="1047"/>
      <c r="K798" s="383">
        <v>41158.550000000003</v>
      </c>
      <c r="L798" s="383">
        <v>1350889.52</v>
      </c>
    </row>
    <row r="799" spans="2:14">
      <c r="B799" s="1050"/>
      <c r="C799" s="1051"/>
      <c r="D799" s="359" t="s">
        <v>12</v>
      </c>
      <c r="E799" s="359" t="s">
        <v>111</v>
      </c>
      <c r="F799" s="359" t="s">
        <v>111</v>
      </c>
      <c r="G799" s="359" t="s">
        <v>111</v>
      </c>
      <c r="H799" s="384">
        <v>1344037.97</v>
      </c>
      <c r="I799" s="1048">
        <v>34307</v>
      </c>
      <c r="J799" s="1047"/>
      <c r="K799" s="384">
        <v>41158.550000000003</v>
      </c>
      <c r="L799" s="384">
        <v>1350889.52</v>
      </c>
    </row>
    <row r="800" spans="2:14">
      <c r="B800" s="1050"/>
      <c r="C800" s="1049" t="s">
        <v>2543</v>
      </c>
      <c r="D800" s="382" t="s">
        <v>2544</v>
      </c>
      <c r="E800" s="382" t="s">
        <v>2055</v>
      </c>
      <c r="F800" s="382" t="s">
        <v>2342</v>
      </c>
      <c r="G800" s="382" t="s">
        <v>2355</v>
      </c>
      <c r="H800" s="383">
        <v>2681014.16</v>
      </c>
      <c r="I800" s="1046">
        <v>0</v>
      </c>
      <c r="J800" s="1047"/>
      <c r="K800" s="383">
        <v>85427.39</v>
      </c>
      <c r="L800" s="383">
        <v>2766441.55</v>
      </c>
    </row>
    <row r="801" spans="2:12">
      <c r="B801" s="1050"/>
      <c r="C801" s="1051"/>
      <c r="D801" s="359" t="s">
        <v>12</v>
      </c>
      <c r="E801" s="359" t="s">
        <v>111</v>
      </c>
      <c r="F801" s="359" t="s">
        <v>111</v>
      </c>
      <c r="G801" s="359" t="s">
        <v>111</v>
      </c>
      <c r="H801" s="384">
        <v>2681014.16</v>
      </c>
      <c r="I801" s="1048">
        <v>0</v>
      </c>
      <c r="J801" s="1047"/>
      <c r="K801" s="384">
        <v>85427.39</v>
      </c>
      <c r="L801" s="384">
        <v>2766441.55</v>
      </c>
    </row>
    <row r="802" spans="2:12">
      <c r="B802" s="1050"/>
      <c r="C802" s="1049" t="s">
        <v>2545</v>
      </c>
      <c r="D802" s="382" t="s">
        <v>2546</v>
      </c>
      <c r="E802" s="382" t="s">
        <v>2056</v>
      </c>
      <c r="F802" s="382" t="s">
        <v>2342</v>
      </c>
      <c r="G802" s="382" t="s">
        <v>2355</v>
      </c>
      <c r="H802" s="383">
        <v>257185.1</v>
      </c>
      <c r="I802" s="1046">
        <v>0</v>
      </c>
      <c r="J802" s="1047"/>
      <c r="K802" s="383">
        <v>0</v>
      </c>
      <c r="L802" s="383">
        <v>257185.1</v>
      </c>
    </row>
    <row r="803" spans="2:12">
      <c r="B803" s="1050"/>
      <c r="C803" s="1051"/>
      <c r="D803" s="359" t="s">
        <v>12</v>
      </c>
      <c r="E803" s="359" t="s">
        <v>111</v>
      </c>
      <c r="F803" s="359" t="s">
        <v>111</v>
      </c>
      <c r="G803" s="359" t="s">
        <v>111</v>
      </c>
      <c r="H803" s="384">
        <v>257185.1</v>
      </c>
      <c r="I803" s="1048">
        <v>0</v>
      </c>
      <c r="J803" s="1047"/>
      <c r="K803" s="384">
        <v>0</v>
      </c>
      <c r="L803" s="384">
        <v>257185.1</v>
      </c>
    </row>
    <row r="804" spans="2:12">
      <c r="B804" s="1050"/>
      <c r="C804" s="1049" t="s">
        <v>2547</v>
      </c>
      <c r="D804" s="382" t="s">
        <v>2548</v>
      </c>
      <c r="E804" s="382" t="s">
        <v>2057</v>
      </c>
      <c r="F804" s="382" t="s">
        <v>2342</v>
      </c>
      <c r="G804" s="382" t="s">
        <v>2355</v>
      </c>
      <c r="H804" s="383">
        <v>1393189.02</v>
      </c>
      <c r="I804" s="1046">
        <v>13650</v>
      </c>
      <c r="J804" s="1047"/>
      <c r="K804" s="383">
        <v>36212.6</v>
      </c>
      <c r="L804" s="383">
        <v>1415751.62</v>
      </c>
    </row>
    <row r="805" spans="2:12">
      <c r="B805" s="1050"/>
      <c r="C805" s="1051"/>
      <c r="D805" s="359" t="s">
        <v>12</v>
      </c>
      <c r="E805" s="359" t="s">
        <v>111</v>
      </c>
      <c r="F805" s="359" t="s">
        <v>111</v>
      </c>
      <c r="G805" s="359" t="s">
        <v>111</v>
      </c>
      <c r="H805" s="384">
        <v>1393189.02</v>
      </c>
      <c r="I805" s="1048">
        <v>13650</v>
      </c>
      <c r="J805" s="1047"/>
      <c r="K805" s="384">
        <v>36212.6</v>
      </c>
      <c r="L805" s="384">
        <v>1415751.62</v>
      </c>
    </row>
    <row r="806" spans="2:12">
      <c r="B806" s="1050"/>
      <c r="C806" s="1049" t="s">
        <v>2549</v>
      </c>
      <c r="D806" s="382" t="s">
        <v>2550</v>
      </c>
      <c r="E806" s="382" t="s">
        <v>2058</v>
      </c>
      <c r="F806" s="382" t="s">
        <v>2342</v>
      </c>
      <c r="G806" s="382" t="s">
        <v>2355</v>
      </c>
      <c r="H806" s="383">
        <v>349882.83</v>
      </c>
      <c r="I806" s="1046">
        <v>0</v>
      </c>
      <c r="J806" s="1047"/>
      <c r="K806" s="383">
        <v>30511.040000000001</v>
      </c>
      <c r="L806" s="383">
        <v>380393.87</v>
      </c>
    </row>
    <row r="807" spans="2:12">
      <c r="B807" s="1050"/>
      <c r="C807" s="1051"/>
      <c r="D807" s="359" t="s">
        <v>12</v>
      </c>
      <c r="E807" s="359" t="s">
        <v>111</v>
      </c>
      <c r="F807" s="359" t="s">
        <v>111</v>
      </c>
      <c r="G807" s="359" t="s">
        <v>111</v>
      </c>
      <c r="H807" s="384">
        <v>349882.83</v>
      </c>
      <c r="I807" s="1048">
        <v>0</v>
      </c>
      <c r="J807" s="1047"/>
      <c r="K807" s="384">
        <v>30511.040000000001</v>
      </c>
      <c r="L807" s="384">
        <v>380393.87</v>
      </c>
    </row>
    <row r="808" spans="2:12">
      <c r="B808" s="1050"/>
      <c r="C808" s="1049" t="s">
        <v>2551</v>
      </c>
      <c r="D808" s="382" t="s">
        <v>2552</v>
      </c>
      <c r="E808" s="382" t="s">
        <v>2059</v>
      </c>
      <c r="F808" s="382" t="s">
        <v>2342</v>
      </c>
      <c r="G808" s="382" t="s">
        <v>2355</v>
      </c>
      <c r="H808" s="383">
        <v>196724.31</v>
      </c>
      <c r="I808" s="1046">
        <v>13333</v>
      </c>
      <c r="J808" s="1047"/>
      <c r="K808" s="383">
        <v>35783.19</v>
      </c>
      <c r="L808" s="383">
        <v>219174.5</v>
      </c>
    </row>
    <row r="809" spans="2:12">
      <c r="B809" s="1050"/>
      <c r="C809" s="1051"/>
      <c r="D809" s="359" t="s">
        <v>12</v>
      </c>
      <c r="E809" s="359" t="s">
        <v>111</v>
      </c>
      <c r="F809" s="359" t="s">
        <v>111</v>
      </c>
      <c r="G809" s="359" t="s">
        <v>111</v>
      </c>
      <c r="H809" s="384">
        <v>196724.31</v>
      </c>
      <c r="I809" s="1048">
        <v>13333</v>
      </c>
      <c r="J809" s="1047"/>
      <c r="K809" s="384">
        <v>35783.19</v>
      </c>
      <c r="L809" s="384">
        <v>219174.5</v>
      </c>
    </row>
    <row r="810" spans="2:12">
      <c r="B810" s="1051"/>
      <c r="C810" s="360" t="s">
        <v>12</v>
      </c>
      <c r="D810" s="360" t="s">
        <v>111</v>
      </c>
      <c r="E810" s="360" t="s">
        <v>111</v>
      </c>
      <c r="F810" s="360" t="s">
        <v>111</v>
      </c>
      <c r="G810" s="360" t="s">
        <v>111</v>
      </c>
      <c r="H810" s="385">
        <v>-198523502.78</v>
      </c>
      <c r="I810" s="1055">
        <f>184322588.13+23576.17</f>
        <v>184346164.29999998</v>
      </c>
      <c r="J810" s="1047"/>
      <c r="K810" s="385">
        <f>153957299.11+6241+17335.17</f>
        <v>153980875.28</v>
      </c>
      <c r="L810" s="385">
        <f>H810+K810-I810</f>
        <v>-228888791.79999998</v>
      </c>
    </row>
    <row r="811" spans="2:12">
      <c r="B811" s="1049" t="s">
        <v>2553</v>
      </c>
      <c r="C811" s="1049" t="s">
        <v>2554</v>
      </c>
      <c r="D811" s="382" t="s">
        <v>2555</v>
      </c>
      <c r="E811" s="382" t="s">
        <v>2221</v>
      </c>
      <c r="F811" s="382" t="s">
        <v>2342</v>
      </c>
      <c r="G811" s="382" t="s">
        <v>2343</v>
      </c>
      <c r="H811" s="383">
        <v>-2842.44</v>
      </c>
      <c r="I811" s="1046">
        <v>2587.48</v>
      </c>
      <c r="J811" s="1047"/>
      <c r="K811" s="383">
        <v>1689.69</v>
      </c>
      <c r="L811" s="383">
        <v>-3740.23</v>
      </c>
    </row>
    <row r="812" spans="2:12">
      <c r="B812" s="1050"/>
      <c r="C812" s="1050"/>
      <c r="D812" s="382" t="s">
        <v>2555</v>
      </c>
      <c r="E812" s="382" t="s">
        <v>2221</v>
      </c>
      <c r="F812" s="382" t="s">
        <v>2342</v>
      </c>
      <c r="G812" s="382" t="s">
        <v>2344</v>
      </c>
      <c r="H812" s="383">
        <v>-1340.35</v>
      </c>
      <c r="I812" s="1046">
        <v>1354.93</v>
      </c>
      <c r="J812" s="1047"/>
      <c r="K812" s="383">
        <v>716.2</v>
      </c>
      <c r="L812" s="383">
        <v>-1979.08</v>
      </c>
    </row>
    <row r="813" spans="2:12">
      <c r="B813" s="1050"/>
      <c r="C813" s="1050"/>
      <c r="D813" s="382" t="s">
        <v>2555</v>
      </c>
      <c r="E813" s="382" t="s">
        <v>2221</v>
      </c>
      <c r="F813" s="382" t="s">
        <v>2342</v>
      </c>
      <c r="G813" s="382" t="s">
        <v>2345</v>
      </c>
      <c r="H813" s="383">
        <v>-1511.73</v>
      </c>
      <c r="I813" s="1046">
        <v>1286.93</v>
      </c>
      <c r="J813" s="1047"/>
      <c r="K813" s="383">
        <v>633.03</v>
      </c>
      <c r="L813" s="383">
        <v>-2165.63</v>
      </c>
    </row>
    <row r="814" spans="2:12">
      <c r="B814" s="1050"/>
      <c r="C814" s="1050"/>
      <c r="D814" s="382" t="s">
        <v>2555</v>
      </c>
      <c r="E814" s="382" t="s">
        <v>2221</v>
      </c>
      <c r="F814" s="382" t="s">
        <v>2342</v>
      </c>
      <c r="G814" s="382" t="s">
        <v>2346</v>
      </c>
      <c r="H814" s="383">
        <v>-296.17</v>
      </c>
      <c r="I814" s="1046">
        <v>315.92</v>
      </c>
      <c r="J814" s="1047"/>
      <c r="K814" s="383">
        <v>157.4</v>
      </c>
      <c r="L814" s="383">
        <v>-454.69</v>
      </c>
    </row>
    <row r="815" spans="2:12">
      <c r="B815" s="1050"/>
      <c r="C815" s="1050"/>
      <c r="D815" s="382" t="s">
        <v>2555</v>
      </c>
      <c r="E815" s="382" t="s">
        <v>2221</v>
      </c>
      <c r="F815" s="382" t="s">
        <v>2342</v>
      </c>
      <c r="G815" s="382" t="s">
        <v>2347</v>
      </c>
      <c r="H815" s="383">
        <v>-2881.43</v>
      </c>
      <c r="I815" s="1046">
        <v>2738.37</v>
      </c>
      <c r="J815" s="1047"/>
      <c r="K815" s="383">
        <v>1072.6500000000001</v>
      </c>
      <c r="L815" s="383">
        <v>-4547.1499999999996</v>
      </c>
    </row>
    <row r="816" spans="2:12">
      <c r="B816" s="1050"/>
      <c r="C816" s="1050"/>
      <c r="D816" s="382" t="s">
        <v>2555</v>
      </c>
      <c r="E816" s="382" t="s">
        <v>2221</v>
      </c>
      <c r="F816" s="382" t="s">
        <v>2342</v>
      </c>
      <c r="G816" s="382" t="s">
        <v>2348</v>
      </c>
      <c r="H816" s="383">
        <v>-2272.1799999999998</v>
      </c>
      <c r="I816" s="1046">
        <v>2536.96</v>
      </c>
      <c r="J816" s="1047"/>
      <c r="K816" s="383">
        <v>1190.4000000000001</v>
      </c>
      <c r="L816" s="383">
        <v>-3618.74</v>
      </c>
    </row>
    <row r="817" spans="2:12">
      <c r="B817" s="1050"/>
      <c r="C817" s="1050"/>
      <c r="D817" s="382" t="s">
        <v>2555</v>
      </c>
      <c r="E817" s="382" t="s">
        <v>2221</v>
      </c>
      <c r="F817" s="382" t="s">
        <v>2342</v>
      </c>
      <c r="G817" s="382" t="s">
        <v>2349</v>
      </c>
      <c r="H817" s="383">
        <v>-2310.62</v>
      </c>
      <c r="I817" s="1046">
        <v>2115.88</v>
      </c>
      <c r="J817" s="1047"/>
      <c r="K817" s="383">
        <v>1334.52</v>
      </c>
      <c r="L817" s="383">
        <v>-3091.98</v>
      </c>
    </row>
    <row r="818" spans="2:12">
      <c r="B818" s="1050"/>
      <c r="C818" s="1050"/>
      <c r="D818" s="382" t="s">
        <v>2555</v>
      </c>
      <c r="E818" s="382" t="s">
        <v>2221</v>
      </c>
      <c r="F818" s="382" t="s">
        <v>2342</v>
      </c>
      <c r="G818" s="382" t="s">
        <v>2350</v>
      </c>
      <c r="H818" s="383">
        <v>-3368.75</v>
      </c>
      <c r="I818" s="1046">
        <v>2926.74</v>
      </c>
      <c r="J818" s="1047"/>
      <c r="K818" s="383">
        <v>1093.48</v>
      </c>
      <c r="L818" s="383">
        <v>-5202.01</v>
      </c>
    </row>
    <row r="819" spans="2:12">
      <c r="B819" s="1050"/>
      <c r="C819" s="1050"/>
      <c r="D819" s="382" t="s">
        <v>2555</v>
      </c>
      <c r="E819" s="382" t="s">
        <v>2221</v>
      </c>
      <c r="F819" s="382" t="s">
        <v>2342</v>
      </c>
      <c r="G819" s="382" t="s">
        <v>2351</v>
      </c>
      <c r="H819" s="383">
        <v>-990.71</v>
      </c>
      <c r="I819" s="1046">
        <v>843.71</v>
      </c>
      <c r="J819" s="1047"/>
      <c r="K819" s="383">
        <v>889.89</v>
      </c>
      <c r="L819" s="383">
        <v>-944.53</v>
      </c>
    </row>
    <row r="820" spans="2:12">
      <c r="B820" s="1050"/>
      <c r="C820" s="1050"/>
      <c r="D820" s="382" t="s">
        <v>2555</v>
      </c>
      <c r="E820" s="382" t="s">
        <v>2221</v>
      </c>
      <c r="F820" s="382" t="s">
        <v>2342</v>
      </c>
      <c r="G820" s="382" t="s">
        <v>2352</v>
      </c>
      <c r="H820" s="383">
        <v>-1372.7</v>
      </c>
      <c r="I820" s="1046">
        <v>1280.9100000000001</v>
      </c>
      <c r="J820" s="1047"/>
      <c r="K820" s="383">
        <v>578.94000000000005</v>
      </c>
      <c r="L820" s="383">
        <v>-2074.67</v>
      </c>
    </row>
    <row r="821" spans="2:12">
      <c r="B821" s="1050"/>
      <c r="C821" s="1050"/>
      <c r="D821" s="382" t="s">
        <v>2555</v>
      </c>
      <c r="E821" s="382" t="s">
        <v>2221</v>
      </c>
      <c r="F821" s="382" t="s">
        <v>2342</v>
      </c>
      <c r="G821" s="382" t="s">
        <v>2353</v>
      </c>
      <c r="H821" s="383">
        <v>-2423.6799999999998</v>
      </c>
      <c r="I821" s="1046">
        <v>2542.91</v>
      </c>
      <c r="J821" s="1047"/>
      <c r="K821" s="383">
        <v>1102.45</v>
      </c>
      <c r="L821" s="383">
        <v>-3864.14</v>
      </c>
    </row>
    <row r="822" spans="2:12">
      <c r="B822" s="1050"/>
      <c r="C822" s="1050"/>
      <c r="D822" s="382" t="s">
        <v>2555</v>
      </c>
      <c r="E822" s="382" t="s">
        <v>2221</v>
      </c>
      <c r="F822" s="382" t="s">
        <v>2342</v>
      </c>
      <c r="G822" s="382" t="s">
        <v>405</v>
      </c>
      <c r="H822" s="383">
        <v>-1120.52</v>
      </c>
      <c r="I822" s="1046">
        <v>970.94</v>
      </c>
      <c r="J822" s="1047"/>
      <c r="K822" s="383">
        <v>164.09</v>
      </c>
      <c r="L822" s="383">
        <v>-1927.37</v>
      </c>
    </row>
    <row r="823" spans="2:12">
      <c r="B823" s="1050"/>
      <c r="C823" s="1050"/>
      <c r="D823" s="382" t="s">
        <v>2555</v>
      </c>
      <c r="E823" s="382" t="s">
        <v>2221</v>
      </c>
      <c r="F823" s="382" t="s">
        <v>2342</v>
      </c>
      <c r="G823" s="382" t="s">
        <v>2354</v>
      </c>
      <c r="H823" s="383">
        <v>-1.65</v>
      </c>
      <c r="I823" s="1046">
        <v>43.99</v>
      </c>
      <c r="J823" s="1047"/>
      <c r="K823" s="383">
        <v>11.91</v>
      </c>
      <c r="L823" s="383">
        <v>-33.729999999999997</v>
      </c>
    </row>
    <row r="824" spans="2:12">
      <c r="B824" s="1050"/>
      <c r="C824" s="1050"/>
      <c r="D824" s="382" t="s">
        <v>2555</v>
      </c>
      <c r="E824" s="382" t="s">
        <v>2221</v>
      </c>
      <c r="F824" s="382" t="s">
        <v>2342</v>
      </c>
      <c r="G824" s="382" t="s">
        <v>2355</v>
      </c>
      <c r="H824" s="383">
        <v>-17927.240000000002</v>
      </c>
      <c r="I824" s="1046">
        <v>0</v>
      </c>
      <c r="J824" s="1047"/>
      <c r="K824" s="383">
        <v>0</v>
      </c>
      <c r="L824" s="383">
        <v>-17927.240000000002</v>
      </c>
    </row>
    <row r="825" spans="2:12">
      <c r="B825" s="1050"/>
      <c r="C825" s="1050"/>
      <c r="D825" s="382" t="s">
        <v>2556</v>
      </c>
      <c r="E825" s="382" t="s">
        <v>2222</v>
      </c>
      <c r="F825" s="382" t="s">
        <v>2342</v>
      </c>
      <c r="G825" s="382" t="s">
        <v>2343</v>
      </c>
      <c r="H825" s="383">
        <v>-813.77</v>
      </c>
      <c r="I825" s="1046">
        <v>1832.37</v>
      </c>
      <c r="J825" s="1047"/>
      <c r="K825" s="383">
        <v>1325.16</v>
      </c>
      <c r="L825" s="383">
        <v>-1320.98</v>
      </c>
    </row>
    <row r="826" spans="2:12">
      <c r="B826" s="1050"/>
      <c r="C826" s="1050"/>
      <c r="D826" s="382" t="s">
        <v>2556</v>
      </c>
      <c r="E826" s="382" t="s">
        <v>2222</v>
      </c>
      <c r="F826" s="382" t="s">
        <v>2342</v>
      </c>
      <c r="G826" s="382" t="s">
        <v>2344</v>
      </c>
      <c r="H826" s="383">
        <v>-105.23</v>
      </c>
      <c r="I826" s="1046">
        <v>198.52</v>
      </c>
      <c r="J826" s="1047"/>
      <c r="K826" s="383">
        <v>157.9</v>
      </c>
      <c r="L826" s="383">
        <v>-145.85</v>
      </c>
    </row>
    <row r="827" spans="2:12">
      <c r="B827" s="1050"/>
      <c r="C827" s="1050"/>
      <c r="D827" s="382" t="s">
        <v>2556</v>
      </c>
      <c r="E827" s="382" t="s">
        <v>2222</v>
      </c>
      <c r="F827" s="382" t="s">
        <v>2342</v>
      </c>
      <c r="G827" s="382" t="s">
        <v>2345</v>
      </c>
      <c r="H827" s="383">
        <v>-48.81</v>
      </c>
      <c r="I827" s="1046">
        <v>94.42</v>
      </c>
      <c r="J827" s="1047"/>
      <c r="K827" s="383">
        <v>73.22</v>
      </c>
      <c r="L827" s="383">
        <v>-70.010000000000005</v>
      </c>
    </row>
    <row r="828" spans="2:12">
      <c r="B828" s="1050"/>
      <c r="C828" s="1050"/>
      <c r="D828" s="382" t="s">
        <v>2556</v>
      </c>
      <c r="E828" s="382" t="s">
        <v>2222</v>
      </c>
      <c r="F828" s="382" t="s">
        <v>2342</v>
      </c>
      <c r="G828" s="382" t="s">
        <v>2346</v>
      </c>
      <c r="H828" s="383">
        <v>-5.73</v>
      </c>
      <c r="I828" s="1046">
        <v>13.99</v>
      </c>
      <c r="J828" s="1047"/>
      <c r="K828" s="383">
        <v>10.69</v>
      </c>
      <c r="L828" s="383">
        <v>-9.0299999999999994</v>
      </c>
    </row>
    <row r="829" spans="2:12">
      <c r="B829" s="1050"/>
      <c r="C829" s="1050"/>
      <c r="D829" s="382" t="s">
        <v>2556</v>
      </c>
      <c r="E829" s="382" t="s">
        <v>2222</v>
      </c>
      <c r="F829" s="382" t="s">
        <v>2342</v>
      </c>
      <c r="G829" s="382" t="s">
        <v>2347</v>
      </c>
      <c r="H829" s="383">
        <v>-236.47</v>
      </c>
      <c r="I829" s="1046">
        <v>534.99</v>
      </c>
      <c r="J829" s="1047"/>
      <c r="K829" s="383">
        <v>389.31</v>
      </c>
      <c r="L829" s="383">
        <v>-382.15</v>
      </c>
    </row>
    <row r="830" spans="2:12">
      <c r="B830" s="1050"/>
      <c r="C830" s="1050"/>
      <c r="D830" s="382" t="s">
        <v>2556</v>
      </c>
      <c r="E830" s="382" t="s">
        <v>2222</v>
      </c>
      <c r="F830" s="382" t="s">
        <v>2342</v>
      </c>
      <c r="G830" s="382" t="s">
        <v>2348</v>
      </c>
      <c r="H830" s="383">
        <v>-105.22</v>
      </c>
      <c r="I830" s="1046">
        <v>221.07</v>
      </c>
      <c r="J830" s="1047"/>
      <c r="K830" s="383">
        <v>163.88</v>
      </c>
      <c r="L830" s="383">
        <v>-162.41</v>
      </c>
    </row>
    <row r="831" spans="2:12">
      <c r="B831" s="1050"/>
      <c r="C831" s="1050"/>
      <c r="D831" s="382" t="s">
        <v>2556</v>
      </c>
      <c r="E831" s="382" t="s">
        <v>2222</v>
      </c>
      <c r="F831" s="382" t="s">
        <v>2342</v>
      </c>
      <c r="G831" s="382" t="s">
        <v>2349</v>
      </c>
      <c r="H831" s="383">
        <v>-183.76</v>
      </c>
      <c r="I831" s="1046">
        <v>462.81</v>
      </c>
      <c r="J831" s="1047"/>
      <c r="K831" s="383">
        <v>328.63</v>
      </c>
      <c r="L831" s="383">
        <v>-317.94</v>
      </c>
    </row>
    <row r="832" spans="2:12">
      <c r="B832" s="1050"/>
      <c r="C832" s="1050"/>
      <c r="D832" s="382" t="s">
        <v>2556</v>
      </c>
      <c r="E832" s="382" t="s">
        <v>2222</v>
      </c>
      <c r="F832" s="382" t="s">
        <v>2342</v>
      </c>
      <c r="G832" s="382" t="s">
        <v>2350</v>
      </c>
      <c r="H832" s="383">
        <v>-461.19</v>
      </c>
      <c r="I832" s="1046">
        <v>1018.39</v>
      </c>
      <c r="J832" s="1047"/>
      <c r="K832" s="383">
        <v>745.53</v>
      </c>
      <c r="L832" s="383">
        <v>-734.05</v>
      </c>
    </row>
    <row r="833" spans="2:12">
      <c r="B833" s="1050"/>
      <c r="C833" s="1050"/>
      <c r="D833" s="382" t="s">
        <v>2556</v>
      </c>
      <c r="E833" s="382" t="s">
        <v>2222</v>
      </c>
      <c r="F833" s="382" t="s">
        <v>2342</v>
      </c>
      <c r="G833" s="382" t="s">
        <v>2351</v>
      </c>
      <c r="H833" s="383">
        <v>-106.98</v>
      </c>
      <c r="I833" s="1046">
        <v>214.93</v>
      </c>
      <c r="J833" s="1047"/>
      <c r="K833" s="383">
        <v>165.24</v>
      </c>
      <c r="L833" s="383">
        <v>-156.66999999999999</v>
      </c>
    </row>
    <row r="834" spans="2:12">
      <c r="B834" s="1050"/>
      <c r="C834" s="1050"/>
      <c r="D834" s="382" t="s">
        <v>2556</v>
      </c>
      <c r="E834" s="382" t="s">
        <v>2222</v>
      </c>
      <c r="F834" s="382" t="s">
        <v>2342</v>
      </c>
      <c r="G834" s="382" t="s">
        <v>2352</v>
      </c>
      <c r="H834" s="383">
        <v>-36.33</v>
      </c>
      <c r="I834" s="1046">
        <v>90.94</v>
      </c>
      <c r="J834" s="1047"/>
      <c r="K834" s="383">
        <v>63.76</v>
      </c>
      <c r="L834" s="383">
        <v>-63.51</v>
      </c>
    </row>
    <row r="835" spans="2:12">
      <c r="B835" s="1050"/>
      <c r="C835" s="1050"/>
      <c r="D835" s="382" t="s">
        <v>2556</v>
      </c>
      <c r="E835" s="382" t="s">
        <v>2222</v>
      </c>
      <c r="F835" s="382" t="s">
        <v>2342</v>
      </c>
      <c r="G835" s="382" t="s">
        <v>2353</v>
      </c>
      <c r="H835" s="383">
        <v>-610.17999999999995</v>
      </c>
      <c r="I835" s="1046">
        <v>1363.55</v>
      </c>
      <c r="J835" s="1047"/>
      <c r="K835" s="383">
        <v>998.74</v>
      </c>
      <c r="L835" s="383">
        <v>-974.99</v>
      </c>
    </row>
    <row r="836" spans="2:12">
      <c r="B836" s="1050"/>
      <c r="C836" s="1050"/>
      <c r="D836" s="382" t="s">
        <v>2556</v>
      </c>
      <c r="E836" s="382" t="s">
        <v>2222</v>
      </c>
      <c r="F836" s="382" t="s">
        <v>2342</v>
      </c>
      <c r="G836" s="382" t="s">
        <v>405</v>
      </c>
      <c r="H836" s="383">
        <v>-38.869999999999997</v>
      </c>
      <c r="I836" s="1046">
        <v>72.03</v>
      </c>
      <c r="J836" s="1047"/>
      <c r="K836" s="383">
        <v>55.86</v>
      </c>
      <c r="L836" s="383">
        <v>-55.04</v>
      </c>
    </row>
    <row r="837" spans="2:12">
      <c r="B837" s="1050"/>
      <c r="C837" s="1050"/>
      <c r="D837" s="382" t="s">
        <v>2556</v>
      </c>
      <c r="E837" s="382" t="s">
        <v>2222</v>
      </c>
      <c r="F837" s="382" t="s">
        <v>2342</v>
      </c>
      <c r="G837" s="382" t="s">
        <v>2355</v>
      </c>
      <c r="H837" s="383">
        <v>-9369.1299999999992</v>
      </c>
      <c r="I837" s="1046">
        <v>0</v>
      </c>
      <c r="J837" s="1047"/>
      <c r="K837" s="383">
        <v>0</v>
      </c>
      <c r="L837" s="383">
        <v>-9369.1299999999992</v>
      </c>
    </row>
    <row r="838" spans="2:12">
      <c r="B838" s="1050"/>
      <c r="C838" s="1051"/>
      <c r="D838" s="359" t="s">
        <v>12</v>
      </c>
      <c r="E838" s="359" t="s">
        <v>111</v>
      </c>
      <c r="F838" s="359" t="s">
        <v>111</v>
      </c>
      <c r="G838" s="359" t="s">
        <v>111</v>
      </c>
      <c r="H838" s="384">
        <v>-52781.84</v>
      </c>
      <c r="I838" s="1048">
        <v>27663.68</v>
      </c>
      <c r="J838" s="1047"/>
      <c r="K838" s="384">
        <v>15112.57</v>
      </c>
      <c r="L838" s="384">
        <v>-65332.95</v>
      </c>
    </row>
    <row r="839" spans="2:12">
      <c r="B839" s="1050"/>
      <c r="C839" s="1049" t="s">
        <v>2557</v>
      </c>
      <c r="D839" s="382" t="s">
        <v>2558</v>
      </c>
      <c r="E839" s="382" t="s">
        <v>2223</v>
      </c>
      <c r="F839" s="382" t="s">
        <v>2342</v>
      </c>
      <c r="G839" s="382" t="s">
        <v>2355</v>
      </c>
      <c r="H839" s="383">
        <v>-1031.03</v>
      </c>
      <c r="I839" s="1046">
        <v>0</v>
      </c>
      <c r="J839" s="1047"/>
      <c r="K839" s="383">
        <v>0</v>
      </c>
      <c r="L839" s="383">
        <v>-1031.03</v>
      </c>
    </row>
    <row r="840" spans="2:12">
      <c r="B840" s="1050"/>
      <c r="C840" s="1051"/>
      <c r="D840" s="359" t="s">
        <v>12</v>
      </c>
      <c r="E840" s="359" t="s">
        <v>111</v>
      </c>
      <c r="F840" s="359" t="s">
        <v>111</v>
      </c>
      <c r="G840" s="359" t="s">
        <v>111</v>
      </c>
      <c r="H840" s="384">
        <v>-1031.03</v>
      </c>
      <c r="I840" s="1048">
        <v>0</v>
      </c>
      <c r="J840" s="1047"/>
      <c r="K840" s="384">
        <v>0</v>
      </c>
      <c r="L840" s="384">
        <v>-1031.03</v>
      </c>
    </row>
    <row r="841" spans="2:12">
      <c r="B841" s="1050"/>
      <c r="C841" s="1049" t="s">
        <v>2559</v>
      </c>
      <c r="D841" s="382" t="s">
        <v>2560</v>
      </c>
      <c r="E841" s="382" t="s">
        <v>2224</v>
      </c>
      <c r="F841" s="382" t="s">
        <v>2342</v>
      </c>
      <c r="G841" s="382" t="s">
        <v>2343</v>
      </c>
      <c r="H841" s="383">
        <v>-99.14</v>
      </c>
      <c r="I841" s="1046">
        <v>287.22000000000003</v>
      </c>
      <c r="J841" s="1047"/>
      <c r="K841" s="383">
        <v>0</v>
      </c>
      <c r="L841" s="383">
        <v>-386.36</v>
      </c>
    </row>
    <row r="842" spans="2:12">
      <c r="B842" s="1050"/>
      <c r="C842" s="1050"/>
      <c r="D842" s="382" t="s">
        <v>2560</v>
      </c>
      <c r="E842" s="382" t="s">
        <v>2224</v>
      </c>
      <c r="F842" s="382" t="s">
        <v>2342</v>
      </c>
      <c r="G842" s="382" t="s">
        <v>2344</v>
      </c>
      <c r="H842" s="383">
        <v>-15.63</v>
      </c>
      <c r="I842" s="1046">
        <v>97.62</v>
      </c>
      <c r="J842" s="1047"/>
      <c r="K842" s="383">
        <v>0</v>
      </c>
      <c r="L842" s="383">
        <v>-113.25</v>
      </c>
    </row>
    <row r="843" spans="2:12">
      <c r="B843" s="1050"/>
      <c r="C843" s="1050"/>
      <c r="D843" s="382" t="s">
        <v>2560</v>
      </c>
      <c r="E843" s="382" t="s">
        <v>2224</v>
      </c>
      <c r="F843" s="382" t="s">
        <v>2342</v>
      </c>
      <c r="G843" s="382" t="s">
        <v>2345</v>
      </c>
      <c r="H843" s="383">
        <v>-53.45</v>
      </c>
      <c r="I843" s="1046">
        <v>191.44</v>
      </c>
      <c r="J843" s="1047"/>
      <c r="K843" s="383">
        <v>0</v>
      </c>
      <c r="L843" s="383">
        <v>-244.89</v>
      </c>
    </row>
    <row r="844" spans="2:12">
      <c r="B844" s="1050"/>
      <c r="C844" s="1050"/>
      <c r="D844" s="382" t="s">
        <v>2560</v>
      </c>
      <c r="E844" s="382" t="s">
        <v>2224</v>
      </c>
      <c r="F844" s="382" t="s">
        <v>2342</v>
      </c>
      <c r="G844" s="382" t="s">
        <v>2346</v>
      </c>
      <c r="H844" s="383">
        <v>-18.739999999999998</v>
      </c>
      <c r="I844" s="1046">
        <v>108.06</v>
      </c>
      <c r="J844" s="1047"/>
      <c r="K844" s="383">
        <v>0</v>
      </c>
      <c r="L844" s="383">
        <v>-126.8</v>
      </c>
    </row>
    <row r="845" spans="2:12">
      <c r="B845" s="1050"/>
      <c r="C845" s="1050"/>
      <c r="D845" s="382" t="s">
        <v>2560</v>
      </c>
      <c r="E845" s="382" t="s">
        <v>2224</v>
      </c>
      <c r="F845" s="382" t="s">
        <v>2342</v>
      </c>
      <c r="G845" s="382" t="s">
        <v>2347</v>
      </c>
      <c r="H845" s="383">
        <v>-157.34</v>
      </c>
      <c r="I845" s="1046">
        <v>315.87</v>
      </c>
      <c r="J845" s="1047"/>
      <c r="K845" s="383">
        <v>0</v>
      </c>
      <c r="L845" s="383">
        <v>-473.21</v>
      </c>
    </row>
    <row r="846" spans="2:12">
      <c r="B846" s="1050"/>
      <c r="C846" s="1050"/>
      <c r="D846" s="382" t="s">
        <v>2560</v>
      </c>
      <c r="E846" s="382" t="s">
        <v>2224</v>
      </c>
      <c r="F846" s="382" t="s">
        <v>2342</v>
      </c>
      <c r="G846" s="382" t="s">
        <v>2348</v>
      </c>
      <c r="H846" s="383">
        <v>-209.04</v>
      </c>
      <c r="I846" s="1046">
        <v>657.08</v>
      </c>
      <c r="J846" s="1047"/>
      <c r="K846" s="383">
        <v>0</v>
      </c>
      <c r="L846" s="383">
        <v>-866.12</v>
      </c>
    </row>
    <row r="847" spans="2:12">
      <c r="B847" s="1050"/>
      <c r="C847" s="1050"/>
      <c r="D847" s="382" t="s">
        <v>2560</v>
      </c>
      <c r="E847" s="382" t="s">
        <v>2224</v>
      </c>
      <c r="F847" s="382" t="s">
        <v>2342</v>
      </c>
      <c r="G847" s="382" t="s">
        <v>2349</v>
      </c>
      <c r="H847" s="383">
        <v>-34.36</v>
      </c>
      <c r="I847" s="1046">
        <v>89.08</v>
      </c>
      <c r="J847" s="1047"/>
      <c r="K847" s="383">
        <v>0</v>
      </c>
      <c r="L847" s="383">
        <v>-123.44</v>
      </c>
    </row>
    <row r="848" spans="2:12">
      <c r="B848" s="1050"/>
      <c r="C848" s="1050"/>
      <c r="D848" s="382" t="s">
        <v>2560</v>
      </c>
      <c r="E848" s="382" t="s">
        <v>2224</v>
      </c>
      <c r="F848" s="382" t="s">
        <v>2342</v>
      </c>
      <c r="G848" s="382" t="s">
        <v>2350</v>
      </c>
      <c r="H848" s="383">
        <v>-131.63999999999999</v>
      </c>
      <c r="I848" s="1046">
        <v>599.32000000000005</v>
      </c>
      <c r="J848" s="1047"/>
      <c r="K848" s="383">
        <v>0</v>
      </c>
      <c r="L848" s="383">
        <v>-730.96</v>
      </c>
    </row>
    <row r="849" spans="2:12">
      <c r="B849" s="1050"/>
      <c r="C849" s="1050"/>
      <c r="D849" s="382" t="s">
        <v>2560</v>
      </c>
      <c r="E849" s="382" t="s">
        <v>2224</v>
      </c>
      <c r="F849" s="382" t="s">
        <v>2342</v>
      </c>
      <c r="G849" s="382" t="s">
        <v>2351</v>
      </c>
      <c r="H849" s="383">
        <v>-133.54</v>
      </c>
      <c r="I849" s="1046">
        <v>3536.52</v>
      </c>
      <c r="J849" s="1047"/>
      <c r="K849" s="383">
        <v>2.11</v>
      </c>
      <c r="L849" s="383">
        <v>-3667.95</v>
      </c>
    </row>
    <row r="850" spans="2:12">
      <c r="B850" s="1050"/>
      <c r="C850" s="1050"/>
      <c r="D850" s="382" t="s">
        <v>2560</v>
      </c>
      <c r="E850" s="382" t="s">
        <v>2224</v>
      </c>
      <c r="F850" s="382" t="s">
        <v>2342</v>
      </c>
      <c r="G850" s="382" t="s">
        <v>2352</v>
      </c>
      <c r="H850" s="383">
        <v>-351.45</v>
      </c>
      <c r="I850" s="1046">
        <v>552.37</v>
      </c>
      <c r="J850" s="1047"/>
      <c r="K850" s="383">
        <v>0</v>
      </c>
      <c r="L850" s="383">
        <v>-903.82</v>
      </c>
    </row>
    <row r="851" spans="2:12">
      <c r="B851" s="1050"/>
      <c r="C851" s="1050"/>
      <c r="D851" s="382" t="s">
        <v>2560</v>
      </c>
      <c r="E851" s="382" t="s">
        <v>2224</v>
      </c>
      <c r="F851" s="382" t="s">
        <v>2342</v>
      </c>
      <c r="G851" s="382" t="s">
        <v>2353</v>
      </c>
      <c r="H851" s="383">
        <v>-43.22</v>
      </c>
      <c r="I851" s="1046">
        <v>2028.33</v>
      </c>
      <c r="J851" s="1047"/>
      <c r="K851" s="383">
        <v>0</v>
      </c>
      <c r="L851" s="383">
        <v>-2071.5500000000002</v>
      </c>
    </row>
    <row r="852" spans="2:12">
      <c r="B852" s="1050"/>
      <c r="C852" s="1050"/>
      <c r="D852" s="382" t="s">
        <v>2560</v>
      </c>
      <c r="E852" s="382" t="s">
        <v>2224</v>
      </c>
      <c r="F852" s="382" t="s">
        <v>2342</v>
      </c>
      <c r="G852" s="382" t="s">
        <v>405</v>
      </c>
      <c r="H852" s="383">
        <v>-32.19</v>
      </c>
      <c r="I852" s="1046">
        <v>26.14</v>
      </c>
      <c r="J852" s="1047"/>
      <c r="K852" s="383">
        <v>0</v>
      </c>
      <c r="L852" s="383">
        <v>-58.33</v>
      </c>
    </row>
    <row r="853" spans="2:12">
      <c r="B853" s="1050"/>
      <c r="C853" s="1050"/>
      <c r="D853" s="382" t="s">
        <v>2560</v>
      </c>
      <c r="E853" s="382" t="s">
        <v>2224</v>
      </c>
      <c r="F853" s="382" t="s">
        <v>2342</v>
      </c>
      <c r="G853" s="382" t="s">
        <v>2354</v>
      </c>
      <c r="H853" s="383">
        <v>0</v>
      </c>
      <c r="I853" s="1046">
        <v>3.94</v>
      </c>
      <c r="J853" s="1047"/>
      <c r="K853" s="383">
        <v>0</v>
      </c>
      <c r="L853" s="383">
        <v>-3.94</v>
      </c>
    </row>
    <row r="854" spans="2:12">
      <c r="B854" s="1050"/>
      <c r="C854" s="1050"/>
      <c r="D854" s="382" t="s">
        <v>2560</v>
      </c>
      <c r="E854" s="382" t="s">
        <v>2224</v>
      </c>
      <c r="F854" s="382" t="s">
        <v>2342</v>
      </c>
      <c r="G854" s="382" t="s">
        <v>2355</v>
      </c>
      <c r="H854" s="383">
        <v>-351201.57</v>
      </c>
      <c r="I854" s="1046">
        <v>1093.5999999999999</v>
      </c>
      <c r="J854" s="1047"/>
      <c r="K854" s="383">
        <v>5876.76</v>
      </c>
      <c r="L854" s="383">
        <v>-346418.41</v>
      </c>
    </row>
    <row r="855" spans="2:12">
      <c r="B855" s="1050"/>
      <c r="C855" s="1050"/>
      <c r="D855" s="382" t="s">
        <v>2561</v>
      </c>
      <c r="E855" s="382" t="s">
        <v>2225</v>
      </c>
      <c r="F855" s="382" t="s">
        <v>2342</v>
      </c>
      <c r="G855" s="382" t="s">
        <v>2343</v>
      </c>
      <c r="H855" s="383">
        <v>-67432.23</v>
      </c>
      <c r="I855" s="1046">
        <v>49910.25</v>
      </c>
      <c r="J855" s="1047"/>
      <c r="K855" s="383">
        <v>497.77</v>
      </c>
      <c r="L855" s="383">
        <v>-116844.71</v>
      </c>
    </row>
    <row r="856" spans="2:12">
      <c r="B856" s="1050"/>
      <c r="C856" s="1050"/>
      <c r="D856" s="382" t="s">
        <v>2561</v>
      </c>
      <c r="E856" s="382" t="s">
        <v>2225</v>
      </c>
      <c r="F856" s="382" t="s">
        <v>2342</v>
      </c>
      <c r="G856" s="382" t="s">
        <v>2355</v>
      </c>
      <c r="H856" s="383">
        <v>-94141.41</v>
      </c>
      <c r="I856" s="1046">
        <v>0</v>
      </c>
      <c r="J856" s="1047"/>
      <c r="K856" s="383">
        <v>0</v>
      </c>
      <c r="L856" s="383">
        <v>-94141.41</v>
      </c>
    </row>
    <row r="857" spans="2:12">
      <c r="B857" s="1050"/>
      <c r="C857" s="1050"/>
      <c r="D857" s="382" t="s">
        <v>2562</v>
      </c>
      <c r="E857" s="382" t="s">
        <v>2067</v>
      </c>
      <c r="F857" s="382" t="s">
        <v>2342</v>
      </c>
      <c r="G857" s="382" t="s">
        <v>2343</v>
      </c>
      <c r="H857" s="383">
        <v>-1314.25</v>
      </c>
      <c r="I857" s="1046">
        <v>177.02</v>
      </c>
      <c r="J857" s="1047"/>
      <c r="K857" s="383">
        <v>0</v>
      </c>
      <c r="L857" s="383">
        <v>-1491.27</v>
      </c>
    </row>
    <row r="858" spans="2:12">
      <c r="B858" s="1050"/>
      <c r="C858" s="1050"/>
      <c r="D858" s="382" t="s">
        <v>2562</v>
      </c>
      <c r="E858" s="382" t="s">
        <v>2067</v>
      </c>
      <c r="F858" s="382" t="s">
        <v>2342</v>
      </c>
      <c r="G858" s="382" t="s">
        <v>2344</v>
      </c>
      <c r="H858" s="383">
        <v>-3318.42</v>
      </c>
      <c r="I858" s="1046">
        <v>325.07</v>
      </c>
      <c r="J858" s="1047"/>
      <c r="K858" s="383">
        <v>201.37</v>
      </c>
      <c r="L858" s="383">
        <v>-3442.12</v>
      </c>
    </row>
    <row r="859" spans="2:12">
      <c r="B859" s="1050"/>
      <c r="C859" s="1050"/>
      <c r="D859" s="382" t="s">
        <v>2562</v>
      </c>
      <c r="E859" s="382" t="s">
        <v>2067</v>
      </c>
      <c r="F859" s="382" t="s">
        <v>2342</v>
      </c>
      <c r="G859" s="382" t="s">
        <v>2345</v>
      </c>
      <c r="H859" s="383">
        <v>-1239.9000000000001</v>
      </c>
      <c r="I859" s="1046">
        <v>182.8</v>
      </c>
      <c r="J859" s="1047"/>
      <c r="K859" s="383">
        <v>0</v>
      </c>
      <c r="L859" s="383">
        <v>-1422.7</v>
      </c>
    </row>
    <row r="860" spans="2:12">
      <c r="B860" s="1050"/>
      <c r="C860" s="1050"/>
      <c r="D860" s="382" t="s">
        <v>2562</v>
      </c>
      <c r="E860" s="382" t="s">
        <v>2067</v>
      </c>
      <c r="F860" s="382" t="s">
        <v>2342</v>
      </c>
      <c r="G860" s="382" t="s">
        <v>2346</v>
      </c>
      <c r="H860" s="383">
        <v>-477.69</v>
      </c>
      <c r="I860" s="1046">
        <v>174.35</v>
      </c>
      <c r="J860" s="1047"/>
      <c r="K860" s="383">
        <v>0</v>
      </c>
      <c r="L860" s="383">
        <v>-652.04</v>
      </c>
    </row>
    <row r="861" spans="2:12">
      <c r="B861" s="1050"/>
      <c r="C861" s="1050"/>
      <c r="D861" s="382" t="s">
        <v>2562</v>
      </c>
      <c r="E861" s="382" t="s">
        <v>2067</v>
      </c>
      <c r="F861" s="382" t="s">
        <v>2342</v>
      </c>
      <c r="G861" s="382" t="s">
        <v>2347</v>
      </c>
      <c r="H861" s="383">
        <v>-5811.25</v>
      </c>
      <c r="I861" s="1046">
        <v>1330.36</v>
      </c>
      <c r="J861" s="1047"/>
      <c r="K861" s="383">
        <v>16.29</v>
      </c>
      <c r="L861" s="383">
        <v>-7125.32</v>
      </c>
    </row>
    <row r="862" spans="2:12">
      <c r="B862" s="1050"/>
      <c r="C862" s="1050"/>
      <c r="D862" s="382" t="s">
        <v>2562</v>
      </c>
      <c r="E862" s="382" t="s">
        <v>2067</v>
      </c>
      <c r="F862" s="382" t="s">
        <v>2342</v>
      </c>
      <c r="G862" s="382" t="s">
        <v>2348</v>
      </c>
      <c r="H862" s="383">
        <v>-7455.37</v>
      </c>
      <c r="I862" s="1046">
        <v>1377.6</v>
      </c>
      <c r="J862" s="1047"/>
      <c r="K862" s="383">
        <v>22.52</v>
      </c>
      <c r="L862" s="383">
        <v>-8810.4500000000007</v>
      </c>
    </row>
    <row r="863" spans="2:12">
      <c r="B863" s="1050"/>
      <c r="C863" s="1050"/>
      <c r="D863" s="382" t="s">
        <v>2562</v>
      </c>
      <c r="E863" s="382" t="s">
        <v>2067</v>
      </c>
      <c r="F863" s="382" t="s">
        <v>2342</v>
      </c>
      <c r="G863" s="382" t="s">
        <v>2349</v>
      </c>
      <c r="H863" s="383">
        <v>-2970.61</v>
      </c>
      <c r="I863" s="1046">
        <v>368.12</v>
      </c>
      <c r="J863" s="1047"/>
      <c r="K863" s="383">
        <v>183.56</v>
      </c>
      <c r="L863" s="383">
        <v>-3155.17</v>
      </c>
    </row>
    <row r="864" spans="2:12">
      <c r="B864" s="1050"/>
      <c r="C864" s="1050"/>
      <c r="D864" s="382" t="s">
        <v>2562</v>
      </c>
      <c r="E864" s="382" t="s">
        <v>2067</v>
      </c>
      <c r="F864" s="382" t="s">
        <v>2342</v>
      </c>
      <c r="G864" s="382" t="s">
        <v>2350</v>
      </c>
      <c r="H864" s="383">
        <v>-2402.84</v>
      </c>
      <c r="I864" s="1046">
        <v>508.95</v>
      </c>
      <c r="J864" s="1047"/>
      <c r="K864" s="383">
        <v>45.75</v>
      </c>
      <c r="L864" s="383">
        <v>-2866.04</v>
      </c>
    </row>
    <row r="865" spans="2:12">
      <c r="B865" s="1050"/>
      <c r="C865" s="1050"/>
      <c r="D865" s="382" t="s">
        <v>2562</v>
      </c>
      <c r="E865" s="382" t="s">
        <v>2067</v>
      </c>
      <c r="F865" s="382" t="s">
        <v>2342</v>
      </c>
      <c r="G865" s="382" t="s">
        <v>2351</v>
      </c>
      <c r="H865" s="383">
        <v>-11142.59</v>
      </c>
      <c r="I865" s="1046">
        <v>1405.23</v>
      </c>
      <c r="J865" s="1047"/>
      <c r="K865" s="383">
        <v>0</v>
      </c>
      <c r="L865" s="383">
        <v>-12547.82</v>
      </c>
    </row>
    <row r="866" spans="2:12">
      <c r="B866" s="1050"/>
      <c r="C866" s="1050"/>
      <c r="D866" s="382" t="s">
        <v>2562</v>
      </c>
      <c r="E866" s="382" t="s">
        <v>2067</v>
      </c>
      <c r="F866" s="382" t="s">
        <v>2342</v>
      </c>
      <c r="G866" s="382" t="s">
        <v>2352</v>
      </c>
      <c r="H866" s="383">
        <v>-2801.88</v>
      </c>
      <c r="I866" s="1046">
        <v>761.53</v>
      </c>
      <c r="J866" s="1047"/>
      <c r="K866" s="383">
        <v>0</v>
      </c>
      <c r="L866" s="383">
        <v>-3563.41</v>
      </c>
    </row>
    <row r="867" spans="2:12">
      <c r="B867" s="1050"/>
      <c r="C867" s="1050"/>
      <c r="D867" s="382" t="s">
        <v>2562</v>
      </c>
      <c r="E867" s="382" t="s">
        <v>2067</v>
      </c>
      <c r="F867" s="382" t="s">
        <v>2342</v>
      </c>
      <c r="G867" s="382" t="s">
        <v>2353</v>
      </c>
      <c r="H867" s="383">
        <v>-5282.49</v>
      </c>
      <c r="I867" s="1046">
        <v>341.05</v>
      </c>
      <c r="J867" s="1047"/>
      <c r="K867" s="383">
        <v>0</v>
      </c>
      <c r="L867" s="383">
        <v>-5623.54</v>
      </c>
    </row>
    <row r="868" spans="2:12">
      <c r="B868" s="1050"/>
      <c r="C868" s="1050"/>
      <c r="D868" s="382" t="s">
        <v>2562</v>
      </c>
      <c r="E868" s="382" t="s">
        <v>2067</v>
      </c>
      <c r="F868" s="382" t="s">
        <v>2342</v>
      </c>
      <c r="G868" s="382" t="s">
        <v>405</v>
      </c>
      <c r="H868" s="383">
        <v>-2741.93</v>
      </c>
      <c r="I868" s="1046">
        <v>416.71</v>
      </c>
      <c r="J868" s="1047"/>
      <c r="K868" s="383">
        <v>356.29</v>
      </c>
      <c r="L868" s="383">
        <v>-2802.35</v>
      </c>
    </row>
    <row r="869" spans="2:12">
      <c r="B869" s="1050"/>
      <c r="C869" s="1051"/>
      <c r="D869" s="359" t="s">
        <v>12</v>
      </c>
      <c r="E869" s="359" t="s">
        <v>111</v>
      </c>
      <c r="F869" s="359" t="s">
        <v>111</v>
      </c>
      <c r="G869" s="359" t="s">
        <v>111</v>
      </c>
      <c r="H869" s="384">
        <v>-561014.17000000004</v>
      </c>
      <c r="I869" s="1048">
        <v>66865.63</v>
      </c>
      <c r="J869" s="1047"/>
      <c r="K869" s="384">
        <v>7202.42</v>
      </c>
      <c r="L869" s="384">
        <v>-620677.38</v>
      </c>
    </row>
    <row r="870" spans="2:12">
      <c r="B870" s="1050"/>
      <c r="C870" s="1049" t="s">
        <v>2563</v>
      </c>
      <c r="D870" s="382" t="s">
        <v>2564</v>
      </c>
      <c r="E870" s="382" t="s">
        <v>2226</v>
      </c>
      <c r="F870" s="382" t="s">
        <v>2342</v>
      </c>
      <c r="G870" s="382" t="s">
        <v>2355</v>
      </c>
      <c r="H870" s="383">
        <v>-45779</v>
      </c>
      <c r="I870" s="1046">
        <v>0</v>
      </c>
      <c r="J870" s="1047"/>
      <c r="K870" s="383">
        <v>0</v>
      </c>
      <c r="L870" s="383">
        <v>-45779</v>
      </c>
    </row>
    <row r="871" spans="2:12">
      <c r="B871" s="1050"/>
      <c r="C871" s="1050"/>
      <c r="D871" s="382" t="s">
        <v>2565</v>
      </c>
      <c r="E871" s="382" t="s">
        <v>2227</v>
      </c>
      <c r="F871" s="382" t="s">
        <v>2342</v>
      </c>
      <c r="G871" s="382" t="s">
        <v>2355</v>
      </c>
      <c r="H871" s="383">
        <v>-166447.97</v>
      </c>
      <c r="I871" s="1046">
        <v>0</v>
      </c>
      <c r="J871" s="1047"/>
      <c r="K871" s="383">
        <v>0</v>
      </c>
      <c r="L871" s="383">
        <v>-166447.97</v>
      </c>
    </row>
    <row r="872" spans="2:12">
      <c r="B872" s="1050"/>
      <c r="C872" s="1050"/>
      <c r="D872" s="382" t="s">
        <v>2566</v>
      </c>
      <c r="E872" s="382" t="s">
        <v>2228</v>
      </c>
      <c r="F872" s="382" t="s">
        <v>2342</v>
      </c>
      <c r="G872" s="382" t="s">
        <v>2355</v>
      </c>
      <c r="H872" s="383">
        <v>-975857.21</v>
      </c>
      <c r="I872" s="1046">
        <v>96646.26</v>
      </c>
      <c r="J872" s="1047"/>
      <c r="K872" s="383">
        <v>0.02</v>
      </c>
      <c r="L872" s="383">
        <v>-1072503.45</v>
      </c>
    </row>
    <row r="873" spans="2:12">
      <c r="B873" s="1050"/>
      <c r="C873" s="1050"/>
      <c r="D873" s="382" t="s">
        <v>2567</v>
      </c>
      <c r="E873" s="382" t="s">
        <v>2229</v>
      </c>
      <c r="F873" s="382" t="s">
        <v>2342</v>
      </c>
      <c r="G873" s="382" t="s">
        <v>2355</v>
      </c>
      <c r="H873" s="383">
        <v>13516.2</v>
      </c>
      <c r="I873" s="1046">
        <v>0</v>
      </c>
      <c r="J873" s="1047"/>
      <c r="K873" s="383">
        <v>0</v>
      </c>
      <c r="L873" s="383">
        <v>13516.2</v>
      </c>
    </row>
    <row r="874" spans="2:12">
      <c r="B874" s="1050"/>
      <c r="C874" s="1050"/>
      <c r="D874" s="382" t="s">
        <v>2568</v>
      </c>
      <c r="E874" s="382" t="s">
        <v>2230</v>
      </c>
      <c r="F874" s="382" t="s">
        <v>2342</v>
      </c>
      <c r="G874" s="382" t="s">
        <v>2355</v>
      </c>
      <c r="H874" s="383">
        <v>-1041479.49</v>
      </c>
      <c r="I874" s="1046">
        <v>90111.82</v>
      </c>
      <c r="J874" s="1047"/>
      <c r="K874" s="383">
        <v>0</v>
      </c>
      <c r="L874" s="383">
        <v>-1131591.31</v>
      </c>
    </row>
    <row r="875" spans="2:12">
      <c r="B875" s="1050"/>
      <c r="C875" s="1050"/>
      <c r="D875" s="382" t="s">
        <v>2569</v>
      </c>
      <c r="E875" s="382" t="s">
        <v>2231</v>
      </c>
      <c r="F875" s="382" t="s">
        <v>2342</v>
      </c>
      <c r="G875" s="382" t="s">
        <v>2355</v>
      </c>
      <c r="H875" s="383">
        <v>-820086.64</v>
      </c>
      <c r="I875" s="1046">
        <v>0</v>
      </c>
      <c r="J875" s="1047"/>
      <c r="K875" s="383">
        <v>0</v>
      </c>
      <c r="L875" s="383">
        <v>-820086.64</v>
      </c>
    </row>
    <row r="876" spans="2:12">
      <c r="B876" s="1050"/>
      <c r="C876" s="1050"/>
      <c r="D876" s="382" t="s">
        <v>2570</v>
      </c>
      <c r="E876" s="382" t="s">
        <v>2232</v>
      </c>
      <c r="F876" s="382" t="s">
        <v>2342</v>
      </c>
      <c r="G876" s="382" t="s">
        <v>2355</v>
      </c>
      <c r="H876" s="383">
        <v>-1138460.1399999999</v>
      </c>
      <c r="I876" s="1046">
        <v>94673.91</v>
      </c>
      <c r="J876" s="1047"/>
      <c r="K876" s="383">
        <v>12122.56</v>
      </c>
      <c r="L876" s="383">
        <v>-1221011.49</v>
      </c>
    </row>
    <row r="877" spans="2:12">
      <c r="B877" s="1050"/>
      <c r="C877" s="1050"/>
      <c r="D877" s="382" t="s">
        <v>2571</v>
      </c>
      <c r="E877" s="382" t="s">
        <v>2233</v>
      </c>
      <c r="F877" s="382" t="s">
        <v>2342</v>
      </c>
      <c r="G877" s="382" t="s">
        <v>2355</v>
      </c>
      <c r="H877" s="383">
        <v>-629894.80000000005</v>
      </c>
      <c r="I877" s="1046">
        <v>45241.88</v>
      </c>
      <c r="J877" s="1047"/>
      <c r="K877" s="383">
        <v>0</v>
      </c>
      <c r="L877" s="383">
        <v>-675136.68</v>
      </c>
    </row>
    <row r="878" spans="2:12">
      <c r="B878" s="1050"/>
      <c r="C878" s="1050"/>
      <c r="D878" s="382" t="s">
        <v>2572</v>
      </c>
      <c r="E878" s="382" t="s">
        <v>2234</v>
      </c>
      <c r="F878" s="382" t="s">
        <v>2342</v>
      </c>
      <c r="G878" s="382" t="s">
        <v>2355</v>
      </c>
      <c r="H878" s="383">
        <v>-63393.55</v>
      </c>
      <c r="I878" s="1046">
        <v>0</v>
      </c>
      <c r="J878" s="1047"/>
      <c r="K878" s="383">
        <v>0</v>
      </c>
      <c r="L878" s="383">
        <v>-63393.55</v>
      </c>
    </row>
    <row r="879" spans="2:12">
      <c r="B879" s="1050"/>
      <c r="C879" s="1050"/>
      <c r="D879" s="382" t="s">
        <v>2573</v>
      </c>
      <c r="E879" s="382" t="s">
        <v>2235</v>
      </c>
      <c r="F879" s="382" t="s">
        <v>2342</v>
      </c>
      <c r="G879" s="382" t="s">
        <v>2355</v>
      </c>
      <c r="H879" s="383">
        <v>-386649.38</v>
      </c>
      <c r="I879" s="1046">
        <v>36134.089999999997</v>
      </c>
      <c r="J879" s="1047"/>
      <c r="K879" s="383">
        <v>0</v>
      </c>
      <c r="L879" s="383">
        <v>-422783.47</v>
      </c>
    </row>
    <row r="880" spans="2:12">
      <c r="B880" s="1050"/>
      <c r="C880" s="1050"/>
      <c r="D880" s="382" t="s">
        <v>2574</v>
      </c>
      <c r="E880" s="382" t="s">
        <v>2236</v>
      </c>
      <c r="F880" s="382" t="s">
        <v>2342</v>
      </c>
      <c r="G880" s="382" t="s">
        <v>2355</v>
      </c>
      <c r="H880" s="383">
        <v>-502494.33</v>
      </c>
      <c r="I880" s="1046">
        <v>54427.22</v>
      </c>
      <c r="J880" s="1047"/>
      <c r="K880" s="383">
        <v>0</v>
      </c>
      <c r="L880" s="383">
        <v>-556921.55000000005</v>
      </c>
    </row>
    <row r="881" spans="2:12">
      <c r="B881" s="1050"/>
      <c r="C881" s="1050"/>
      <c r="D881" s="382" t="s">
        <v>2575</v>
      </c>
      <c r="E881" s="382" t="s">
        <v>2237</v>
      </c>
      <c r="F881" s="382" t="s">
        <v>2342</v>
      </c>
      <c r="G881" s="382" t="s">
        <v>2355</v>
      </c>
      <c r="H881" s="383">
        <v>-395902.63</v>
      </c>
      <c r="I881" s="1046">
        <v>37067.33</v>
      </c>
      <c r="J881" s="1047"/>
      <c r="K881" s="383">
        <v>0</v>
      </c>
      <c r="L881" s="383">
        <v>-432969.96</v>
      </c>
    </row>
    <row r="882" spans="2:12">
      <c r="B882" s="1050"/>
      <c r="C882" s="1050"/>
      <c r="D882" s="382" t="s">
        <v>2576</v>
      </c>
      <c r="E882" s="382" t="s">
        <v>2238</v>
      </c>
      <c r="F882" s="382" t="s">
        <v>2342</v>
      </c>
      <c r="G882" s="382" t="s">
        <v>2355</v>
      </c>
      <c r="H882" s="383">
        <v>-593853.96</v>
      </c>
      <c r="I882" s="1046">
        <v>55602</v>
      </c>
      <c r="J882" s="1047"/>
      <c r="K882" s="383">
        <v>0</v>
      </c>
      <c r="L882" s="383">
        <v>-649455.96</v>
      </c>
    </row>
    <row r="883" spans="2:12">
      <c r="B883" s="1050"/>
      <c r="C883" s="1050"/>
      <c r="D883" s="382" t="s">
        <v>2577</v>
      </c>
      <c r="E883" s="382" t="s">
        <v>2239</v>
      </c>
      <c r="F883" s="382" t="s">
        <v>2342</v>
      </c>
      <c r="G883" s="382" t="s">
        <v>2355</v>
      </c>
      <c r="H883" s="383">
        <v>-1660789.46</v>
      </c>
      <c r="I883" s="1046">
        <v>0.01</v>
      </c>
      <c r="J883" s="1047"/>
      <c r="K883" s="383">
        <v>0</v>
      </c>
      <c r="L883" s="383">
        <v>-1660789.47</v>
      </c>
    </row>
    <row r="884" spans="2:12">
      <c r="B884" s="1050"/>
      <c r="C884" s="1050"/>
      <c r="D884" s="382" t="s">
        <v>2578</v>
      </c>
      <c r="E884" s="382" t="s">
        <v>2240</v>
      </c>
      <c r="F884" s="382" t="s">
        <v>2342</v>
      </c>
      <c r="G884" s="382" t="s">
        <v>2355</v>
      </c>
      <c r="H884" s="383">
        <v>-1034719.05</v>
      </c>
      <c r="I884" s="1046">
        <v>64036.82</v>
      </c>
      <c r="J884" s="1047"/>
      <c r="K884" s="383">
        <v>33936.57</v>
      </c>
      <c r="L884" s="383">
        <v>-1064819.3</v>
      </c>
    </row>
    <row r="885" spans="2:12">
      <c r="B885" s="1050"/>
      <c r="C885" s="1050"/>
      <c r="D885" s="382" t="s">
        <v>2579</v>
      </c>
      <c r="E885" s="382" t="s">
        <v>2241</v>
      </c>
      <c r="F885" s="382" t="s">
        <v>2342</v>
      </c>
      <c r="G885" s="382" t="s">
        <v>2355</v>
      </c>
      <c r="H885" s="383">
        <v>-970890.42</v>
      </c>
      <c r="I885" s="1046">
        <v>92325.54</v>
      </c>
      <c r="J885" s="1047"/>
      <c r="K885" s="383">
        <v>46528.27</v>
      </c>
      <c r="L885" s="383">
        <v>-1016687.69</v>
      </c>
    </row>
    <row r="886" spans="2:12">
      <c r="B886" s="1050"/>
      <c r="C886" s="1050"/>
      <c r="D886" s="382" t="s">
        <v>2580</v>
      </c>
      <c r="E886" s="382" t="s">
        <v>2581</v>
      </c>
      <c r="F886" s="382" t="s">
        <v>2342</v>
      </c>
      <c r="G886" s="382" t="s">
        <v>2355</v>
      </c>
      <c r="H886" s="383">
        <v>-703323.87</v>
      </c>
      <c r="I886" s="1046">
        <v>82411.69</v>
      </c>
      <c r="J886" s="1047"/>
      <c r="K886" s="383">
        <v>8630.36</v>
      </c>
      <c r="L886" s="383">
        <v>-777105.2</v>
      </c>
    </row>
    <row r="887" spans="2:12">
      <c r="B887" s="1050"/>
      <c r="C887" s="1050"/>
      <c r="D887" s="382" t="s">
        <v>2582</v>
      </c>
      <c r="E887" s="382" t="s">
        <v>2242</v>
      </c>
      <c r="F887" s="382" t="s">
        <v>2342</v>
      </c>
      <c r="G887" s="382" t="s">
        <v>2355</v>
      </c>
      <c r="H887" s="383">
        <v>-1978891.63</v>
      </c>
      <c r="I887" s="1046">
        <v>228074.43</v>
      </c>
      <c r="J887" s="1047"/>
      <c r="K887" s="383">
        <v>0</v>
      </c>
      <c r="L887" s="383">
        <v>-2206966.06</v>
      </c>
    </row>
    <row r="888" spans="2:12">
      <c r="B888" s="1050"/>
      <c r="C888" s="1050"/>
      <c r="D888" s="382" t="s">
        <v>2583</v>
      </c>
      <c r="E888" s="382" t="s">
        <v>2243</v>
      </c>
      <c r="F888" s="382" t="s">
        <v>2342</v>
      </c>
      <c r="G888" s="382" t="s">
        <v>2355</v>
      </c>
      <c r="H888" s="383">
        <v>-537923.51</v>
      </c>
      <c r="I888" s="1046">
        <v>104878.17</v>
      </c>
      <c r="J888" s="1047"/>
      <c r="K888" s="383">
        <v>215.46</v>
      </c>
      <c r="L888" s="383">
        <v>-642586.22</v>
      </c>
    </row>
    <row r="889" spans="2:12">
      <c r="B889" s="1050"/>
      <c r="C889" s="1050"/>
      <c r="D889" s="382" t="s">
        <v>2584</v>
      </c>
      <c r="E889" s="382" t="s">
        <v>2244</v>
      </c>
      <c r="F889" s="382" t="s">
        <v>2342</v>
      </c>
      <c r="G889" s="382" t="s">
        <v>2355</v>
      </c>
      <c r="H889" s="383">
        <v>-154600.07999999999</v>
      </c>
      <c r="I889" s="1046">
        <v>105259.62</v>
      </c>
      <c r="J889" s="1047"/>
      <c r="K889" s="383">
        <v>0</v>
      </c>
      <c r="L889" s="383">
        <v>-259859.7</v>
      </c>
    </row>
    <row r="890" spans="2:12">
      <c r="B890" s="1050"/>
      <c r="C890" s="1050"/>
      <c r="D890" s="382" t="s">
        <v>2585</v>
      </c>
      <c r="E890" s="382" t="s">
        <v>2245</v>
      </c>
      <c r="F890" s="382" t="s">
        <v>2342</v>
      </c>
      <c r="G890" s="382" t="s">
        <v>2355</v>
      </c>
      <c r="H890" s="383">
        <v>0</v>
      </c>
      <c r="I890" s="1046">
        <v>146110.69</v>
      </c>
      <c r="J890" s="1047"/>
      <c r="K890" s="383">
        <v>10274.25</v>
      </c>
      <c r="L890" s="383">
        <v>-135836.44</v>
      </c>
    </row>
    <row r="891" spans="2:12">
      <c r="B891" s="1050"/>
      <c r="C891" s="1051"/>
      <c r="D891" s="359" t="s">
        <v>12</v>
      </c>
      <c r="E891" s="359" t="s">
        <v>111</v>
      </c>
      <c r="F891" s="359" t="s">
        <v>111</v>
      </c>
      <c r="G891" s="359" t="s">
        <v>111</v>
      </c>
      <c r="H891" s="384">
        <v>-13787920.92</v>
      </c>
      <c r="I891" s="1048">
        <v>1333001.48</v>
      </c>
      <c r="J891" s="1047"/>
      <c r="K891" s="384">
        <v>111707.49</v>
      </c>
      <c r="L891" s="384">
        <v>-15009214.91</v>
      </c>
    </row>
    <row r="892" spans="2:12">
      <c r="B892" s="1050"/>
      <c r="C892" s="1049" t="s">
        <v>2586</v>
      </c>
      <c r="D892" s="382" t="s">
        <v>2587</v>
      </c>
      <c r="E892" s="382" t="s">
        <v>2246</v>
      </c>
      <c r="F892" s="382" t="s">
        <v>2342</v>
      </c>
      <c r="G892" s="382" t="s">
        <v>2355</v>
      </c>
      <c r="H892" s="383">
        <v>-155107.35</v>
      </c>
      <c r="I892" s="1046">
        <v>7453.12</v>
      </c>
      <c r="J892" s="1047"/>
      <c r="K892" s="383">
        <v>0</v>
      </c>
      <c r="L892" s="383">
        <v>-162560.47</v>
      </c>
    </row>
    <row r="893" spans="2:12">
      <c r="B893" s="1050"/>
      <c r="C893" s="1050"/>
      <c r="D893" s="382" t="s">
        <v>2588</v>
      </c>
      <c r="E893" s="382" t="s">
        <v>2247</v>
      </c>
      <c r="F893" s="382" t="s">
        <v>2342</v>
      </c>
      <c r="G893" s="382" t="s">
        <v>2355</v>
      </c>
      <c r="H893" s="383">
        <v>-35256.69</v>
      </c>
      <c r="I893" s="1046">
        <v>5036.67</v>
      </c>
      <c r="J893" s="1047"/>
      <c r="K893" s="383">
        <v>0</v>
      </c>
      <c r="L893" s="383">
        <v>-40293.360000000001</v>
      </c>
    </row>
    <row r="894" spans="2:12">
      <c r="B894" s="1050"/>
      <c r="C894" s="1050"/>
      <c r="D894" s="382" t="s">
        <v>2589</v>
      </c>
      <c r="E894" s="382" t="s">
        <v>2248</v>
      </c>
      <c r="F894" s="382" t="s">
        <v>2342</v>
      </c>
      <c r="G894" s="382" t="s">
        <v>2355</v>
      </c>
      <c r="H894" s="383">
        <v>-25437.200000000001</v>
      </c>
      <c r="I894" s="1046">
        <v>5087.4399999999996</v>
      </c>
      <c r="J894" s="1047"/>
      <c r="K894" s="383">
        <v>0</v>
      </c>
      <c r="L894" s="383">
        <v>-30524.639999999999</v>
      </c>
    </row>
    <row r="895" spans="2:12">
      <c r="B895" s="1050"/>
      <c r="C895" s="1050"/>
      <c r="D895" s="382" t="s">
        <v>2590</v>
      </c>
      <c r="E895" s="382" t="s">
        <v>2249</v>
      </c>
      <c r="F895" s="382" t="s">
        <v>2342</v>
      </c>
      <c r="G895" s="382" t="s">
        <v>2355</v>
      </c>
      <c r="H895" s="383">
        <v>-7453.9</v>
      </c>
      <c r="I895" s="1046">
        <v>7453.9</v>
      </c>
      <c r="J895" s="1047"/>
      <c r="K895" s="383">
        <v>0</v>
      </c>
      <c r="L895" s="383">
        <v>-14907.8</v>
      </c>
    </row>
    <row r="896" spans="2:12">
      <c r="B896" s="1050"/>
      <c r="C896" s="1050"/>
      <c r="D896" s="382" t="s">
        <v>2591</v>
      </c>
      <c r="E896" s="382" t="s">
        <v>2250</v>
      </c>
      <c r="F896" s="382" t="s">
        <v>2342</v>
      </c>
      <c r="G896" s="382" t="s">
        <v>2355</v>
      </c>
      <c r="H896" s="383">
        <v>0</v>
      </c>
      <c r="I896" s="1046">
        <v>2632.63</v>
      </c>
      <c r="J896" s="1047"/>
      <c r="K896" s="383">
        <v>0</v>
      </c>
      <c r="L896" s="383">
        <v>-2632.63</v>
      </c>
    </row>
    <row r="897" spans="2:12">
      <c r="B897" s="1050"/>
      <c r="C897" s="1051"/>
      <c r="D897" s="359" t="s">
        <v>12</v>
      </c>
      <c r="E897" s="359" t="s">
        <v>111</v>
      </c>
      <c r="F897" s="359" t="s">
        <v>111</v>
      </c>
      <c r="G897" s="359" t="s">
        <v>111</v>
      </c>
      <c r="H897" s="384">
        <v>-223255.14</v>
      </c>
      <c r="I897" s="1048">
        <v>27663.759999999998</v>
      </c>
      <c r="J897" s="1047"/>
      <c r="K897" s="384">
        <v>0</v>
      </c>
      <c r="L897" s="384">
        <v>-250918.9</v>
      </c>
    </row>
    <row r="898" spans="2:12">
      <c r="B898" s="1050"/>
      <c r="C898" s="1049" t="s">
        <v>2592</v>
      </c>
      <c r="D898" s="382" t="s">
        <v>2593</v>
      </c>
      <c r="E898" s="382" t="s">
        <v>2251</v>
      </c>
      <c r="F898" s="382" t="s">
        <v>2342</v>
      </c>
      <c r="G898" s="382" t="s">
        <v>2355</v>
      </c>
      <c r="H898" s="383">
        <v>-190658.85</v>
      </c>
      <c r="I898" s="1046">
        <v>0</v>
      </c>
      <c r="J898" s="1047"/>
      <c r="K898" s="383">
        <v>0</v>
      </c>
      <c r="L898" s="383">
        <v>-190658.85</v>
      </c>
    </row>
    <row r="899" spans="2:12">
      <c r="B899" s="1050"/>
      <c r="C899" s="1050"/>
      <c r="D899" s="382" t="s">
        <v>2594</v>
      </c>
      <c r="E899" s="382" t="s">
        <v>2252</v>
      </c>
      <c r="F899" s="382" t="s">
        <v>2342</v>
      </c>
      <c r="G899" s="382" t="s">
        <v>2355</v>
      </c>
      <c r="H899" s="383">
        <v>-1</v>
      </c>
      <c r="I899" s="1046">
        <v>0</v>
      </c>
      <c r="J899" s="1047"/>
      <c r="K899" s="383">
        <v>0</v>
      </c>
      <c r="L899" s="383">
        <v>-1</v>
      </c>
    </row>
    <row r="900" spans="2:12">
      <c r="B900" s="1050"/>
      <c r="C900" s="1050"/>
      <c r="D900" s="382" t="s">
        <v>2595</v>
      </c>
      <c r="E900" s="382" t="s">
        <v>2253</v>
      </c>
      <c r="F900" s="382" t="s">
        <v>2342</v>
      </c>
      <c r="G900" s="382" t="s">
        <v>2355</v>
      </c>
      <c r="H900" s="383">
        <v>-17001.310000000001</v>
      </c>
      <c r="I900" s="1046">
        <v>22875.14</v>
      </c>
      <c r="J900" s="1047"/>
      <c r="K900" s="383">
        <v>217</v>
      </c>
      <c r="L900" s="383">
        <v>-39659.449999999997</v>
      </c>
    </row>
    <row r="901" spans="2:12">
      <c r="B901" s="1050"/>
      <c r="C901" s="1050"/>
      <c r="D901" s="382" t="s">
        <v>2596</v>
      </c>
      <c r="E901" s="382" t="s">
        <v>2254</v>
      </c>
      <c r="F901" s="382" t="s">
        <v>2342</v>
      </c>
      <c r="G901" s="382" t="s">
        <v>2355</v>
      </c>
      <c r="H901" s="383">
        <v>-615</v>
      </c>
      <c r="I901" s="1046">
        <v>3619.75</v>
      </c>
      <c r="J901" s="1047"/>
      <c r="K901" s="383">
        <v>0</v>
      </c>
      <c r="L901" s="383">
        <v>-4234.75</v>
      </c>
    </row>
    <row r="902" spans="2:12">
      <c r="B902" s="1050"/>
      <c r="C902" s="1051"/>
      <c r="D902" s="359" t="s">
        <v>12</v>
      </c>
      <c r="E902" s="359" t="s">
        <v>111</v>
      </c>
      <c r="F902" s="359" t="s">
        <v>111</v>
      </c>
      <c r="G902" s="359" t="s">
        <v>111</v>
      </c>
      <c r="H902" s="384">
        <v>-208276.16</v>
      </c>
      <c r="I902" s="1048">
        <v>26494.89</v>
      </c>
      <c r="J902" s="1047"/>
      <c r="K902" s="384">
        <v>217</v>
      </c>
      <c r="L902" s="384">
        <v>-234554.05</v>
      </c>
    </row>
    <row r="903" spans="2:12">
      <c r="B903" s="1050"/>
      <c r="C903" s="1049" t="s">
        <v>2597</v>
      </c>
      <c r="D903" s="382" t="s">
        <v>2598</v>
      </c>
      <c r="E903" s="382" t="s">
        <v>2010</v>
      </c>
      <c r="F903" s="382" t="s">
        <v>2342</v>
      </c>
      <c r="G903" s="382" t="s">
        <v>2343</v>
      </c>
      <c r="H903" s="383">
        <v>-197150.98</v>
      </c>
      <c r="I903" s="1046">
        <v>42333.75</v>
      </c>
      <c r="J903" s="1047"/>
      <c r="K903" s="383">
        <v>269723.52000000002</v>
      </c>
      <c r="L903" s="383">
        <v>30238.79</v>
      </c>
    </row>
    <row r="904" spans="2:12">
      <c r="B904" s="1050"/>
      <c r="C904" s="1050"/>
      <c r="D904" s="382" t="s">
        <v>2598</v>
      </c>
      <c r="E904" s="382" t="s">
        <v>2010</v>
      </c>
      <c r="F904" s="382" t="s">
        <v>2342</v>
      </c>
      <c r="G904" s="382" t="s">
        <v>2344</v>
      </c>
      <c r="H904" s="383">
        <v>-60094.47</v>
      </c>
      <c r="I904" s="1046">
        <v>5332.22</v>
      </c>
      <c r="J904" s="1047"/>
      <c r="K904" s="383">
        <v>146876.51</v>
      </c>
      <c r="L904" s="383">
        <v>81449.820000000007</v>
      </c>
    </row>
    <row r="905" spans="2:12">
      <c r="B905" s="1050"/>
      <c r="C905" s="1050"/>
      <c r="D905" s="382" t="s">
        <v>2598</v>
      </c>
      <c r="E905" s="382" t="s">
        <v>2010</v>
      </c>
      <c r="F905" s="382" t="s">
        <v>2342</v>
      </c>
      <c r="G905" s="382" t="s">
        <v>2345</v>
      </c>
      <c r="H905" s="383">
        <v>-8291.01</v>
      </c>
      <c r="I905" s="1046">
        <v>9011.6</v>
      </c>
      <c r="J905" s="1047"/>
      <c r="K905" s="383">
        <v>100226.31</v>
      </c>
      <c r="L905" s="383">
        <v>82923.7</v>
      </c>
    </row>
    <row r="906" spans="2:12">
      <c r="B906" s="1050"/>
      <c r="C906" s="1050"/>
      <c r="D906" s="382" t="s">
        <v>2598</v>
      </c>
      <c r="E906" s="382" t="s">
        <v>2010</v>
      </c>
      <c r="F906" s="382" t="s">
        <v>2342</v>
      </c>
      <c r="G906" s="382" t="s">
        <v>2346</v>
      </c>
      <c r="H906" s="383">
        <v>-24230.880000000001</v>
      </c>
      <c r="I906" s="1046">
        <v>10821.35</v>
      </c>
      <c r="J906" s="1047"/>
      <c r="K906" s="383">
        <v>83191.55</v>
      </c>
      <c r="L906" s="383">
        <v>48139.32</v>
      </c>
    </row>
    <row r="907" spans="2:12">
      <c r="B907" s="1050"/>
      <c r="C907" s="1050"/>
      <c r="D907" s="382" t="s">
        <v>2598</v>
      </c>
      <c r="E907" s="382" t="s">
        <v>2010</v>
      </c>
      <c r="F907" s="382" t="s">
        <v>2342</v>
      </c>
      <c r="G907" s="382" t="s">
        <v>2347</v>
      </c>
      <c r="H907" s="383">
        <v>2952.34</v>
      </c>
      <c r="I907" s="1046">
        <v>25297.09</v>
      </c>
      <c r="J907" s="1047"/>
      <c r="K907" s="383">
        <v>182826.5</v>
      </c>
      <c r="L907" s="383">
        <v>160481.75</v>
      </c>
    </row>
    <row r="908" spans="2:12">
      <c r="B908" s="1050"/>
      <c r="C908" s="1050"/>
      <c r="D908" s="382" t="s">
        <v>2598</v>
      </c>
      <c r="E908" s="382" t="s">
        <v>2010</v>
      </c>
      <c r="F908" s="382" t="s">
        <v>2342</v>
      </c>
      <c r="G908" s="382" t="s">
        <v>2348</v>
      </c>
      <c r="H908" s="383">
        <v>-127269.39</v>
      </c>
      <c r="I908" s="1046">
        <v>21382.82</v>
      </c>
      <c r="J908" s="1047"/>
      <c r="K908" s="383">
        <v>231710.54</v>
      </c>
      <c r="L908" s="383">
        <v>83058.33</v>
      </c>
    </row>
    <row r="909" spans="2:12">
      <c r="B909" s="1050"/>
      <c r="C909" s="1050"/>
      <c r="D909" s="382" t="s">
        <v>2598</v>
      </c>
      <c r="E909" s="382" t="s">
        <v>2010</v>
      </c>
      <c r="F909" s="382" t="s">
        <v>2342</v>
      </c>
      <c r="G909" s="382" t="s">
        <v>2349</v>
      </c>
      <c r="H909" s="383">
        <v>-161393.28</v>
      </c>
      <c r="I909" s="1046">
        <v>62948.04</v>
      </c>
      <c r="J909" s="1047"/>
      <c r="K909" s="383">
        <v>232548.19</v>
      </c>
      <c r="L909" s="383">
        <v>8206.8700000000008</v>
      </c>
    </row>
    <row r="910" spans="2:12">
      <c r="B910" s="1050"/>
      <c r="C910" s="1050"/>
      <c r="D910" s="382" t="s">
        <v>2598</v>
      </c>
      <c r="E910" s="382" t="s">
        <v>2010</v>
      </c>
      <c r="F910" s="382" t="s">
        <v>2342</v>
      </c>
      <c r="G910" s="382" t="s">
        <v>2350</v>
      </c>
      <c r="H910" s="383">
        <v>-43101.31</v>
      </c>
      <c r="I910" s="1046">
        <v>46220.68</v>
      </c>
      <c r="J910" s="1047"/>
      <c r="K910" s="383">
        <v>190646.18</v>
      </c>
      <c r="L910" s="383">
        <v>101324.19</v>
      </c>
    </row>
    <row r="911" spans="2:12">
      <c r="B911" s="1050"/>
      <c r="C911" s="1050"/>
      <c r="D911" s="382" t="s">
        <v>2598</v>
      </c>
      <c r="E911" s="382" t="s">
        <v>2010</v>
      </c>
      <c r="F911" s="382" t="s">
        <v>2342</v>
      </c>
      <c r="G911" s="382" t="s">
        <v>2351</v>
      </c>
      <c r="H911" s="383">
        <v>-231060.04</v>
      </c>
      <c r="I911" s="1046">
        <v>39866.9</v>
      </c>
      <c r="J911" s="1047"/>
      <c r="K911" s="383">
        <v>50846.879999999997</v>
      </c>
      <c r="L911" s="383">
        <v>-220080.06</v>
      </c>
    </row>
    <row r="912" spans="2:12">
      <c r="B912" s="1050"/>
      <c r="C912" s="1050"/>
      <c r="D912" s="382" t="s">
        <v>2598</v>
      </c>
      <c r="E912" s="382" t="s">
        <v>2010</v>
      </c>
      <c r="F912" s="382" t="s">
        <v>2342</v>
      </c>
      <c r="G912" s="382" t="s">
        <v>2352</v>
      </c>
      <c r="H912" s="383">
        <v>-29310.38</v>
      </c>
      <c r="I912" s="1046">
        <v>14549.6</v>
      </c>
      <c r="J912" s="1047"/>
      <c r="K912" s="383">
        <v>104912.97</v>
      </c>
      <c r="L912" s="383">
        <v>61052.99</v>
      </c>
    </row>
    <row r="913" spans="2:12">
      <c r="B913" s="1050"/>
      <c r="C913" s="1050"/>
      <c r="D913" s="382" t="s">
        <v>2598</v>
      </c>
      <c r="E913" s="382" t="s">
        <v>2010</v>
      </c>
      <c r="F913" s="382" t="s">
        <v>2342</v>
      </c>
      <c r="G913" s="382" t="s">
        <v>2353</v>
      </c>
      <c r="H913" s="383">
        <v>-70830.34</v>
      </c>
      <c r="I913" s="1046">
        <v>13875.62</v>
      </c>
      <c r="J913" s="1047"/>
      <c r="K913" s="383">
        <v>169717.16</v>
      </c>
      <c r="L913" s="383">
        <v>85011.199999999997</v>
      </c>
    </row>
    <row r="914" spans="2:12">
      <c r="B914" s="1050"/>
      <c r="C914" s="1050"/>
      <c r="D914" s="382" t="s">
        <v>2598</v>
      </c>
      <c r="E914" s="382" t="s">
        <v>2010</v>
      </c>
      <c r="F914" s="382" t="s">
        <v>2342</v>
      </c>
      <c r="G914" s="382" t="s">
        <v>405</v>
      </c>
      <c r="H914" s="383">
        <v>-21600.57</v>
      </c>
      <c r="I914" s="1046">
        <v>15090.76</v>
      </c>
      <c r="J914" s="1047"/>
      <c r="K914" s="383">
        <v>132942.39999999999</v>
      </c>
      <c r="L914" s="383">
        <v>96251.07</v>
      </c>
    </row>
    <row r="915" spans="2:12">
      <c r="B915" s="1050"/>
      <c r="C915" s="1050"/>
      <c r="D915" s="382" t="s">
        <v>2598</v>
      </c>
      <c r="E915" s="382" t="s">
        <v>2010</v>
      </c>
      <c r="F915" s="382" t="s">
        <v>2342</v>
      </c>
      <c r="G915" s="382" t="s">
        <v>2354</v>
      </c>
      <c r="H915" s="383">
        <v>-21245</v>
      </c>
      <c r="I915" s="1046">
        <v>0</v>
      </c>
      <c r="J915" s="1047"/>
      <c r="K915" s="383">
        <v>21245</v>
      </c>
      <c r="L915" s="383">
        <v>0</v>
      </c>
    </row>
    <row r="916" spans="2:12">
      <c r="B916" s="1050"/>
      <c r="C916" s="1050"/>
      <c r="D916" s="382" t="s">
        <v>2599</v>
      </c>
      <c r="E916" s="382" t="s">
        <v>1981</v>
      </c>
      <c r="F916" s="382" t="s">
        <v>2342</v>
      </c>
      <c r="G916" s="382" t="s">
        <v>2343</v>
      </c>
      <c r="H916" s="383">
        <v>607.1</v>
      </c>
      <c r="I916" s="1046">
        <v>0</v>
      </c>
      <c r="J916" s="1047"/>
      <c r="K916" s="383">
        <v>0</v>
      </c>
      <c r="L916" s="383">
        <v>607.1</v>
      </c>
    </row>
    <row r="917" spans="2:12">
      <c r="B917" s="1050"/>
      <c r="C917" s="1050"/>
      <c r="D917" s="382" t="s">
        <v>2599</v>
      </c>
      <c r="E917" s="382" t="s">
        <v>1981</v>
      </c>
      <c r="F917" s="382" t="s">
        <v>2342</v>
      </c>
      <c r="G917" s="382" t="s">
        <v>2344</v>
      </c>
      <c r="H917" s="383">
        <v>618.91999999999996</v>
      </c>
      <c r="I917" s="1046">
        <v>0</v>
      </c>
      <c r="J917" s="1047"/>
      <c r="K917" s="383">
        <v>0</v>
      </c>
      <c r="L917" s="383">
        <v>618.91999999999996</v>
      </c>
    </row>
    <row r="918" spans="2:12">
      <c r="B918" s="1050"/>
      <c r="C918" s="1050"/>
      <c r="D918" s="382" t="s">
        <v>2599</v>
      </c>
      <c r="E918" s="382" t="s">
        <v>1981</v>
      </c>
      <c r="F918" s="382" t="s">
        <v>2342</v>
      </c>
      <c r="G918" s="382" t="s">
        <v>2345</v>
      </c>
      <c r="H918" s="383">
        <v>524.41</v>
      </c>
      <c r="I918" s="1046">
        <v>0</v>
      </c>
      <c r="J918" s="1047"/>
      <c r="K918" s="383">
        <v>0</v>
      </c>
      <c r="L918" s="383">
        <v>524.41</v>
      </c>
    </row>
    <row r="919" spans="2:12">
      <c r="B919" s="1050"/>
      <c r="C919" s="1050"/>
      <c r="D919" s="382" t="s">
        <v>2599</v>
      </c>
      <c r="E919" s="382" t="s">
        <v>1981</v>
      </c>
      <c r="F919" s="382" t="s">
        <v>2342</v>
      </c>
      <c r="G919" s="382" t="s">
        <v>2346</v>
      </c>
      <c r="H919" s="383">
        <v>382</v>
      </c>
      <c r="I919" s="1046">
        <v>0</v>
      </c>
      <c r="J919" s="1047"/>
      <c r="K919" s="383">
        <v>0</v>
      </c>
      <c r="L919" s="383">
        <v>382</v>
      </c>
    </row>
    <row r="920" spans="2:12">
      <c r="B920" s="1050"/>
      <c r="C920" s="1050"/>
      <c r="D920" s="382" t="s">
        <v>2599</v>
      </c>
      <c r="E920" s="382" t="s">
        <v>1981</v>
      </c>
      <c r="F920" s="382" t="s">
        <v>2342</v>
      </c>
      <c r="G920" s="382" t="s">
        <v>2347</v>
      </c>
      <c r="H920" s="383">
        <v>1232.1300000000001</v>
      </c>
      <c r="I920" s="1046">
        <v>0</v>
      </c>
      <c r="J920" s="1047"/>
      <c r="K920" s="383">
        <v>0</v>
      </c>
      <c r="L920" s="383">
        <v>1232.1300000000001</v>
      </c>
    </row>
    <row r="921" spans="2:12">
      <c r="B921" s="1050"/>
      <c r="C921" s="1050"/>
      <c r="D921" s="382" t="s">
        <v>2599</v>
      </c>
      <c r="E921" s="382" t="s">
        <v>1981</v>
      </c>
      <c r="F921" s="382" t="s">
        <v>2342</v>
      </c>
      <c r="G921" s="382" t="s">
        <v>2348</v>
      </c>
      <c r="H921" s="383">
        <v>722.27</v>
      </c>
      <c r="I921" s="1046">
        <v>0</v>
      </c>
      <c r="J921" s="1047"/>
      <c r="K921" s="383">
        <v>0</v>
      </c>
      <c r="L921" s="383">
        <v>722.27</v>
      </c>
    </row>
    <row r="922" spans="2:12">
      <c r="B922" s="1050"/>
      <c r="C922" s="1050"/>
      <c r="D922" s="382" t="s">
        <v>2599</v>
      </c>
      <c r="E922" s="382" t="s">
        <v>1981</v>
      </c>
      <c r="F922" s="382" t="s">
        <v>2342</v>
      </c>
      <c r="G922" s="382" t="s">
        <v>2349</v>
      </c>
      <c r="H922" s="383">
        <v>1033.7</v>
      </c>
      <c r="I922" s="1046">
        <v>0</v>
      </c>
      <c r="J922" s="1047"/>
      <c r="K922" s="383">
        <v>0</v>
      </c>
      <c r="L922" s="383">
        <v>1033.7</v>
      </c>
    </row>
    <row r="923" spans="2:12">
      <c r="B923" s="1050"/>
      <c r="C923" s="1050"/>
      <c r="D923" s="382" t="s">
        <v>2599</v>
      </c>
      <c r="E923" s="382" t="s">
        <v>1981</v>
      </c>
      <c r="F923" s="382" t="s">
        <v>2342</v>
      </c>
      <c r="G923" s="382" t="s">
        <v>2350</v>
      </c>
      <c r="H923" s="383">
        <v>1018.46</v>
      </c>
      <c r="I923" s="1046">
        <v>0</v>
      </c>
      <c r="J923" s="1047"/>
      <c r="K923" s="383">
        <v>0</v>
      </c>
      <c r="L923" s="383">
        <v>1018.46</v>
      </c>
    </row>
    <row r="924" spans="2:12">
      <c r="B924" s="1050"/>
      <c r="C924" s="1050"/>
      <c r="D924" s="382" t="s">
        <v>2599</v>
      </c>
      <c r="E924" s="382" t="s">
        <v>1981</v>
      </c>
      <c r="F924" s="382" t="s">
        <v>2342</v>
      </c>
      <c r="G924" s="382" t="s">
        <v>2351</v>
      </c>
      <c r="H924" s="383">
        <v>499.53</v>
      </c>
      <c r="I924" s="1046">
        <v>0</v>
      </c>
      <c r="J924" s="1047"/>
      <c r="K924" s="383">
        <v>0</v>
      </c>
      <c r="L924" s="383">
        <v>499.53</v>
      </c>
    </row>
    <row r="925" spans="2:12">
      <c r="B925" s="1050"/>
      <c r="C925" s="1050"/>
      <c r="D925" s="382" t="s">
        <v>2599</v>
      </c>
      <c r="E925" s="382" t="s">
        <v>1981</v>
      </c>
      <c r="F925" s="382" t="s">
        <v>2342</v>
      </c>
      <c r="G925" s="382" t="s">
        <v>2352</v>
      </c>
      <c r="H925" s="383">
        <v>536.96</v>
      </c>
      <c r="I925" s="1046">
        <v>0</v>
      </c>
      <c r="J925" s="1047"/>
      <c r="K925" s="383">
        <v>0</v>
      </c>
      <c r="L925" s="383">
        <v>536.96</v>
      </c>
    </row>
    <row r="926" spans="2:12">
      <c r="B926" s="1050"/>
      <c r="C926" s="1050"/>
      <c r="D926" s="382" t="s">
        <v>2599</v>
      </c>
      <c r="E926" s="382" t="s">
        <v>1981</v>
      </c>
      <c r="F926" s="382" t="s">
        <v>2342</v>
      </c>
      <c r="G926" s="382" t="s">
        <v>2353</v>
      </c>
      <c r="H926" s="383">
        <v>-19787.580000000002</v>
      </c>
      <c r="I926" s="1046">
        <v>225</v>
      </c>
      <c r="J926" s="1047"/>
      <c r="K926" s="383">
        <v>18999.080000000002</v>
      </c>
      <c r="L926" s="383">
        <v>-1013.5</v>
      </c>
    </row>
    <row r="927" spans="2:12">
      <c r="B927" s="1050"/>
      <c r="C927" s="1050"/>
      <c r="D927" s="382" t="s">
        <v>2599</v>
      </c>
      <c r="E927" s="382" t="s">
        <v>1981</v>
      </c>
      <c r="F927" s="382" t="s">
        <v>2342</v>
      </c>
      <c r="G927" s="382" t="s">
        <v>405</v>
      </c>
      <c r="H927" s="383">
        <v>559.54999999999995</v>
      </c>
      <c r="I927" s="1046">
        <v>0</v>
      </c>
      <c r="J927" s="1047"/>
      <c r="K927" s="383">
        <v>0</v>
      </c>
      <c r="L927" s="383">
        <v>559.54999999999995</v>
      </c>
    </row>
    <row r="928" spans="2:12">
      <c r="B928" s="1050"/>
      <c r="C928" s="1050"/>
      <c r="D928" s="382" t="s">
        <v>2600</v>
      </c>
      <c r="E928" s="382" t="s">
        <v>2011</v>
      </c>
      <c r="F928" s="382" t="s">
        <v>2342</v>
      </c>
      <c r="G928" s="382" t="s">
        <v>2343</v>
      </c>
      <c r="H928" s="383">
        <v>-19763.87</v>
      </c>
      <c r="I928" s="1046">
        <v>15212.71</v>
      </c>
      <c r="J928" s="1047"/>
      <c r="K928" s="383">
        <v>92988.21</v>
      </c>
      <c r="L928" s="383">
        <v>58011.63</v>
      </c>
    </row>
    <row r="929" spans="2:12">
      <c r="B929" s="1050"/>
      <c r="C929" s="1050"/>
      <c r="D929" s="382" t="s">
        <v>2600</v>
      </c>
      <c r="E929" s="382" t="s">
        <v>2011</v>
      </c>
      <c r="F929" s="382" t="s">
        <v>2342</v>
      </c>
      <c r="G929" s="382" t="s">
        <v>2344</v>
      </c>
      <c r="H929" s="383">
        <v>-62168.86</v>
      </c>
      <c r="I929" s="1046">
        <v>4511.78</v>
      </c>
      <c r="J929" s="1047"/>
      <c r="K929" s="383">
        <v>140878</v>
      </c>
      <c r="L929" s="383">
        <v>74197.36</v>
      </c>
    </row>
    <row r="930" spans="2:12">
      <c r="B930" s="1050"/>
      <c r="C930" s="1050"/>
      <c r="D930" s="382" t="s">
        <v>2600</v>
      </c>
      <c r="E930" s="382" t="s">
        <v>2011</v>
      </c>
      <c r="F930" s="382" t="s">
        <v>2342</v>
      </c>
      <c r="G930" s="382" t="s">
        <v>2345</v>
      </c>
      <c r="H930" s="383">
        <v>-56307.42</v>
      </c>
      <c r="I930" s="1046">
        <v>13391.77</v>
      </c>
      <c r="J930" s="1047"/>
      <c r="K930" s="383">
        <v>127745.28</v>
      </c>
      <c r="L930" s="383">
        <v>58046.09</v>
      </c>
    </row>
    <row r="931" spans="2:12">
      <c r="B931" s="1050"/>
      <c r="C931" s="1050"/>
      <c r="D931" s="382" t="s">
        <v>2600</v>
      </c>
      <c r="E931" s="382" t="s">
        <v>2011</v>
      </c>
      <c r="F931" s="382" t="s">
        <v>2342</v>
      </c>
      <c r="G931" s="382" t="s">
        <v>2346</v>
      </c>
      <c r="H931" s="383">
        <v>116777.27</v>
      </c>
      <c r="I931" s="1046">
        <v>7595.57</v>
      </c>
      <c r="J931" s="1047"/>
      <c r="K931" s="383">
        <v>58126.23</v>
      </c>
      <c r="L931" s="383">
        <v>167307.93</v>
      </c>
    </row>
    <row r="932" spans="2:12">
      <c r="B932" s="1050"/>
      <c r="C932" s="1050"/>
      <c r="D932" s="382" t="s">
        <v>2600</v>
      </c>
      <c r="E932" s="382" t="s">
        <v>2011</v>
      </c>
      <c r="F932" s="382" t="s">
        <v>2342</v>
      </c>
      <c r="G932" s="382" t="s">
        <v>2347</v>
      </c>
      <c r="H932" s="383">
        <v>-66956.09</v>
      </c>
      <c r="I932" s="1046">
        <v>9199.64</v>
      </c>
      <c r="J932" s="1047"/>
      <c r="K932" s="383">
        <v>266507.28999999998</v>
      </c>
      <c r="L932" s="383">
        <v>190351.56</v>
      </c>
    </row>
    <row r="933" spans="2:12">
      <c r="B933" s="1050"/>
      <c r="C933" s="1050"/>
      <c r="D933" s="382" t="s">
        <v>2600</v>
      </c>
      <c r="E933" s="382" t="s">
        <v>2011</v>
      </c>
      <c r="F933" s="382" t="s">
        <v>2342</v>
      </c>
      <c r="G933" s="382" t="s">
        <v>2348</v>
      </c>
      <c r="H933" s="383">
        <v>-75695.14</v>
      </c>
      <c r="I933" s="1046">
        <v>21925.11</v>
      </c>
      <c r="J933" s="1047"/>
      <c r="K933" s="383">
        <v>173627.38</v>
      </c>
      <c r="L933" s="383">
        <v>76007.13</v>
      </c>
    </row>
    <row r="934" spans="2:12">
      <c r="B934" s="1050"/>
      <c r="C934" s="1050"/>
      <c r="D934" s="382" t="s">
        <v>2600</v>
      </c>
      <c r="E934" s="382" t="s">
        <v>2011</v>
      </c>
      <c r="F934" s="382" t="s">
        <v>2342</v>
      </c>
      <c r="G934" s="382" t="s">
        <v>2349</v>
      </c>
      <c r="H934" s="383">
        <v>-37723.01</v>
      </c>
      <c r="I934" s="1046">
        <v>18739.009999999998</v>
      </c>
      <c r="J934" s="1047"/>
      <c r="K934" s="383">
        <v>181725.47</v>
      </c>
      <c r="L934" s="383">
        <v>125263.45</v>
      </c>
    </row>
    <row r="935" spans="2:12">
      <c r="B935" s="1050"/>
      <c r="C935" s="1050"/>
      <c r="D935" s="382" t="s">
        <v>2600</v>
      </c>
      <c r="E935" s="382" t="s">
        <v>2011</v>
      </c>
      <c r="F935" s="382" t="s">
        <v>2342</v>
      </c>
      <c r="G935" s="382" t="s">
        <v>2350</v>
      </c>
      <c r="H935" s="383">
        <v>-219378.46</v>
      </c>
      <c r="I935" s="1046">
        <v>19832.84</v>
      </c>
      <c r="J935" s="1047"/>
      <c r="K935" s="383">
        <v>328513</v>
      </c>
      <c r="L935" s="383">
        <v>89301.7</v>
      </c>
    </row>
    <row r="936" spans="2:12">
      <c r="B936" s="1050"/>
      <c r="C936" s="1050"/>
      <c r="D936" s="382" t="s">
        <v>2600</v>
      </c>
      <c r="E936" s="382" t="s">
        <v>2011</v>
      </c>
      <c r="F936" s="382" t="s">
        <v>2342</v>
      </c>
      <c r="G936" s="382" t="s">
        <v>2351</v>
      </c>
      <c r="H936" s="383">
        <v>-134615.51999999999</v>
      </c>
      <c r="I936" s="1046">
        <v>49363.31</v>
      </c>
      <c r="J936" s="1047"/>
      <c r="K936" s="383">
        <v>152395.38</v>
      </c>
      <c r="L936" s="383">
        <v>-31583.45</v>
      </c>
    </row>
    <row r="937" spans="2:12">
      <c r="B937" s="1050"/>
      <c r="C937" s="1050"/>
      <c r="D937" s="382" t="s">
        <v>2600</v>
      </c>
      <c r="E937" s="382" t="s">
        <v>2011</v>
      </c>
      <c r="F937" s="382" t="s">
        <v>2342</v>
      </c>
      <c r="G937" s="382" t="s">
        <v>2352</v>
      </c>
      <c r="H937" s="383">
        <v>165308.76</v>
      </c>
      <c r="I937" s="1046">
        <v>4536.1000000000004</v>
      </c>
      <c r="J937" s="1047"/>
      <c r="K937" s="383">
        <v>102016.69</v>
      </c>
      <c r="L937" s="383">
        <v>262789.34999999998</v>
      </c>
    </row>
    <row r="938" spans="2:12">
      <c r="B938" s="1050"/>
      <c r="C938" s="1050"/>
      <c r="D938" s="382" t="s">
        <v>2600</v>
      </c>
      <c r="E938" s="382" t="s">
        <v>2011</v>
      </c>
      <c r="F938" s="382" t="s">
        <v>2342</v>
      </c>
      <c r="G938" s="382" t="s">
        <v>2353</v>
      </c>
      <c r="H938" s="383">
        <v>-58802.95</v>
      </c>
      <c r="I938" s="1046">
        <v>5619.94</v>
      </c>
      <c r="J938" s="1047"/>
      <c r="K938" s="383">
        <v>194341.25</v>
      </c>
      <c r="L938" s="383">
        <v>129918.36</v>
      </c>
    </row>
    <row r="939" spans="2:12">
      <c r="B939" s="1050"/>
      <c r="C939" s="1050"/>
      <c r="D939" s="382" t="s">
        <v>2600</v>
      </c>
      <c r="E939" s="382" t="s">
        <v>2011</v>
      </c>
      <c r="F939" s="382" t="s">
        <v>2342</v>
      </c>
      <c r="G939" s="382" t="s">
        <v>405</v>
      </c>
      <c r="H939" s="383">
        <v>14772.13</v>
      </c>
      <c r="I939" s="1046">
        <v>11316.82</v>
      </c>
      <c r="J939" s="1047"/>
      <c r="K939" s="383">
        <v>86750.03</v>
      </c>
      <c r="L939" s="383">
        <v>90205.34</v>
      </c>
    </row>
    <row r="940" spans="2:12">
      <c r="B940" s="1050"/>
      <c r="C940" s="1050"/>
      <c r="D940" s="382" t="s">
        <v>2600</v>
      </c>
      <c r="E940" s="382" t="s">
        <v>2011</v>
      </c>
      <c r="F940" s="382" t="s">
        <v>2342</v>
      </c>
      <c r="G940" s="382" t="s">
        <v>2354</v>
      </c>
      <c r="H940" s="383">
        <v>-12920</v>
      </c>
      <c r="I940" s="1046">
        <v>0</v>
      </c>
      <c r="J940" s="1047"/>
      <c r="K940" s="383">
        <v>12320</v>
      </c>
      <c r="L940" s="383">
        <v>-600</v>
      </c>
    </row>
    <row r="941" spans="2:12">
      <c r="B941" s="1050"/>
      <c r="C941" s="1050"/>
      <c r="D941" s="382" t="s">
        <v>2601</v>
      </c>
      <c r="E941" s="382" t="s">
        <v>2012</v>
      </c>
      <c r="F941" s="382" t="s">
        <v>2342</v>
      </c>
      <c r="G941" s="382" t="s">
        <v>2343</v>
      </c>
      <c r="H941" s="383">
        <v>-160741.84</v>
      </c>
      <c r="I941" s="1046">
        <v>28553.71</v>
      </c>
      <c r="J941" s="1047"/>
      <c r="K941" s="383">
        <v>146758.82999999999</v>
      </c>
      <c r="L941" s="383">
        <v>-42536.72</v>
      </c>
    </row>
    <row r="942" spans="2:12">
      <c r="B942" s="1050"/>
      <c r="C942" s="1050"/>
      <c r="D942" s="382" t="s">
        <v>2601</v>
      </c>
      <c r="E942" s="382" t="s">
        <v>2012</v>
      </c>
      <c r="F942" s="382" t="s">
        <v>2342</v>
      </c>
      <c r="G942" s="382" t="s">
        <v>2344</v>
      </c>
      <c r="H942" s="383">
        <v>-76809.539999999994</v>
      </c>
      <c r="I942" s="1046">
        <v>4173.07</v>
      </c>
      <c r="J942" s="1047"/>
      <c r="K942" s="383">
        <v>156239.13</v>
      </c>
      <c r="L942" s="383">
        <v>75256.52</v>
      </c>
    </row>
    <row r="943" spans="2:12">
      <c r="B943" s="1050"/>
      <c r="C943" s="1050"/>
      <c r="D943" s="382" t="s">
        <v>2601</v>
      </c>
      <c r="E943" s="382" t="s">
        <v>2012</v>
      </c>
      <c r="F943" s="382" t="s">
        <v>2342</v>
      </c>
      <c r="G943" s="382" t="s">
        <v>2345</v>
      </c>
      <c r="H943" s="383">
        <v>-1291.32</v>
      </c>
      <c r="I943" s="1046">
        <v>7941.87</v>
      </c>
      <c r="J943" s="1047"/>
      <c r="K943" s="383">
        <v>64686.32</v>
      </c>
      <c r="L943" s="383">
        <v>55453.13</v>
      </c>
    </row>
    <row r="944" spans="2:12">
      <c r="B944" s="1050"/>
      <c r="C944" s="1050"/>
      <c r="D944" s="382" t="s">
        <v>2601</v>
      </c>
      <c r="E944" s="382" t="s">
        <v>2012</v>
      </c>
      <c r="F944" s="382" t="s">
        <v>2342</v>
      </c>
      <c r="G944" s="382" t="s">
        <v>2346</v>
      </c>
      <c r="H944" s="383">
        <v>-59850.22</v>
      </c>
      <c r="I944" s="1046">
        <v>6034.18</v>
      </c>
      <c r="J944" s="1047"/>
      <c r="K944" s="383">
        <v>113968.75</v>
      </c>
      <c r="L944" s="383">
        <v>48084.35</v>
      </c>
    </row>
    <row r="945" spans="2:12">
      <c r="B945" s="1050"/>
      <c r="C945" s="1050"/>
      <c r="D945" s="382" t="s">
        <v>2601</v>
      </c>
      <c r="E945" s="382" t="s">
        <v>2012</v>
      </c>
      <c r="F945" s="382" t="s">
        <v>2342</v>
      </c>
      <c r="G945" s="382" t="s">
        <v>2347</v>
      </c>
      <c r="H945" s="383">
        <v>-88917.68</v>
      </c>
      <c r="I945" s="1046">
        <v>24864.61</v>
      </c>
      <c r="J945" s="1047"/>
      <c r="K945" s="383">
        <v>235052.08</v>
      </c>
      <c r="L945" s="383">
        <v>121269.79</v>
      </c>
    </row>
    <row r="946" spans="2:12">
      <c r="B946" s="1050"/>
      <c r="C946" s="1050"/>
      <c r="D946" s="382" t="s">
        <v>2601</v>
      </c>
      <c r="E946" s="382" t="s">
        <v>2012</v>
      </c>
      <c r="F946" s="382" t="s">
        <v>2342</v>
      </c>
      <c r="G946" s="382" t="s">
        <v>2348</v>
      </c>
      <c r="H946" s="383">
        <v>-23502.71</v>
      </c>
      <c r="I946" s="1046">
        <v>4592.7700000000004</v>
      </c>
      <c r="J946" s="1047"/>
      <c r="K946" s="383">
        <v>136676.31</v>
      </c>
      <c r="L946" s="383">
        <v>108580.83</v>
      </c>
    </row>
    <row r="947" spans="2:12">
      <c r="B947" s="1050"/>
      <c r="C947" s="1050"/>
      <c r="D947" s="382" t="s">
        <v>2601</v>
      </c>
      <c r="E947" s="382" t="s">
        <v>2012</v>
      </c>
      <c r="F947" s="382" t="s">
        <v>2342</v>
      </c>
      <c r="G947" s="382" t="s">
        <v>2349</v>
      </c>
      <c r="H947" s="383">
        <v>-317003.84999999998</v>
      </c>
      <c r="I947" s="1046">
        <v>46734.2</v>
      </c>
      <c r="J947" s="1047"/>
      <c r="K947" s="383">
        <v>315342.02</v>
      </c>
      <c r="L947" s="383">
        <v>-48396.03</v>
      </c>
    </row>
    <row r="948" spans="2:12">
      <c r="B948" s="1050"/>
      <c r="C948" s="1050"/>
      <c r="D948" s="382" t="s">
        <v>2601</v>
      </c>
      <c r="E948" s="382" t="s">
        <v>2012</v>
      </c>
      <c r="F948" s="382" t="s">
        <v>2342</v>
      </c>
      <c r="G948" s="382" t="s">
        <v>2350</v>
      </c>
      <c r="H948" s="383">
        <v>25459.58</v>
      </c>
      <c r="I948" s="1046">
        <v>11307.71</v>
      </c>
      <c r="J948" s="1047"/>
      <c r="K948" s="383">
        <v>136359.66</v>
      </c>
      <c r="L948" s="383">
        <v>150511.53</v>
      </c>
    </row>
    <row r="949" spans="2:12">
      <c r="B949" s="1050"/>
      <c r="C949" s="1050"/>
      <c r="D949" s="382" t="s">
        <v>2601</v>
      </c>
      <c r="E949" s="382" t="s">
        <v>2012</v>
      </c>
      <c r="F949" s="382" t="s">
        <v>2342</v>
      </c>
      <c r="G949" s="382" t="s">
        <v>2351</v>
      </c>
      <c r="H949" s="383">
        <v>-85043.93</v>
      </c>
      <c r="I949" s="1046">
        <v>3981.44</v>
      </c>
      <c r="J949" s="1047"/>
      <c r="K949" s="383">
        <v>141580.09</v>
      </c>
      <c r="L949" s="383">
        <v>52554.720000000001</v>
      </c>
    </row>
    <row r="950" spans="2:12">
      <c r="B950" s="1050"/>
      <c r="C950" s="1050"/>
      <c r="D950" s="382" t="s">
        <v>2601</v>
      </c>
      <c r="E950" s="382" t="s">
        <v>2012</v>
      </c>
      <c r="F950" s="382" t="s">
        <v>2342</v>
      </c>
      <c r="G950" s="382" t="s">
        <v>2352</v>
      </c>
      <c r="H950" s="383">
        <v>-114130.34</v>
      </c>
      <c r="I950" s="1046">
        <v>3683.96</v>
      </c>
      <c r="J950" s="1047"/>
      <c r="K950" s="383">
        <v>159072.75</v>
      </c>
      <c r="L950" s="383">
        <v>41258.449999999997</v>
      </c>
    </row>
    <row r="951" spans="2:12">
      <c r="B951" s="1050"/>
      <c r="C951" s="1050"/>
      <c r="D951" s="382" t="s">
        <v>2601</v>
      </c>
      <c r="E951" s="382" t="s">
        <v>2012</v>
      </c>
      <c r="F951" s="382" t="s">
        <v>2342</v>
      </c>
      <c r="G951" s="382" t="s">
        <v>2353</v>
      </c>
      <c r="H951" s="383">
        <v>-33042.32</v>
      </c>
      <c r="I951" s="1046">
        <v>15482.78</v>
      </c>
      <c r="J951" s="1047"/>
      <c r="K951" s="383">
        <v>143123.6</v>
      </c>
      <c r="L951" s="383">
        <v>94598.5</v>
      </c>
    </row>
    <row r="952" spans="2:12">
      <c r="B952" s="1050"/>
      <c r="C952" s="1050"/>
      <c r="D952" s="382" t="s">
        <v>2601</v>
      </c>
      <c r="E952" s="382" t="s">
        <v>2012</v>
      </c>
      <c r="F952" s="382" t="s">
        <v>2342</v>
      </c>
      <c r="G952" s="382" t="s">
        <v>405</v>
      </c>
      <c r="H952" s="383">
        <v>20089.55</v>
      </c>
      <c r="I952" s="1046">
        <v>2334.44</v>
      </c>
      <c r="J952" s="1047"/>
      <c r="K952" s="383">
        <v>73723.649999999994</v>
      </c>
      <c r="L952" s="383">
        <v>91478.76</v>
      </c>
    </row>
    <row r="953" spans="2:12">
      <c r="B953" s="1050"/>
      <c r="C953" s="1050"/>
      <c r="D953" s="382" t="s">
        <v>2601</v>
      </c>
      <c r="E953" s="382" t="s">
        <v>2012</v>
      </c>
      <c r="F953" s="382" t="s">
        <v>2342</v>
      </c>
      <c r="G953" s="382" t="s">
        <v>2354</v>
      </c>
      <c r="H953" s="383">
        <v>-5050</v>
      </c>
      <c r="I953" s="1046">
        <v>0</v>
      </c>
      <c r="J953" s="1047"/>
      <c r="K953" s="383">
        <v>5050</v>
      </c>
      <c r="L953" s="383">
        <v>0</v>
      </c>
    </row>
    <row r="954" spans="2:12">
      <c r="B954" s="1050"/>
      <c r="C954" s="1050"/>
      <c r="D954" s="382" t="s">
        <v>2602</v>
      </c>
      <c r="E954" s="382" t="s">
        <v>2013</v>
      </c>
      <c r="F954" s="382" t="s">
        <v>2342</v>
      </c>
      <c r="G954" s="382" t="s">
        <v>2343</v>
      </c>
      <c r="H954" s="383">
        <v>-109220.31</v>
      </c>
      <c r="I954" s="1046">
        <v>1680.51</v>
      </c>
      <c r="J954" s="1047"/>
      <c r="K954" s="383">
        <v>189748.91</v>
      </c>
      <c r="L954" s="383">
        <v>78848.09</v>
      </c>
    </row>
    <row r="955" spans="2:12">
      <c r="B955" s="1050"/>
      <c r="C955" s="1050"/>
      <c r="D955" s="382" t="s">
        <v>2602</v>
      </c>
      <c r="E955" s="382" t="s">
        <v>2013</v>
      </c>
      <c r="F955" s="382" t="s">
        <v>2342</v>
      </c>
      <c r="G955" s="382" t="s">
        <v>2344</v>
      </c>
      <c r="H955" s="383">
        <v>-79289.679999999993</v>
      </c>
      <c r="I955" s="1046">
        <v>0</v>
      </c>
      <c r="J955" s="1047"/>
      <c r="K955" s="383">
        <v>200322.78</v>
      </c>
      <c r="L955" s="383">
        <v>121033.1</v>
      </c>
    </row>
    <row r="956" spans="2:12">
      <c r="B956" s="1050"/>
      <c r="C956" s="1050"/>
      <c r="D956" s="382" t="s">
        <v>2602</v>
      </c>
      <c r="E956" s="382" t="s">
        <v>2013</v>
      </c>
      <c r="F956" s="382" t="s">
        <v>2342</v>
      </c>
      <c r="G956" s="382" t="s">
        <v>2345</v>
      </c>
      <c r="H956" s="383">
        <v>-84761.24</v>
      </c>
      <c r="I956" s="1046">
        <v>27990.52</v>
      </c>
      <c r="J956" s="1047"/>
      <c r="K956" s="383">
        <v>188020.28</v>
      </c>
      <c r="L956" s="383">
        <v>75268.52</v>
      </c>
    </row>
    <row r="957" spans="2:12">
      <c r="B957" s="1050"/>
      <c r="C957" s="1050"/>
      <c r="D957" s="382" t="s">
        <v>2602</v>
      </c>
      <c r="E957" s="382" t="s">
        <v>2013</v>
      </c>
      <c r="F957" s="382" t="s">
        <v>2342</v>
      </c>
      <c r="G957" s="382" t="s">
        <v>2346</v>
      </c>
      <c r="H957" s="383">
        <v>-159570.75</v>
      </c>
      <c r="I957" s="1046">
        <v>223.11</v>
      </c>
      <c r="J957" s="1047"/>
      <c r="K957" s="383">
        <v>140567.23000000001</v>
      </c>
      <c r="L957" s="383">
        <v>-19226.63</v>
      </c>
    </row>
    <row r="958" spans="2:12">
      <c r="B958" s="1050"/>
      <c r="C958" s="1050"/>
      <c r="D958" s="382" t="s">
        <v>2602</v>
      </c>
      <c r="E958" s="382" t="s">
        <v>2013</v>
      </c>
      <c r="F958" s="382" t="s">
        <v>2342</v>
      </c>
      <c r="G958" s="382" t="s">
        <v>2347</v>
      </c>
      <c r="H958" s="383">
        <v>94489.39</v>
      </c>
      <c r="I958" s="1046">
        <v>1189.6400000000001</v>
      </c>
      <c r="J958" s="1047"/>
      <c r="K958" s="383">
        <v>251158.35</v>
      </c>
      <c r="L958" s="383">
        <v>344458.1</v>
      </c>
    </row>
    <row r="959" spans="2:12">
      <c r="B959" s="1050"/>
      <c r="C959" s="1050"/>
      <c r="D959" s="382" t="s">
        <v>2602</v>
      </c>
      <c r="E959" s="382" t="s">
        <v>2013</v>
      </c>
      <c r="F959" s="382" t="s">
        <v>2342</v>
      </c>
      <c r="G959" s="382" t="s">
        <v>2348</v>
      </c>
      <c r="H959" s="383">
        <v>45700.97</v>
      </c>
      <c r="I959" s="1046">
        <v>6040.81</v>
      </c>
      <c r="J959" s="1047"/>
      <c r="K959" s="383">
        <v>145908.72</v>
      </c>
      <c r="L959" s="383">
        <v>185568.88</v>
      </c>
    </row>
    <row r="960" spans="2:12">
      <c r="B960" s="1050"/>
      <c r="C960" s="1050"/>
      <c r="D960" s="382" t="s">
        <v>2602</v>
      </c>
      <c r="E960" s="382" t="s">
        <v>2013</v>
      </c>
      <c r="F960" s="382" t="s">
        <v>2342</v>
      </c>
      <c r="G960" s="382" t="s">
        <v>2349</v>
      </c>
      <c r="H960" s="383">
        <v>-253369.11</v>
      </c>
      <c r="I960" s="1046">
        <v>37614.35</v>
      </c>
      <c r="J960" s="1047"/>
      <c r="K960" s="383">
        <v>481283.52</v>
      </c>
      <c r="L960" s="383">
        <v>190300.06</v>
      </c>
    </row>
    <row r="961" spans="2:12">
      <c r="B961" s="1050"/>
      <c r="C961" s="1050"/>
      <c r="D961" s="382" t="s">
        <v>2602</v>
      </c>
      <c r="E961" s="382" t="s">
        <v>2013</v>
      </c>
      <c r="F961" s="382" t="s">
        <v>2342</v>
      </c>
      <c r="G961" s="382" t="s">
        <v>2350</v>
      </c>
      <c r="H961" s="383">
        <v>-185538.39</v>
      </c>
      <c r="I961" s="1046">
        <v>10631.61</v>
      </c>
      <c r="J961" s="1047"/>
      <c r="K961" s="383">
        <v>384074.29</v>
      </c>
      <c r="L961" s="383">
        <v>187904.29</v>
      </c>
    </row>
    <row r="962" spans="2:12">
      <c r="B962" s="1050"/>
      <c r="C962" s="1050"/>
      <c r="D962" s="382" t="s">
        <v>2602</v>
      </c>
      <c r="E962" s="382" t="s">
        <v>2013</v>
      </c>
      <c r="F962" s="382" t="s">
        <v>2342</v>
      </c>
      <c r="G962" s="382" t="s">
        <v>2351</v>
      </c>
      <c r="H962" s="383">
        <v>-22286.77</v>
      </c>
      <c r="I962" s="1046">
        <v>6307.1</v>
      </c>
      <c r="J962" s="1047"/>
      <c r="K962" s="383">
        <v>164967.17000000001</v>
      </c>
      <c r="L962" s="383">
        <v>136373.29999999999</v>
      </c>
    </row>
    <row r="963" spans="2:12">
      <c r="B963" s="1050"/>
      <c r="C963" s="1050"/>
      <c r="D963" s="382" t="s">
        <v>2602</v>
      </c>
      <c r="E963" s="382" t="s">
        <v>2013</v>
      </c>
      <c r="F963" s="382" t="s">
        <v>2342</v>
      </c>
      <c r="G963" s="382" t="s">
        <v>2352</v>
      </c>
      <c r="H963" s="383">
        <v>-252401.53</v>
      </c>
      <c r="I963" s="1046">
        <v>9587.4699999999993</v>
      </c>
      <c r="J963" s="1047"/>
      <c r="K963" s="383">
        <v>209892.65</v>
      </c>
      <c r="L963" s="383">
        <v>-52096.35</v>
      </c>
    </row>
    <row r="964" spans="2:12">
      <c r="B964" s="1050"/>
      <c r="C964" s="1050"/>
      <c r="D964" s="382" t="s">
        <v>2602</v>
      </c>
      <c r="E964" s="382" t="s">
        <v>2013</v>
      </c>
      <c r="F964" s="382" t="s">
        <v>2342</v>
      </c>
      <c r="G964" s="382" t="s">
        <v>2353</v>
      </c>
      <c r="H964" s="383">
        <v>33688.74</v>
      </c>
      <c r="I964" s="1046">
        <v>6559.32</v>
      </c>
      <c r="J964" s="1047"/>
      <c r="K964" s="383">
        <v>143767</v>
      </c>
      <c r="L964" s="383">
        <v>170896.42</v>
      </c>
    </row>
    <row r="965" spans="2:12">
      <c r="B965" s="1050"/>
      <c r="C965" s="1050"/>
      <c r="D965" s="382" t="s">
        <v>2602</v>
      </c>
      <c r="E965" s="382" t="s">
        <v>2013</v>
      </c>
      <c r="F965" s="382" t="s">
        <v>2342</v>
      </c>
      <c r="G965" s="382" t="s">
        <v>405</v>
      </c>
      <c r="H965" s="383">
        <v>78230.880000000005</v>
      </c>
      <c r="I965" s="1046">
        <v>0</v>
      </c>
      <c r="J965" s="1047"/>
      <c r="K965" s="383">
        <v>86933.54</v>
      </c>
      <c r="L965" s="383">
        <v>165164.42000000001</v>
      </c>
    </row>
    <row r="966" spans="2:12">
      <c r="B966" s="1050"/>
      <c r="C966" s="1050"/>
      <c r="D966" s="382" t="s">
        <v>2602</v>
      </c>
      <c r="E966" s="382" t="s">
        <v>2013</v>
      </c>
      <c r="F966" s="382" t="s">
        <v>2342</v>
      </c>
      <c r="G966" s="382" t="s">
        <v>2355</v>
      </c>
      <c r="H966" s="383">
        <v>-19629.25</v>
      </c>
      <c r="I966" s="1046">
        <v>21205083.07</v>
      </c>
      <c r="J966" s="1047"/>
      <c r="K966" s="383">
        <v>11196206.289999999</v>
      </c>
      <c r="L966" s="383">
        <f>H966+K966-I966</f>
        <v>-10028506.030000001</v>
      </c>
    </row>
    <row r="967" spans="2:12">
      <c r="B967" s="1050"/>
      <c r="C967" s="1050"/>
      <c r="D967" s="382" t="s">
        <v>2603</v>
      </c>
      <c r="E967" s="382" t="s">
        <v>2255</v>
      </c>
      <c r="F967" s="382" t="s">
        <v>2342</v>
      </c>
      <c r="G967" s="382" t="s">
        <v>2343</v>
      </c>
      <c r="H967" s="383">
        <v>16245.04</v>
      </c>
      <c r="I967" s="1046">
        <v>0</v>
      </c>
      <c r="J967" s="1047"/>
      <c r="K967" s="383">
        <v>0</v>
      </c>
      <c r="L967" s="383">
        <v>16245.04</v>
      </c>
    </row>
    <row r="968" spans="2:12">
      <c r="B968" s="1050"/>
      <c r="C968" s="1050"/>
      <c r="D968" s="382" t="s">
        <v>2603</v>
      </c>
      <c r="E968" s="382" t="s">
        <v>2255</v>
      </c>
      <c r="F968" s="382" t="s">
        <v>2342</v>
      </c>
      <c r="G968" s="382" t="s">
        <v>2344</v>
      </c>
      <c r="H968" s="383">
        <v>16561.22</v>
      </c>
      <c r="I968" s="1046">
        <v>0</v>
      </c>
      <c r="J968" s="1047"/>
      <c r="K968" s="383">
        <v>0</v>
      </c>
      <c r="L968" s="383">
        <v>16561.22</v>
      </c>
    </row>
    <row r="969" spans="2:12">
      <c r="B969" s="1050"/>
      <c r="C969" s="1050"/>
      <c r="D969" s="382" t="s">
        <v>2603</v>
      </c>
      <c r="E969" s="382" t="s">
        <v>2255</v>
      </c>
      <c r="F969" s="382" t="s">
        <v>2342</v>
      </c>
      <c r="G969" s="382" t="s">
        <v>2345</v>
      </c>
      <c r="H969" s="383">
        <v>14032.28</v>
      </c>
      <c r="I969" s="1046">
        <v>0</v>
      </c>
      <c r="J969" s="1047"/>
      <c r="K969" s="383">
        <v>0</v>
      </c>
      <c r="L969" s="383">
        <v>14032.28</v>
      </c>
    </row>
    <row r="970" spans="2:12">
      <c r="B970" s="1050"/>
      <c r="C970" s="1050"/>
      <c r="D970" s="382" t="s">
        <v>2603</v>
      </c>
      <c r="E970" s="382" t="s">
        <v>2255</v>
      </c>
      <c r="F970" s="382" t="s">
        <v>2342</v>
      </c>
      <c r="G970" s="382" t="s">
        <v>2346</v>
      </c>
      <c r="H970" s="383">
        <v>10221.790000000001</v>
      </c>
      <c r="I970" s="1046">
        <v>0</v>
      </c>
      <c r="J970" s="1047"/>
      <c r="K970" s="383">
        <v>0</v>
      </c>
      <c r="L970" s="383">
        <v>10221.790000000001</v>
      </c>
    </row>
    <row r="971" spans="2:12">
      <c r="B971" s="1050"/>
      <c r="C971" s="1050"/>
      <c r="D971" s="382" t="s">
        <v>2603</v>
      </c>
      <c r="E971" s="382" t="s">
        <v>2255</v>
      </c>
      <c r="F971" s="382" t="s">
        <v>2342</v>
      </c>
      <c r="G971" s="382" t="s">
        <v>2347</v>
      </c>
      <c r="H971" s="383">
        <v>32969.699999999997</v>
      </c>
      <c r="I971" s="1046">
        <v>0</v>
      </c>
      <c r="J971" s="1047"/>
      <c r="K971" s="383">
        <v>0</v>
      </c>
      <c r="L971" s="383">
        <v>32969.699999999997</v>
      </c>
    </row>
    <row r="972" spans="2:12">
      <c r="B972" s="1050"/>
      <c r="C972" s="1050"/>
      <c r="D972" s="382" t="s">
        <v>2603</v>
      </c>
      <c r="E972" s="382" t="s">
        <v>2255</v>
      </c>
      <c r="F972" s="382" t="s">
        <v>2342</v>
      </c>
      <c r="G972" s="382" t="s">
        <v>2348</v>
      </c>
      <c r="H972" s="383">
        <v>19326.7</v>
      </c>
      <c r="I972" s="1046">
        <v>0</v>
      </c>
      <c r="J972" s="1047"/>
      <c r="K972" s="383">
        <v>0</v>
      </c>
      <c r="L972" s="383">
        <v>19326.7</v>
      </c>
    </row>
    <row r="973" spans="2:12">
      <c r="B973" s="1050"/>
      <c r="C973" s="1050"/>
      <c r="D973" s="382" t="s">
        <v>2603</v>
      </c>
      <c r="E973" s="382" t="s">
        <v>2255</v>
      </c>
      <c r="F973" s="382" t="s">
        <v>2342</v>
      </c>
      <c r="G973" s="382" t="s">
        <v>2349</v>
      </c>
      <c r="H973" s="383">
        <v>27660.12</v>
      </c>
      <c r="I973" s="1046">
        <v>0</v>
      </c>
      <c r="J973" s="1047"/>
      <c r="K973" s="383">
        <v>0</v>
      </c>
      <c r="L973" s="383">
        <v>27660.12</v>
      </c>
    </row>
    <row r="974" spans="2:12">
      <c r="B974" s="1050"/>
      <c r="C974" s="1050"/>
      <c r="D974" s="382" t="s">
        <v>2603</v>
      </c>
      <c r="E974" s="382" t="s">
        <v>2255</v>
      </c>
      <c r="F974" s="382" t="s">
        <v>2342</v>
      </c>
      <c r="G974" s="382" t="s">
        <v>2350</v>
      </c>
      <c r="H974" s="383">
        <v>27252.26</v>
      </c>
      <c r="I974" s="1046">
        <v>0</v>
      </c>
      <c r="J974" s="1047"/>
      <c r="K974" s="383">
        <v>0</v>
      </c>
      <c r="L974" s="383">
        <v>27252.26</v>
      </c>
    </row>
    <row r="975" spans="2:12">
      <c r="B975" s="1050"/>
      <c r="C975" s="1050"/>
      <c r="D975" s="382" t="s">
        <v>2603</v>
      </c>
      <c r="E975" s="382" t="s">
        <v>2255</v>
      </c>
      <c r="F975" s="382" t="s">
        <v>2342</v>
      </c>
      <c r="G975" s="382" t="s">
        <v>2351</v>
      </c>
      <c r="H975" s="383">
        <v>13366.58</v>
      </c>
      <c r="I975" s="1046">
        <v>0</v>
      </c>
      <c r="J975" s="1047"/>
      <c r="K975" s="383">
        <v>0</v>
      </c>
      <c r="L975" s="383">
        <v>13366.58</v>
      </c>
    </row>
    <row r="976" spans="2:12">
      <c r="B976" s="1050"/>
      <c r="C976" s="1050"/>
      <c r="D976" s="382" t="s">
        <v>2603</v>
      </c>
      <c r="E976" s="382" t="s">
        <v>2255</v>
      </c>
      <c r="F976" s="382" t="s">
        <v>2342</v>
      </c>
      <c r="G976" s="382" t="s">
        <v>2352</v>
      </c>
      <c r="H976" s="383">
        <v>14368.06</v>
      </c>
      <c r="I976" s="1046">
        <v>0</v>
      </c>
      <c r="J976" s="1047"/>
      <c r="K976" s="383">
        <v>0</v>
      </c>
      <c r="L976" s="383">
        <v>14368.06</v>
      </c>
    </row>
    <row r="977" spans="2:16">
      <c r="B977" s="1050"/>
      <c r="C977" s="1050"/>
      <c r="D977" s="382" t="s">
        <v>2603</v>
      </c>
      <c r="E977" s="382" t="s">
        <v>2255</v>
      </c>
      <c r="F977" s="382" t="s">
        <v>2342</v>
      </c>
      <c r="G977" s="382" t="s">
        <v>2353</v>
      </c>
      <c r="H977" s="383">
        <v>17526.490000000002</v>
      </c>
      <c r="I977" s="1046">
        <v>0</v>
      </c>
      <c r="J977" s="1047"/>
      <c r="K977" s="383">
        <v>0</v>
      </c>
      <c r="L977" s="383">
        <v>17526.490000000002</v>
      </c>
    </row>
    <row r="978" spans="2:16">
      <c r="B978" s="1050"/>
      <c r="C978" s="1050"/>
      <c r="D978" s="382" t="s">
        <v>2603</v>
      </c>
      <c r="E978" s="382" t="s">
        <v>2255</v>
      </c>
      <c r="F978" s="382" t="s">
        <v>2342</v>
      </c>
      <c r="G978" s="382" t="s">
        <v>405</v>
      </c>
      <c r="H978" s="383">
        <v>9756.5400000000009</v>
      </c>
      <c r="I978" s="1046">
        <v>0</v>
      </c>
      <c r="J978" s="1047"/>
      <c r="K978" s="383">
        <v>0</v>
      </c>
      <c r="L978" s="383">
        <v>9756.5400000000009</v>
      </c>
    </row>
    <row r="979" spans="2:16">
      <c r="B979" s="1050"/>
      <c r="C979" s="1050"/>
      <c r="D979" s="382" t="s">
        <v>2603</v>
      </c>
      <c r="E979" s="382" t="s">
        <v>2255</v>
      </c>
      <c r="F979" s="382" t="s">
        <v>2342</v>
      </c>
      <c r="G979" s="382" t="s">
        <v>2355</v>
      </c>
      <c r="H979" s="383">
        <v>-314408.38</v>
      </c>
      <c r="I979" s="1046">
        <v>6771.99</v>
      </c>
      <c r="J979" s="1047"/>
      <c r="K979" s="383">
        <v>221236.1</v>
      </c>
      <c r="L979" s="383">
        <v>-99944.27</v>
      </c>
    </row>
    <row r="980" spans="2:16">
      <c r="B980" s="1050"/>
      <c r="C980" s="1050"/>
      <c r="D980" s="382" t="s">
        <v>2604</v>
      </c>
      <c r="E980" s="382" t="s">
        <v>2015</v>
      </c>
      <c r="F980" s="382" t="s">
        <v>2342</v>
      </c>
      <c r="G980" s="382" t="s">
        <v>2343</v>
      </c>
      <c r="H980" s="383">
        <v>-56338.84</v>
      </c>
      <c r="I980" s="1046">
        <v>45039.93</v>
      </c>
      <c r="J980" s="1047"/>
      <c r="K980" s="383">
        <v>104608.53</v>
      </c>
      <c r="L980" s="383">
        <v>3229.76</v>
      </c>
    </row>
    <row r="981" spans="2:16">
      <c r="B981" s="1050"/>
      <c r="C981" s="1050"/>
      <c r="D981" s="382" t="s">
        <v>2604</v>
      </c>
      <c r="E981" s="382" t="s">
        <v>2015</v>
      </c>
      <c r="F981" s="382" t="s">
        <v>2342</v>
      </c>
      <c r="G981" s="382" t="s">
        <v>2344</v>
      </c>
      <c r="H981" s="383">
        <v>87491.04</v>
      </c>
      <c r="I981" s="1046">
        <v>0</v>
      </c>
      <c r="J981" s="1047"/>
      <c r="K981" s="383">
        <v>13865.8</v>
      </c>
      <c r="L981" s="383">
        <v>101356.84</v>
      </c>
    </row>
    <row r="982" spans="2:16">
      <c r="B982" s="1050"/>
      <c r="C982" s="1050"/>
      <c r="D982" s="382" t="s">
        <v>2604</v>
      </c>
      <c r="E982" s="382" t="s">
        <v>2015</v>
      </c>
      <c r="F982" s="382" t="s">
        <v>2342</v>
      </c>
      <c r="G982" s="382" t="s">
        <v>2345</v>
      </c>
      <c r="H982" s="383">
        <v>-14124.13</v>
      </c>
      <c r="I982" s="1046">
        <v>0</v>
      </c>
      <c r="J982" s="1047"/>
      <c r="K982" s="383">
        <v>100003.51</v>
      </c>
      <c r="L982" s="383">
        <v>85879.38</v>
      </c>
    </row>
    <row r="983" spans="2:16">
      <c r="B983" s="1050"/>
      <c r="C983" s="1050"/>
      <c r="D983" s="382" t="s">
        <v>2604</v>
      </c>
      <c r="E983" s="382" t="s">
        <v>2015</v>
      </c>
      <c r="F983" s="382" t="s">
        <v>2342</v>
      </c>
      <c r="G983" s="382" t="s">
        <v>2346</v>
      </c>
      <c r="H983" s="383">
        <v>25340.87</v>
      </c>
      <c r="I983" s="1046">
        <v>0</v>
      </c>
      <c r="J983" s="1047"/>
      <c r="K983" s="383">
        <v>37217.81</v>
      </c>
      <c r="L983" s="383">
        <v>62558.68</v>
      </c>
    </row>
    <row r="984" spans="2:16">
      <c r="B984" s="1050"/>
      <c r="C984" s="1050"/>
      <c r="D984" s="382" t="s">
        <v>2604</v>
      </c>
      <c r="E984" s="382" t="s">
        <v>2015</v>
      </c>
      <c r="F984" s="382" t="s">
        <v>2342</v>
      </c>
      <c r="G984" s="382" t="s">
        <v>2347</v>
      </c>
      <c r="H984" s="383">
        <v>-318349.32</v>
      </c>
      <c r="I984" s="1046">
        <v>0</v>
      </c>
      <c r="J984" s="1047"/>
      <c r="K984" s="383">
        <v>520128.24</v>
      </c>
      <c r="L984" s="383">
        <v>201778.92</v>
      </c>
    </row>
    <row r="985" spans="2:16">
      <c r="B985" s="1050"/>
      <c r="C985" s="1050"/>
      <c r="D985" s="382" t="s">
        <v>2604</v>
      </c>
      <c r="E985" s="382" t="s">
        <v>2015</v>
      </c>
      <c r="F985" s="382" t="s">
        <v>2342</v>
      </c>
      <c r="G985" s="382" t="s">
        <v>2348</v>
      </c>
      <c r="H985" s="383">
        <v>-79238.740000000005</v>
      </c>
      <c r="I985" s="1046">
        <v>0</v>
      </c>
      <c r="J985" s="1047"/>
      <c r="K985" s="383">
        <v>175329.94</v>
      </c>
      <c r="L985" s="383">
        <v>96091.199999999997</v>
      </c>
    </row>
    <row r="986" spans="2:16">
      <c r="B986" s="1050"/>
      <c r="C986" s="1050"/>
      <c r="D986" s="382" t="s">
        <v>2604</v>
      </c>
      <c r="E986" s="382" t="s">
        <v>2015</v>
      </c>
      <c r="F986" s="382" t="s">
        <v>2342</v>
      </c>
      <c r="G986" s="382" t="s">
        <v>2349</v>
      </c>
      <c r="H986" s="383">
        <v>107489</v>
      </c>
      <c r="I986" s="1046">
        <v>0</v>
      </c>
      <c r="J986" s="1047"/>
      <c r="K986" s="383">
        <v>61794.58</v>
      </c>
      <c r="L986" s="383">
        <v>169283.58</v>
      </c>
    </row>
    <row r="987" spans="2:16">
      <c r="B987" s="1050"/>
      <c r="C987" s="1050"/>
      <c r="D987" s="382" t="s">
        <v>2604</v>
      </c>
      <c r="E987" s="382" t="s">
        <v>2015</v>
      </c>
      <c r="F987" s="382" t="s">
        <v>2342</v>
      </c>
      <c r="G987" s="382" t="s">
        <v>2350</v>
      </c>
      <c r="H987" s="383">
        <v>-108895.69</v>
      </c>
      <c r="I987" s="1046">
        <v>0</v>
      </c>
      <c r="J987" s="1047"/>
      <c r="K987" s="383">
        <v>275683.11</v>
      </c>
      <c r="L987" s="383">
        <v>166787.42000000001</v>
      </c>
    </row>
    <row r="988" spans="2:16">
      <c r="B988" s="1050"/>
      <c r="C988" s="1050"/>
      <c r="D988" s="382" t="s">
        <v>2604</v>
      </c>
      <c r="E988" s="382" t="s">
        <v>2015</v>
      </c>
      <c r="F988" s="382" t="s">
        <v>2342</v>
      </c>
      <c r="G988" s="382" t="s">
        <v>2351</v>
      </c>
      <c r="H988" s="383">
        <v>38027.64</v>
      </c>
      <c r="I988" s="1046">
        <v>0</v>
      </c>
      <c r="J988" s="1047"/>
      <c r="K988" s="383">
        <v>43777.62</v>
      </c>
      <c r="L988" s="383">
        <v>81805.259999999995</v>
      </c>
    </row>
    <row r="989" spans="2:16">
      <c r="B989" s="1050"/>
      <c r="C989" s="1050"/>
      <c r="D989" s="382" t="s">
        <v>2604</v>
      </c>
      <c r="E989" s="382" t="s">
        <v>2015</v>
      </c>
      <c r="F989" s="382" t="s">
        <v>2342</v>
      </c>
      <c r="G989" s="382" t="s">
        <v>2352</v>
      </c>
      <c r="H989" s="383">
        <v>28335.66</v>
      </c>
      <c r="I989" s="1046">
        <v>0</v>
      </c>
      <c r="J989" s="1047"/>
      <c r="K989" s="383">
        <v>59598.78</v>
      </c>
      <c r="L989" s="383">
        <v>87934.44</v>
      </c>
    </row>
    <row r="990" spans="2:16">
      <c r="B990" s="1050"/>
      <c r="C990" s="1050"/>
      <c r="D990" s="382" t="s">
        <v>2604</v>
      </c>
      <c r="E990" s="382" t="s">
        <v>2015</v>
      </c>
      <c r="F990" s="382" t="s">
        <v>2342</v>
      </c>
      <c r="G990" s="382" t="s">
        <v>2353</v>
      </c>
      <c r="H990" s="383">
        <v>-29307.85</v>
      </c>
      <c r="I990" s="1046">
        <v>14717.47</v>
      </c>
      <c r="J990" s="1047"/>
      <c r="K990" s="383">
        <v>119354.84</v>
      </c>
      <c r="L990" s="383">
        <v>75329.52</v>
      </c>
    </row>
    <row r="991" spans="2:16">
      <c r="B991" s="1050"/>
      <c r="C991" s="1050"/>
      <c r="D991" s="382" t="s">
        <v>2604</v>
      </c>
      <c r="E991" s="382" t="s">
        <v>2015</v>
      </c>
      <c r="F991" s="382" t="s">
        <v>2342</v>
      </c>
      <c r="G991" s="382" t="s">
        <v>405</v>
      </c>
      <c r="H991" s="383">
        <v>77511.42</v>
      </c>
      <c r="I991" s="1046">
        <v>0</v>
      </c>
      <c r="J991" s="1047"/>
      <c r="K991" s="383">
        <v>19337.61</v>
      </c>
      <c r="L991" s="383">
        <v>96849.03</v>
      </c>
    </row>
    <row r="992" spans="2:16">
      <c r="B992" s="1050"/>
      <c r="C992" s="1051"/>
      <c r="D992" s="359" t="s">
        <v>12</v>
      </c>
      <c r="E992" s="359" t="s">
        <v>111</v>
      </c>
      <c r="F992" s="359" t="s">
        <v>111</v>
      </c>
      <c r="G992" s="359" t="s">
        <v>111</v>
      </c>
      <c r="H992" s="384">
        <f>SUM(H903:H991)</f>
        <v>-3623123.2299999981</v>
      </c>
      <c r="I992" s="1048">
        <v>22027321.670000002</v>
      </c>
      <c r="J992" s="1047"/>
      <c r="K992" s="384">
        <v>20839714.77</v>
      </c>
      <c r="L992" s="384">
        <f>SUM(L903:L991)</f>
        <v>-4433677.5100000007</v>
      </c>
      <c r="N992" s="391"/>
      <c r="O992" s="391"/>
      <c r="P992" s="391"/>
    </row>
    <row r="993" spans="2:16">
      <c r="B993" s="1050"/>
      <c r="C993" s="1049" t="s">
        <v>2605</v>
      </c>
      <c r="D993" s="382" t="s">
        <v>2606</v>
      </c>
      <c r="E993" s="382" t="s">
        <v>2256</v>
      </c>
      <c r="F993" s="382" t="s">
        <v>2342</v>
      </c>
      <c r="G993" s="382" t="s">
        <v>2355</v>
      </c>
      <c r="H993" s="383">
        <v>-1073031.71</v>
      </c>
      <c r="I993" s="1046">
        <f>350726.7+176467</f>
        <v>527193.69999999995</v>
      </c>
      <c r="J993" s="1047"/>
      <c r="K993" s="383">
        <v>45110.9</v>
      </c>
      <c r="L993" s="383">
        <f>H993+K993-I993</f>
        <v>-1555114.5099999998</v>
      </c>
      <c r="N993" s="391"/>
      <c r="O993" s="391"/>
      <c r="P993" s="391">
        <f>O993-N993</f>
        <v>0</v>
      </c>
    </row>
    <row r="994" spans="2:16">
      <c r="B994" s="1050"/>
      <c r="C994" s="1051"/>
      <c r="D994" s="359" t="s">
        <v>12</v>
      </c>
      <c r="E994" s="359" t="s">
        <v>111</v>
      </c>
      <c r="F994" s="359" t="s">
        <v>111</v>
      </c>
      <c r="G994" s="359" t="s">
        <v>111</v>
      </c>
      <c r="H994" s="384">
        <f>H993</f>
        <v>-1073031.71</v>
      </c>
      <c r="I994" s="1048">
        <f>I993</f>
        <v>527193.69999999995</v>
      </c>
      <c r="J994" s="1047">
        <f>J993</f>
        <v>0</v>
      </c>
      <c r="K994" s="384">
        <f>K993</f>
        <v>45110.9</v>
      </c>
      <c r="L994" s="384">
        <f>L993</f>
        <v>-1555114.5099999998</v>
      </c>
      <c r="N994" s="391"/>
      <c r="O994" s="391"/>
      <c r="P994" s="391"/>
    </row>
    <row r="995" spans="2:16">
      <c r="B995" s="1050"/>
      <c r="C995" s="1049" t="s">
        <v>2607</v>
      </c>
      <c r="D995" s="382" t="s">
        <v>2608</v>
      </c>
      <c r="E995" s="382" t="s">
        <v>2257</v>
      </c>
      <c r="F995" s="382" t="s">
        <v>2342</v>
      </c>
      <c r="G995" s="382" t="s">
        <v>2355</v>
      </c>
      <c r="H995" s="383">
        <v>-610015.31999999995</v>
      </c>
      <c r="I995" s="1046">
        <v>5604.84</v>
      </c>
      <c r="J995" s="1047"/>
      <c r="K995" s="383">
        <v>0</v>
      </c>
      <c r="L995" s="383">
        <v>-615620.16</v>
      </c>
      <c r="N995" s="391"/>
      <c r="O995" s="391"/>
      <c r="P995" s="391"/>
    </row>
    <row r="996" spans="2:16">
      <c r="B996" s="1050"/>
      <c r="C996" s="1050"/>
      <c r="D996" s="382" t="s">
        <v>2609</v>
      </c>
      <c r="E996" s="382" t="s">
        <v>2258</v>
      </c>
      <c r="F996" s="382" t="s">
        <v>2342</v>
      </c>
      <c r="G996" s="382" t="s">
        <v>2355</v>
      </c>
      <c r="H996" s="383">
        <v>-2709294.86</v>
      </c>
      <c r="I996" s="1046">
        <f>501684.43+334158</f>
        <v>835842.42999999993</v>
      </c>
      <c r="J996" s="1047"/>
      <c r="K996" s="383">
        <v>600368.09</v>
      </c>
      <c r="L996" s="383">
        <f>H996+K996-I996</f>
        <v>-2944769.2</v>
      </c>
      <c r="N996" s="391"/>
      <c r="O996" s="391"/>
      <c r="P996" s="391">
        <f>O996-N996</f>
        <v>0</v>
      </c>
    </row>
    <row r="997" spans="2:16">
      <c r="B997" s="1050"/>
      <c r="C997" s="1050"/>
      <c r="D997" s="382" t="s">
        <v>2610</v>
      </c>
      <c r="E997" s="382" t="s">
        <v>2611</v>
      </c>
      <c r="F997" s="382" t="s">
        <v>2342</v>
      </c>
      <c r="G997" s="382" t="s">
        <v>2355</v>
      </c>
      <c r="H997" s="383">
        <v>-1347952.97</v>
      </c>
      <c r="I997" s="1046">
        <v>164285.01</v>
      </c>
      <c r="J997" s="1047"/>
      <c r="K997" s="383">
        <v>0</v>
      </c>
      <c r="L997" s="383">
        <v>-1512237.98</v>
      </c>
      <c r="N997" s="391"/>
      <c r="O997" s="391"/>
      <c r="P997" s="391">
        <f>P993+P996</f>
        <v>0</v>
      </c>
    </row>
    <row r="998" spans="2:16">
      <c r="B998" s="1050"/>
      <c r="C998" s="1050"/>
      <c r="D998" s="382" t="s">
        <v>2612</v>
      </c>
      <c r="E998" s="382" t="s">
        <v>2259</v>
      </c>
      <c r="F998" s="382" t="s">
        <v>2342</v>
      </c>
      <c r="G998" s="382" t="s">
        <v>2355</v>
      </c>
      <c r="H998" s="383">
        <v>-291531.37</v>
      </c>
      <c r="I998" s="1046">
        <v>15966.16</v>
      </c>
      <c r="J998" s="1047"/>
      <c r="K998" s="383">
        <v>0</v>
      </c>
      <c r="L998" s="383">
        <v>-307497.53000000003</v>
      </c>
      <c r="N998" s="391"/>
      <c r="O998" s="391"/>
      <c r="P998" s="391"/>
    </row>
    <row r="999" spans="2:16">
      <c r="B999" s="1050"/>
      <c r="C999" s="1051"/>
      <c r="D999" s="359" t="s">
        <v>12</v>
      </c>
      <c r="E999" s="359" t="s">
        <v>111</v>
      </c>
      <c r="F999" s="359" t="s">
        <v>111</v>
      </c>
      <c r="G999" s="359" t="s">
        <v>111</v>
      </c>
      <c r="H999" s="384">
        <f>SUM(H995:H998)</f>
        <v>-4958794.5199999996</v>
      </c>
      <c r="I999" s="1048">
        <f>SUM(I995:I998)</f>
        <v>1021698.44</v>
      </c>
      <c r="J999" s="1047">
        <f>SUM(J995:J998)</f>
        <v>0</v>
      </c>
      <c r="K999" s="384">
        <f>SUM(K995:K998)</f>
        <v>600368.09</v>
      </c>
      <c r="L999" s="384">
        <f>SUM(L995:L998)</f>
        <v>-5380124.8700000001</v>
      </c>
    </row>
    <row r="1000" spans="2:16">
      <c r="B1000" s="1050"/>
      <c r="C1000" s="1049" t="s">
        <v>2613</v>
      </c>
      <c r="D1000" s="382" t="s">
        <v>2614</v>
      </c>
      <c r="E1000" s="382" t="s">
        <v>2260</v>
      </c>
      <c r="F1000" s="382" t="s">
        <v>2342</v>
      </c>
      <c r="G1000" s="382" t="s">
        <v>2343</v>
      </c>
      <c r="H1000" s="383">
        <v>-241926.36</v>
      </c>
      <c r="I1000" s="1046">
        <v>123204.31</v>
      </c>
      <c r="J1000" s="1047"/>
      <c r="K1000" s="383">
        <v>0</v>
      </c>
      <c r="L1000" s="383">
        <v>-365130.67</v>
      </c>
    </row>
    <row r="1001" spans="2:16">
      <c r="B1001" s="1050"/>
      <c r="C1001" s="1050"/>
      <c r="D1001" s="382" t="s">
        <v>2614</v>
      </c>
      <c r="E1001" s="382" t="s">
        <v>2260</v>
      </c>
      <c r="F1001" s="382" t="s">
        <v>2342</v>
      </c>
      <c r="G1001" s="382" t="s">
        <v>2344</v>
      </c>
      <c r="H1001" s="383">
        <v>-229127.96</v>
      </c>
      <c r="I1001" s="1046">
        <v>112749.98</v>
      </c>
      <c r="J1001" s="1047"/>
      <c r="K1001" s="383">
        <v>0</v>
      </c>
      <c r="L1001" s="383">
        <v>-341877.94</v>
      </c>
    </row>
    <row r="1002" spans="2:16">
      <c r="B1002" s="1050"/>
      <c r="C1002" s="1050"/>
      <c r="D1002" s="382" t="s">
        <v>2614</v>
      </c>
      <c r="E1002" s="382" t="s">
        <v>2260</v>
      </c>
      <c r="F1002" s="382" t="s">
        <v>2342</v>
      </c>
      <c r="G1002" s="382" t="s">
        <v>2345</v>
      </c>
      <c r="H1002" s="383">
        <v>-158304.47</v>
      </c>
      <c r="I1002" s="1046">
        <v>87790.8</v>
      </c>
      <c r="J1002" s="1047"/>
      <c r="K1002" s="383">
        <v>0</v>
      </c>
      <c r="L1002" s="383">
        <v>-246095.27</v>
      </c>
    </row>
    <row r="1003" spans="2:16">
      <c r="B1003" s="1050"/>
      <c r="C1003" s="1050"/>
      <c r="D1003" s="382" t="s">
        <v>2614</v>
      </c>
      <c r="E1003" s="382" t="s">
        <v>2260</v>
      </c>
      <c r="F1003" s="382" t="s">
        <v>2342</v>
      </c>
      <c r="G1003" s="382" t="s">
        <v>2346</v>
      </c>
      <c r="H1003" s="383">
        <v>-159027</v>
      </c>
      <c r="I1003" s="1046">
        <v>94735</v>
      </c>
      <c r="J1003" s="1047"/>
      <c r="K1003" s="383">
        <v>0</v>
      </c>
      <c r="L1003" s="383">
        <v>-253762</v>
      </c>
    </row>
    <row r="1004" spans="2:16">
      <c r="B1004" s="1050"/>
      <c r="C1004" s="1050"/>
      <c r="D1004" s="382" t="s">
        <v>2614</v>
      </c>
      <c r="E1004" s="382" t="s">
        <v>2260</v>
      </c>
      <c r="F1004" s="382" t="s">
        <v>2342</v>
      </c>
      <c r="G1004" s="382" t="s">
        <v>2347</v>
      </c>
      <c r="H1004" s="383">
        <v>-372343.99</v>
      </c>
      <c r="I1004" s="1046">
        <v>175298.8</v>
      </c>
      <c r="J1004" s="1047"/>
      <c r="K1004" s="383">
        <v>0</v>
      </c>
      <c r="L1004" s="383">
        <v>-547642.79</v>
      </c>
    </row>
    <row r="1005" spans="2:16">
      <c r="B1005" s="1050"/>
      <c r="C1005" s="1050"/>
      <c r="D1005" s="382" t="s">
        <v>2614</v>
      </c>
      <c r="E1005" s="382" t="s">
        <v>2260</v>
      </c>
      <c r="F1005" s="382" t="s">
        <v>2342</v>
      </c>
      <c r="G1005" s="382" t="s">
        <v>2348</v>
      </c>
      <c r="H1005" s="383">
        <v>-203688.56</v>
      </c>
      <c r="I1005" s="1046">
        <v>100506.14</v>
      </c>
      <c r="J1005" s="1047"/>
      <c r="K1005" s="383">
        <v>0</v>
      </c>
      <c r="L1005" s="383">
        <v>-304194.7</v>
      </c>
    </row>
    <row r="1006" spans="2:16">
      <c r="B1006" s="1050"/>
      <c r="C1006" s="1050"/>
      <c r="D1006" s="382" t="s">
        <v>2614</v>
      </c>
      <c r="E1006" s="382" t="s">
        <v>2260</v>
      </c>
      <c r="F1006" s="382" t="s">
        <v>2342</v>
      </c>
      <c r="G1006" s="382" t="s">
        <v>2349</v>
      </c>
      <c r="H1006" s="383">
        <v>-297662.28000000003</v>
      </c>
      <c r="I1006" s="1046">
        <v>156074.14000000001</v>
      </c>
      <c r="J1006" s="1047"/>
      <c r="K1006" s="383">
        <v>0</v>
      </c>
      <c r="L1006" s="383">
        <v>-453736.42</v>
      </c>
    </row>
    <row r="1007" spans="2:16">
      <c r="B1007" s="1050"/>
      <c r="C1007" s="1050"/>
      <c r="D1007" s="382" t="s">
        <v>2614</v>
      </c>
      <c r="E1007" s="382" t="s">
        <v>2260</v>
      </c>
      <c r="F1007" s="382" t="s">
        <v>2342</v>
      </c>
      <c r="G1007" s="382" t="s">
        <v>2350</v>
      </c>
      <c r="H1007" s="383">
        <v>-377885.78</v>
      </c>
      <c r="I1007" s="1046">
        <v>190469.41</v>
      </c>
      <c r="J1007" s="1047"/>
      <c r="K1007" s="383">
        <v>0</v>
      </c>
      <c r="L1007" s="383">
        <v>-568355.18999999994</v>
      </c>
    </row>
    <row r="1008" spans="2:16">
      <c r="B1008" s="1050"/>
      <c r="C1008" s="1050"/>
      <c r="D1008" s="382" t="s">
        <v>2614</v>
      </c>
      <c r="E1008" s="382" t="s">
        <v>2260</v>
      </c>
      <c r="F1008" s="382" t="s">
        <v>2342</v>
      </c>
      <c r="G1008" s="382" t="s">
        <v>2351</v>
      </c>
      <c r="H1008" s="383">
        <v>-161436.5</v>
      </c>
      <c r="I1008" s="1046">
        <v>78386.25</v>
      </c>
      <c r="J1008" s="1047"/>
      <c r="K1008" s="383">
        <v>0</v>
      </c>
      <c r="L1008" s="383">
        <v>-239822.75</v>
      </c>
    </row>
    <row r="1009" spans="2:12">
      <c r="B1009" s="1050"/>
      <c r="C1009" s="1050"/>
      <c r="D1009" s="382" t="s">
        <v>2614</v>
      </c>
      <c r="E1009" s="382" t="s">
        <v>2260</v>
      </c>
      <c r="F1009" s="382" t="s">
        <v>2342</v>
      </c>
      <c r="G1009" s="382" t="s">
        <v>2352</v>
      </c>
      <c r="H1009" s="383">
        <v>-155668.72</v>
      </c>
      <c r="I1009" s="1046">
        <v>82018.36</v>
      </c>
      <c r="J1009" s="1047"/>
      <c r="K1009" s="383">
        <v>0</v>
      </c>
      <c r="L1009" s="383">
        <v>-237687.08</v>
      </c>
    </row>
    <row r="1010" spans="2:12">
      <c r="B1010" s="1050"/>
      <c r="C1010" s="1050"/>
      <c r="D1010" s="382" t="s">
        <v>2614</v>
      </c>
      <c r="E1010" s="382" t="s">
        <v>2260</v>
      </c>
      <c r="F1010" s="382" t="s">
        <v>2342</v>
      </c>
      <c r="G1010" s="382" t="s">
        <v>2353</v>
      </c>
      <c r="H1010" s="383">
        <v>-166600</v>
      </c>
      <c r="I1010" s="1046">
        <v>79319</v>
      </c>
      <c r="J1010" s="1047"/>
      <c r="K1010" s="383">
        <v>0</v>
      </c>
      <c r="L1010" s="383">
        <v>-245919</v>
      </c>
    </row>
    <row r="1011" spans="2:12">
      <c r="B1011" s="1050"/>
      <c r="C1011" s="1050"/>
      <c r="D1011" s="382" t="s">
        <v>2614</v>
      </c>
      <c r="E1011" s="382" t="s">
        <v>2260</v>
      </c>
      <c r="F1011" s="382" t="s">
        <v>2342</v>
      </c>
      <c r="G1011" s="382" t="s">
        <v>405</v>
      </c>
      <c r="H1011" s="383">
        <v>-91883.14</v>
      </c>
      <c r="I1011" s="1046">
        <v>47791.57</v>
      </c>
      <c r="J1011" s="1047"/>
      <c r="K1011" s="383">
        <v>0</v>
      </c>
      <c r="L1011" s="383">
        <v>-139674.71</v>
      </c>
    </row>
    <row r="1012" spans="2:12">
      <c r="B1012" s="1050"/>
      <c r="C1012" s="1050"/>
      <c r="D1012" s="382" t="s">
        <v>2614</v>
      </c>
      <c r="E1012" s="382" t="s">
        <v>2260</v>
      </c>
      <c r="F1012" s="382" t="s">
        <v>2342</v>
      </c>
      <c r="G1012" s="382" t="s">
        <v>2355</v>
      </c>
      <c r="H1012" s="383">
        <v>-18887919.84</v>
      </c>
      <c r="I1012" s="1046">
        <v>984709.77</v>
      </c>
      <c r="J1012" s="1047"/>
      <c r="K1012" s="383">
        <v>3482.95</v>
      </c>
      <c r="L1012" s="383">
        <v>-19869146.66</v>
      </c>
    </row>
    <row r="1013" spans="2:12">
      <c r="B1013" s="1050"/>
      <c r="C1013" s="1050"/>
      <c r="D1013" s="382" t="s">
        <v>2615</v>
      </c>
      <c r="E1013" s="382" t="s">
        <v>2261</v>
      </c>
      <c r="F1013" s="382" t="s">
        <v>2342</v>
      </c>
      <c r="G1013" s="382" t="s">
        <v>2343</v>
      </c>
      <c r="H1013" s="383">
        <v>-11310</v>
      </c>
      <c r="I1013" s="1046">
        <v>2850</v>
      </c>
      <c r="J1013" s="1047"/>
      <c r="K1013" s="383">
        <v>0</v>
      </c>
      <c r="L1013" s="383">
        <v>-14160</v>
      </c>
    </row>
    <row r="1014" spans="2:12">
      <c r="B1014" s="1050"/>
      <c r="C1014" s="1050"/>
      <c r="D1014" s="382" t="s">
        <v>2615</v>
      </c>
      <c r="E1014" s="382" t="s">
        <v>2261</v>
      </c>
      <c r="F1014" s="382" t="s">
        <v>2342</v>
      </c>
      <c r="G1014" s="382" t="s">
        <v>2344</v>
      </c>
      <c r="H1014" s="383">
        <v>-8000</v>
      </c>
      <c r="I1014" s="1046">
        <v>3540</v>
      </c>
      <c r="J1014" s="1047"/>
      <c r="K1014" s="383">
        <v>0</v>
      </c>
      <c r="L1014" s="383">
        <v>-11540</v>
      </c>
    </row>
    <row r="1015" spans="2:12">
      <c r="B1015" s="1050"/>
      <c r="C1015" s="1050"/>
      <c r="D1015" s="382" t="s">
        <v>2615</v>
      </c>
      <c r="E1015" s="382" t="s">
        <v>2261</v>
      </c>
      <c r="F1015" s="382" t="s">
        <v>2342</v>
      </c>
      <c r="G1015" s="382" t="s">
        <v>2345</v>
      </c>
      <c r="H1015" s="383">
        <v>-3165</v>
      </c>
      <c r="I1015" s="1046">
        <v>1925</v>
      </c>
      <c r="J1015" s="1047"/>
      <c r="K1015" s="383">
        <v>0</v>
      </c>
      <c r="L1015" s="383">
        <v>-5090</v>
      </c>
    </row>
    <row r="1016" spans="2:12">
      <c r="B1016" s="1050"/>
      <c r="C1016" s="1050"/>
      <c r="D1016" s="382" t="s">
        <v>2615</v>
      </c>
      <c r="E1016" s="382" t="s">
        <v>2261</v>
      </c>
      <c r="F1016" s="382" t="s">
        <v>2342</v>
      </c>
      <c r="G1016" s="382" t="s">
        <v>2346</v>
      </c>
      <c r="H1016" s="383">
        <v>-2780</v>
      </c>
      <c r="I1016" s="1046">
        <v>2000</v>
      </c>
      <c r="J1016" s="1047"/>
      <c r="K1016" s="383">
        <v>0</v>
      </c>
      <c r="L1016" s="383">
        <v>-4780</v>
      </c>
    </row>
    <row r="1017" spans="2:12">
      <c r="B1017" s="1050"/>
      <c r="C1017" s="1050"/>
      <c r="D1017" s="382" t="s">
        <v>2615</v>
      </c>
      <c r="E1017" s="382" t="s">
        <v>2261</v>
      </c>
      <c r="F1017" s="382" t="s">
        <v>2342</v>
      </c>
      <c r="G1017" s="382" t="s">
        <v>2347</v>
      </c>
      <c r="H1017" s="383">
        <v>-14636</v>
      </c>
      <c r="I1017" s="1046">
        <v>13586</v>
      </c>
      <c r="J1017" s="1047"/>
      <c r="K1017" s="383">
        <v>0</v>
      </c>
      <c r="L1017" s="383">
        <v>-28222</v>
      </c>
    </row>
    <row r="1018" spans="2:12">
      <c r="B1018" s="1050"/>
      <c r="C1018" s="1050"/>
      <c r="D1018" s="382" t="s">
        <v>2615</v>
      </c>
      <c r="E1018" s="382" t="s">
        <v>2261</v>
      </c>
      <c r="F1018" s="382" t="s">
        <v>2342</v>
      </c>
      <c r="G1018" s="382" t="s">
        <v>2348</v>
      </c>
      <c r="H1018" s="383">
        <v>-8260</v>
      </c>
      <c r="I1018" s="1046">
        <v>2780</v>
      </c>
      <c r="J1018" s="1047"/>
      <c r="K1018" s="383">
        <v>0</v>
      </c>
      <c r="L1018" s="383">
        <v>-11040</v>
      </c>
    </row>
    <row r="1019" spans="2:12">
      <c r="B1019" s="1050"/>
      <c r="C1019" s="1050"/>
      <c r="D1019" s="382" t="s">
        <v>2615</v>
      </c>
      <c r="E1019" s="382" t="s">
        <v>2261</v>
      </c>
      <c r="F1019" s="382" t="s">
        <v>2342</v>
      </c>
      <c r="G1019" s="382" t="s">
        <v>2349</v>
      </c>
      <c r="H1019" s="383">
        <v>-11000</v>
      </c>
      <c r="I1019" s="1046">
        <v>5950</v>
      </c>
      <c r="J1019" s="1047"/>
      <c r="K1019" s="383">
        <v>0</v>
      </c>
      <c r="L1019" s="383">
        <v>-16950</v>
      </c>
    </row>
    <row r="1020" spans="2:12">
      <c r="B1020" s="1050"/>
      <c r="C1020" s="1050"/>
      <c r="D1020" s="382" t="s">
        <v>2615</v>
      </c>
      <c r="E1020" s="382" t="s">
        <v>2261</v>
      </c>
      <c r="F1020" s="382" t="s">
        <v>2342</v>
      </c>
      <c r="G1020" s="382" t="s">
        <v>2350</v>
      </c>
      <c r="H1020" s="383">
        <v>-14545</v>
      </c>
      <c r="I1020" s="1046">
        <v>5600</v>
      </c>
      <c r="J1020" s="1047"/>
      <c r="K1020" s="383">
        <v>0</v>
      </c>
      <c r="L1020" s="383">
        <v>-20145</v>
      </c>
    </row>
    <row r="1021" spans="2:12">
      <c r="B1021" s="1050"/>
      <c r="C1021" s="1050"/>
      <c r="D1021" s="382" t="s">
        <v>2615</v>
      </c>
      <c r="E1021" s="382" t="s">
        <v>2261</v>
      </c>
      <c r="F1021" s="382" t="s">
        <v>2342</v>
      </c>
      <c r="G1021" s="382" t="s">
        <v>2351</v>
      </c>
      <c r="H1021" s="383">
        <v>-8786.66</v>
      </c>
      <c r="I1021" s="1046">
        <v>4483.33</v>
      </c>
      <c r="J1021" s="1047"/>
      <c r="K1021" s="383">
        <v>0</v>
      </c>
      <c r="L1021" s="383">
        <v>-13269.99</v>
      </c>
    </row>
    <row r="1022" spans="2:12">
      <c r="B1022" s="1050"/>
      <c r="C1022" s="1050"/>
      <c r="D1022" s="382" t="s">
        <v>2615</v>
      </c>
      <c r="E1022" s="382" t="s">
        <v>2261</v>
      </c>
      <c r="F1022" s="382" t="s">
        <v>2342</v>
      </c>
      <c r="G1022" s="382" t="s">
        <v>2352</v>
      </c>
      <c r="H1022" s="383">
        <v>-4370</v>
      </c>
      <c r="I1022" s="1046">
        <v>2360</v>
      </c>
      <c r="J1022" s="1047"/>
      <c r="K1022" s="383">
        <v>0</v>
      </c>
      <c r="L1022" s="383">
        <v>-6730</v>
      </c>
    </row>
    <row r="1023" spans="2:12">
      <c r="B1023" s="1050"/>
      <c r="C1023" s="1050"/>
      <c r="D1023" s="382" t="s">
        <v>2615</v>
      </c>
      <c r="E1023" s="382" t="s">
        <v>2261</v>
      </c>
      <c r="F1023" s="382" t="s">
        <v>2342</v>
      </c>
      <c r="G1023" s="382" t="s">
        <v>2353</v>
      </c>
      <c r="H1023" s="383">
        <v>-8690.66</v>
      </c>
      <c r="I1023" s="1046">
        <v>4603.33</v>
      </c>
      <c r="J1023" s="1047"/>
      <c r="K1023" s="383">
        <v>0</v>
      </c>
      <c r="L1023" s="383">
        <v>-13293.99</v>
      </c>
    </row>
    <row r="1024" spans="2:12">
      <c r="B1024" s="1050"/>
      <c r="C1024" s="1050"/>
      <c r="D1024" s="382" t="s">
        <v>2615</v>
      </c>
      <c r="E1024" s="382" t="s">
        <v>2261</v>
      </c>
      <c r="F1024" s="382" t="s">
        <v>2342</v>
      </c>
      <c r="G1024" s="382" t="s">
        <v>405</v>
      </c>
      <c r="H1024" s="383">
        <v>-5652.75</v>
      </c>
      <c r="I1024" s="1046">
        <v>3500</v>
      </c>
      <c r="J1024" s="1047"/>
      <c r="K1024" s="383">
        <v>0</v>
      </c>
      <c r="L1024" s="383">
        <v>-9152.75</v>
      </c>
    </row>
    <row r="1025" spans="2:12">
      <c r="B1025" s="1050"/>
      <c r="C1025" s="1050"/>
      <c r="D1025" s="382" t="s">
        <v>2615</v>
      </c>
      <c r="E1025" s="382" t="s">
        <v>2261</v>
      </c>
      <c r="F1025" s="382" t="s">
        <v>2342</v>
      </c>
      <c r="G1025" s="382" t="s">
        <v>2354</v>
      </c>
      <c r="H1025" s="383">
        <v>0</v>
      </c>
      <c r="I1025" s="1046">
        <v>2000</v>
      </c>
      <c r="J1025" s="1047"/>
      <c r="K1025" s="383">
        <v>0</v>
      </c>
      <c r="L1025" s="383">
        <v>-2000</v>
      </c>
    </row>
    <row r="1026" spans="2:12">
      <c r="B1026" s="1050"/>
      <c r="C1026" s="1050"/>
      <c r="D1026" s="382" t="s">
        <v>2615</v>
      </c>
      <c r="E1026" s="382" t="s">
        <v>2261</v>
      </c>
      <c r="F1026" s="382" t="s">
        <v>2342</v>
      </c>
      <c r="G1026" s="382" t="s">
        <v>2355</v>
      </c>
      <c r="H1026" s="383">
        <v>-514431.01</v>
      </c>
      <c r="I1026" s="1046">
        <v>0</v>
      </c>
      <c r="J1026" s="1047"/>
      <c r="K1026" s="383">
        <v>420867.62</v>
      </c>
      <c r="L1026" s="383">
        <v>-93563.39</v>
      </c>
    </row>
    <row r="1027" spans="2:12">
      <c r="B1027" s="1050"/>
      <c r="C1027" s="1050"/>
      <c r="D1027" s="382" t="s">
        <v>2616</v>
      </c>
      <c r="E1027" s="382" t="s">
        <v>2262</v>
      </c>
      <c r="F1027" s="382" t="s">
        <v>2342</v>
      </c>
      <c r="G1027" s="382" t="s">
        <v>2355</v>
      </c>
      <c r="H1027" s="383">
        <v>-8988</v>
      </c>
      <c r="I1027" s="1046">
        <v>0</v>
      </c>
      <c r="J1027" s="1047"/>
      <c r="K1027" s="383">
        <v>0</v>
      </c>
      <c r="L1027" s="383">
        <v>-8988</v>
      </c>
    </row>
    <row r="1028" spans="2:12">
      <c r="B1028" s="1050"/>
      <c r="C1028" s="1050"/>
      <c r="D1028" s="382" t="s">
        <v>2617</v>
      </c>
      <c r="E1028" s="382" t="s">
        <v>2263</v>
      </c>
      <c r="F1028" s="382" t="s">
        <v>2342</v>
      </c>
      <c r="G1028" s="382" t="s">
        <v>2355</v>
      </c>
      <c r="H1028" s="383">
        <v>-181026.17</v>
      </c>
      <c r="I1028" s="1046">
        <v>666.14</v>
      </c>
      <c r="J1028" s="1047"/>
      <c r="K1028" s="383">
        <v>0</v>
      </c>
      <c r="L1028" s="383">
        <v>-181692.31</v>
      </c>
    </row>
    <row r="1029" spans="2:12">
      <c r="B1029" s="1050"/>
      <c r="C1029" s="1051"/>
      <c r="D1029" s="359" t="s">
        <v>12</v>
      </c>
      <c r="E1029" s="359" t="s">
        <v>111</v>
      </c>
      <c r="F1029" s="359" t="s">
        <v>111</v>
      </c>
      <c r="G1029" s="359" t="s">
        <v>111</v>
      </c>
      <c r="H1029" s="384">
        <v>-22309115.850000001</v>
      </c>
      <c r="I1029" s="1048">
        <v>2368897.33</v>
      </c>
      <c r="J1029" s="1047"/>
      <c r="K1029" s="384">
        <v>424350.57</v>
      </c>
      <c r="L1029" s="384">
        <v>-24253662.609999999</v>
      </c>
    </row>
    <row r="1030" spans="2:12">
      <c r="B1030" s="1050"/>
      <c r="C1030" s="1049" t="s">
        <v>2618</v>
      </c>
      <c r="D1030" s="382" t="s">
        <v>2619</v>
      </c>
      <c r="E1030" s="382" t="s">
        <v>2264</v>
      </c>
      <c r="F1030" s="382" t="s">
        <v>2342</v>
      </c>
      <c r="G1030" s="382" t="s">
        <v>2355</v>
      </c>
      <c r="H1030" s="383">
        <v>-44215.43</v>
      </c>
      <c r="I1030" s="1046">
        <v>0</v>
      </c>
      <c r="J1030" s="1047"/>
      <c r="K1030" s="383">
        <v>0</v>
      </c>
      <c r="L1030" s="383">
        <v>-44215.43</v>
      </c>
    </row>
    <row r="1031" spans="2:12">
      <c r="B1031" s="1050"/>
      <c r="C1031" s="1050"/>
      <c r="D1031" s="382" t="s">
        <v>2620</v>
      </c>
      <c r="E1031" s="382" t="s">
        <v>2265</v>
      </c>
      <c r="F1031" s="382" t="s">
        <v>2342</v>
      </c>
      <c r="G1031" s="382" t="s">
        <v>2343</v>
      </c>
      <c r="H1031" s="383">
        <v>-15955.12</v>
      </c>
      <c r="I1031" s="1046">
        <v>6338.21</v>
      </c>
      <c r="J1031" s="1047"/>
      <c r="K1031" s="383">
        <v>0</v>
      </c>
      <c r="L1031" s="383">
        <v>-22293.33</v>
      </c>
    </row>
    <row r="1032" spans="2:12">
      <c r="B1032" s="1050"/>
      <c r="C1032" s="1050"/>
      <c r="D1032" s="382" t="s">
        <v>2620</v>
      </c>
      <c r="E1032" s="382" t="s">
        <v>2265</v>
      </c>
      <c r="F1032" s="382" t="s">
        <v>2342</v>
      </c>
      <c r="G1032" s="382" t="s">
        <v>2344</v>
      </c>
      <c r="H1032" s="383">
        <v>-11939.2</v>
      </c>
      <c r="I1032" s="1046">
        <v>5787.11</v>
      </c>
      <c r="J1032" s="1047"/>
      <c r="K1032" s="383">
        <v>0</v>
      </c>
      <c r="L1032" s="383">
        <v>-17726.310000000001</v>
      </c>
    </row>
    <row r="1033" spans="2:12">
      <c r="B1033" s="1050"/>
      <c r="C1033" s="1050"/>
      <c r="D1033" s="382" t="s">
        <v>2620</v>
      </c>
      <c r="E1033" s="382" t="s">
        <v>2265</v>
      </c>
      <c r="F1033" s="382" t="s">
        <v>2342</v>
      </c>
      <c r="G1033" s="382" t="s">
        <v>2345</v>
      </c>
      <c r="H1033" s="383">
        <v>-8106.47</v>
      </c>
      <c r="I1033" s="1046">
        <v>4453.29</v>
      </c>
      <c r="J1033" s="1047"/>
      <c r="K1033" s="383">
        <v>0</v>
      </c>
      <c r="L1033" s="383">
        <v>-12559.76</v>
      </c>
    </row>
    <row r="1034" spans="2:12">
      <c r="B1034" s="1050"/>
      <c r="C1034" s="1050"/>
      <c r="D1034" s="382" t="s">
        <v>2620</v>
      </c>
      <c r="E1034" s="382" t="s">
        <v>2265</v>
      </c>
      <c r="F1034" s="382" t="s">
        <v>2342</v>
      </c>
      <c r="G1034" s="382" t="s">
        <v>2346</v>
      </c>
      <c r="H1034" s="383">
        <v>-8086.35</v>
      </c>
      <c r="I1034" s="1046">
        <v>4629.95</v>
      </c>
      <c r="J1034" s="1047"/>
      <c r="K1034" s="383">
        <v>0</v>
      </c>
      <c r="L1034" s="383">
        <v>-12716.3</v>
      </c>
    </row>
    <row r="1035" spans="2:12">
      <c r="B1035" s="1050"/>
      <c r="C1035" s="1050"/>
      <c r="D1035" s="382" t="s">
        <v>2620</v>
      </c>
      <c r="E1035" s="382" t="s">
        <v>2265</v>
      </c>
      <c r="F1035" s="382" t="s">
        <v>2342</v>
      </c>
      <c r="G1035" s="382" t="s">
        <v>2347</v>
      </c>
      <c r="H1035" s="383">
        <v>-19461.03</v>
      </c>
      <c r="I1035" s="1046">
        <v>8713.92</v>
      </c>
      <c r="J1035" s="1047"/>
      <c r="K1035" s="383">
        <v>0</v>
      </c>
      <c r="L1035" s="383">
        <v>-28174.95</v>
      </c>
    </row>
    <row r="1036" spans="2:12">
      <c r="B1036" s="1050"/>
      <c r="C1036" s="1050"/>
      <c r="D1036" s="382" t="s">
        <v>2620</v>
      </c>
      <c r="E1036" s="382" t="s">
        <v>2265</v>
      </c>
      <c r="F1036" s="382" t="s">
        <v>2342</v>
      </c>
      <c r="G1036" s="382" t="s">
        <v>2348</v>
      </c>
      <c r="H1036" s="383">
        <v>-11040.12</v>
      </c>
      <c r="I1036" s="1046">
        <v>5147.8100000000004</v>
      </c>
      <c r="J1036" s="1047"/>
      <c r="K1036" s="383">
        <v>0</v>
      </c>
      <c r="L1036" s="383">
        <v>-16187.93</v>
      </c>
    </row>
    <row r="1037" spans="2:12">
      <c r="B1037" s="1050"/>
      <c r="C1037" s="1050"/>
      <c r="D1037" s="382" t="s">
        <v>2620</v>
      </c>
      <c r="E1037" s="382" t="s">
        <v>2265</v>
      </c>
      <c r="F1037" s="382" t="s">
        <v>2342</v>
      </c>
      <c r="G1037" s="382" t="s">
        <v>2349</v>
      </c>
      <c r="H1037" s="383">
        <v>-15385.9</v>
      </c>
      <c r="I1037" s="1046">
        <v>7976.15</v>
      </c>
      <c r="J1037" s="1047"/>
      <c r="K1037" s="383">
        <v>0</v>
      </c>
      <c r="L1037" s="383">
        <v>-23362.05</v>
      </c>
    </row>
    <row r="1038" spans="2:12">
      <c r="B1038" s="1050"/>
      <c r="C1038" s="1050"/>
      <c r="D1038" s="382" t="s">
        <v>2620</v>
      </c>
      <c r="E1038" s="382" t="s">
        <v>2265</v>
      </c>
      <c r="F1038" s="382" t="s">
        <v>2342</v>
      </c>
      <c r="G1038" s="382" t="s">
        <v>2350</v>
      </c>
      <c r="H1038" s="383">
        <v>-19868.560000000001</v>
      </c>
      <c r="I1038" s="1046">
        <v>10214.35</v>
      </c>
      <c r="J1038" s="1047"/>
      <c r="K1038" s="383">
        <v>0</v>
      </c>
      <c r="L1038" s="383">
        <v>-30082.91</v>
      </c>
    </row>
    <row r="1039" spans="2:12">
      <c r="B1039" s="1050"/>
      <c r="C1039" s="1050"/>
      <c r="D1039" s="382" t="s">
        <v>2620</v>
      </c>
      <c r="E1039" s="382" t="s">
        <v>2265</v>
      </c>
      <c r="F1039" s="382" t="s">
        <v>2342</v>
      </c>
      <c r="G1039" s="382" t="s">
        <v>2351</v>
      </c>
      <c r="H1039" s="383">
        <v>-8231.82</v>
      </c>
      <c r="I1039" s="1046">
        <v>4024.31</v>
      </c>
      <c r="J1039" s="1047"/>
      <c r="K1039" s="383">
        <v>0</v>
      </c>
      <c r="L1039" s="383">
        <v>-12256.13</v>
      </c>
    </row>
    <row r="1040" spans="2:12">
      <c r="B1040" s="1050"/>
      <c r="C1040" s="1050"/>
      <c r="D1040" s="382" t="s">
        <v>2620</v>
      </c>
      <c r="E1040" s="382" t="s">
        <v>2265</v>
      </c>
      <c r="F1040" s="382" t="s">
        <v>2342</v>
      </c>
      <c r="G1040" s="382" t="s">
        <v>2352</v>
      </c>
      <c r="H1040" s="383">
        <v>-7897.44</v>
      </c>
      <c r="I1040" s="1046">
        <v>4458.42</v>
      </c>
      <c r="J1040" s="1047"/>
      <c r="K1040" s="383">
        <v>0</v>
      </c>
      <c r="L1040" s="383">
        <v>-12355.86</v>
      </c>
    </row>
    <row r="1041" spans="2:12">
      <c r="B1041" s="1050"/>
      <c r="C1041" s="1050"/>
      <c r="D1041" s="382" t="s">
        <v>2620</v>
      </c>
      <c r="E1041" s="382" t="s">
        <v>2265</v>
      </c>
      <c r="F1041" s="382" t="s">
        <v>2342</v>
      </c>
      <c r="G1041" s="382" t="s">
        <v>2353</v>
      </c>
      <c r="H1041" s="383">
        <v>-8606</v>
      </c>
      <c r="I1041" s="1046">
        <v>4431.95</v>
      </c>
      <c r="J1041" s="1047"/>
      <c r="K1041" s="383">
        <v>0</v>
      </c>
      <c r="L1041" s="383">
        <v>-13037.95</v>
      </c>
    </row>
    <row r="1042" spans="2:12">
      <c r="B1042" s="1050"/>
      <c r="C1042" s="1050"/>
      <c r="D1042" s="382" t="s">
        <v>2620</v>
      </c>
      <c r="E1042" s="382" t="s">
        <v>2265</v>
      </c>
      <c r="F1042" s="382" t="s">
        <v>2342</v>
      </c>
      <c r="G1042" s="382" t="s">
        <v>405</v>
      </c>
      <c r="H1042" s="383">
        <v>-4870.16</v>
      </c>
      <c r="I1042" s="1046">
        <v>2473.58</v>
      </c>
      <c r="J1042" s="1047"/>
      <c r="K1042" s="383">
        <v>0</v>
      </c>
      <c r="L1042" s="383">
        <v>-7343.74</v>
      </c>
    </row>
    <row r="1043" spans="2:12">
      <c r="B1043" s="1050"/>
      <c r="C1043" s="1050"/>
      <c r="D1043" s="382" t="s">
        <v>2620</v>
      </c>
      <c r="E1043" s="382" t="s">
        <v>2265</v>
      </c>
      <c r="F1043" s="382" t="s">
        <v>2342</v>
      </c>
      <c r="G1043" s="382" t="s">
        <v>2355</v>
      </c>
      <c r="H1043" s="383">
        <v>-819941.6</v>
      </c>
      <c r="I1043" s="1046">
        <v>30206.97</v>
      </c>
      <c r="J1043" s="1047"/>
      <c r="K1043" s="383">
        <v>0</v>
      </c>
      <c r="L1043" s="383">
        <v>-850148.57</v>
      </c>
    </row>
    <row r="1044" spans="2:12">
      <c r="B1044" s="1050"/>
      <c r="C1044" s="1050"/>
      <c r="D1044" s="382" t="s">
        <v>2621</v>
      </c>
      <c r="E1044" s="382" t="s">
        <v>2266</v>
      </c>
      <c r="F1044" s="382" t="s">
        <v>2342</v>
      </c>
      <c r="G1044" s="382" t="s">
        <v>2343</v>
      </c>
      <c r="H1044" s="383">
        <v>-24256.959999999999</v>
      </c>
      <c r="I1044" s="1046">
        <v>12128.48</v>
      </c>
      <c r="J1044" s="1047"/>
      <c r="K1044" s="383">
        <v>0</v>
      </c>
      <c r="L1044" s="383">
        <v>-36385.440000000002</v>
      </c>
    </row>
    <row r="1045" spans="2:12">
      <c r="B1045" s="1050"/>
      <c r="C1045" s="1050"/>
      <c r="D1045" s="382" t="s">
        <v>2621</v>
      </c>
      <c r="E1045" s="382" t="s">
        <v>2266</v>
      </c>
      <c r="F1045" s="382" t="s">
        <v>2342</v>
      </c>
      <c r="G1045" s="382" t="s">
        <v>2344</v>
      </c>
      <c r="H1045" s="383">
        <v>-22290.18</v>
      </c>
      <c r="I1045" s="1046">
        <v>11145.09</v>
      </c>
      <c r="J1045" s="1047"/>
      <c r="K1045" s="383">
        <v>0</v>
      </c>
      <c r="L1045" s="383">
        <v>-33435.269999999997</v>
      </c>
    </row>
    <row r="1046" spans="2:12">
      <c r="B1046" s="1050"/>
      <c r="C1046" s="1050"/>
      <c r="D1046" s="382" t="s">
        <v>2621</v>
      </c>
      <c r="E1046" s="382" t="s">
        <v>2266</v>
      </c>
      <c r="F1046" s="382" t="s">
        <v>2342</v>
      </c>
      <c r="G1046" s="382" t="s">
        <v>2345</v>
      </c>
      <c r="H1046" s="383">
        <v>-20323.400000000001</v>
      </c>
      <c r="I1046" s="1046">
        <v>10161.700000000001</v>
      </c>
      <c r="J1046" s="1047"/>
      <c r="K1046" s="383">
        <v>0</v>
      </c>
      <c r="L1046" s="383">
        <v>-30485.1</v>
      </c>
    </row>
    <row r="1047" spans="2:12">
      <c r="B1047" s="1050"/>
      <c r="C1047" s="1050"/>
      <c r="D1047" s="382" t="s">
        <v>2621</v>
      </c>
      <c r="E1047" s="382" t="s">
        <v>2266</v>
      </c>
      <c r="F1047" s="382" t="s">
        <v>2342</v>
      </c>
      <c r="G1047" s="382" t="s">
        <v>2346</v>
      </c>
      <c r="H1047" s="383">
        <v>-17045.419999999998</v>
      </c>
      <c r="I1047" s="1046">
        <v>8522.7099999999991</v>
      </c>
      <c r="J1047" s="1047"/>
      <c r="K1047" s="383">
        <v>0</v>
      </c>
      <c r="L1047" s="383">
        <v>-25568.13</v>
      </c>
    </row>
    <row r="1048" spans="2:12">
      <c r="B1048" s="1050"/>
      <c r="C1048" s="1050"/>
      <c r="D1048" s="382" t="s">
        <v>2621</v>
      </c>
      <c r="E1048" s="382" t="s">
        <v>2266</v>
      </c>
      <c r="F1048" s="382" t="s">
        <v>2342</v>
      </c>
      <c r="G1048" s="382" t="s">
        <v>2347</v>
      </c>
      <c r="H1048" s="383">
        <v>-31468.48</v>
      </c>
      <c r="I1048" s="1046">
        <v>15734.24</v>
      </c>
      <c r="J1048" s="1047"/>
      <c r="K1048" s="383">
        <v>0</v>
      </c>
      <c r="L1048" s="383">
        <v>-47202.720000000001</v>
      </c>
    </row>
    <row r="1049" spans="2:12">
      <c r="B1049" s="1050"/>
      <c r="C1049" s="1050"/>
      <c r="D1049" s="382" t="s">
        <v>2621</v>
      </c>
      <c r="E1049" s="382" t="s">
        <v>2266</v>
      </c>
      <c r="F1049" s="382" t="s">
        <v>2342</v>
      </c>
      <c r="G1049" s="382" t="s">
        <v>2348</v>
      </c>
      <c r="H1049" s="383">
        <v>-20978.98</v>
      </c>
      <c r="I1049" s="1046">
        <v>10489.49</v>
      </c>
      <c r="J1049" s="1047"/>
      <c r="K1049" s="383">
        <v>0</v>
      </c>
      <c r="L1049" s="383">
        <v>-31468.47</v>
      </c>
    </row>
    <row r="1050" spans="2:12">
      <c r="B1050" s="1050"/>
      <c r="C1050" s="1050"/>
      <c r="D1050" s="382" t="s">
        <v>2621</v>
      </c>
      <c r="E1050" s="382" t="s">
        <v>2266</v>
      </c>
      <c r="F1050" s="382" t="s">
        <v>2342</v>
      </c>
      <c r="G1050" s="382" t="s">
        <v>2349</v>
      </c>
      <c r="H1050" s="383">
        <v>-29501.7</v>
      </c>
      <c r="I1050" s="1046">
        <v>14750.85</v>
      </c>
      <c r="J1050" s="1047"/>
      <c r="K1050" s="383">
        <v>0</v>
      </c>
      <c r="L1050" s="383">
        <v>-44252.55</v>
      </c>
    </row>
    <row r="1051" spans="2:12">
      <c r="B1051" s="1050"/>
      <c r="C1051" s="1050"/>
      <c r="D1051" s="382" t="s">
        <v>2621</v>
      </c>
      <c r="E1051" s="382" t="s">
        <v>2266</v>
      </c>
      <c r="F1051" s="382" t="s">
        <v>2342</v>
      </c>
      <c r="G1051" s="382" t="s">
        <v>2350</v>
      </c>
      <c r="H1051" s="383">
        <v>-33435.26</v>
      </c>
      <c r="I1051" s="1046">
        <v>16717.63</v>
      </c>
      <c r="J1051" s="1047"/>
      <c r="K1051" s="383">
        <v>0</v>
      </c>
      <c r="L1051" s="383">
        <v>-50152.89</v>
      </c>
    </row>
    <row r="1052" spans="2:12">
      <c r="B1052" s="1050"/>
      <c r="C1052" s="1050"/>
      <c r="D1052" s="382" t="s">
        <v>2621</v>
      </c>
      <c r="E1052" s="382" t="s">
        <v>2266</v>
      </c>
      <c r="F1052" s="382" t="s">
        <v>2342</v>
      </c>
      <c r="G1052" s="382" t="s">
        <v>2351</v>
      </c>
      <c r="H1052" s="383">
        <v>-16389.84</v>
      </c>
      <c r="I1052" s="1046">
        <v>8194.92</v>
      </c>
      <c r="J1052" s="1047"/>
      <c r="K1052" s="383">
        <v>0</v>
      </c>
      <c r="L1052" s="383">
        <v>-24584.76</v>
      </c>
    </row>
    <row r="1053" spans="2:12">
      <c r="B1053" s="1050"/>
      <c r="C1053" s="1050"/>
      <c r="D1053" s="382" t="s">
        <v>2621</v>
      </c>
      <c r="E1053" s="382" t="s">
        <v>2266</v>
      </c>
      <c r="F1053" s="382" t="s">
        <v>2342</v>
      </c>
      <c r="G1053" s="382" t="s">
        <v>2352</v>
      </c>
      <c r="H1053" s="383">
        <v>-16389.84</v>
      </c>
      <c r="I1053" s="1046">
        <v>8194.92</v>
      </c>
      <c r="J1053" s="1047"/>
      <c r="K1053" s="383">
        <v>0</v>
      </c>
      <c r="L1053" s="383">
        <v>-24584.76</v>
      </c>
    </row>
    <row r="1054" spans="2:12">
      <c r="B1054" s="1050"/>
      <c r="C1054" s="1050"/>
      <c r="D1054" s="382" t="s">
        <v>2621</v>
      </c>
      <c r="E1054" s="382" t="s">
        <v>2266</v>
      </c>
      <c r="F1054" s="382" t="s">
        <v>2342</v>
      </c>
      <c r="G1054" s="382" t="s">
        <v>2353</v>
      </c>
      <c r="H1054" s="383">
        <v>-23601.360000000001</v>
      </c>
      <c r="I1054" s="1046">
        <v>11800.68</v>
      </c>
      <c r="J1054" s="1047"/>
      <c r="K1054" s="383">
        <v>0</v>
      </c>
      <c r="L1054" s="383">
        <v>-35402.04</v>
      </c>
    </row>
    <row r="1055" spans="2:12">
      <c r="B1055" s="1050"/>
      <c r="C1055" s="1050"/>
      <c r="D1055" s="382" t="s">
        <v>2621</v>
      </c>
      <c r="E1055" s="382" t="s">
        <v>2266</v>
      </c>
      <c r="F1055" s="382" t="s">
        <v>2342</v>
      </c>
      <c r="G1055" s="382" t="s">
        <v>405</v>
      </c>
      <c r="H1055" s="383">
        <v>-9178.2999999999993</v>
      </c>
      <c r="I1055" s="1046">
        <v>4589.1499999999996</v>
      </c>
      <c r="J1055" s="1047"/>
      <c r="K1055" s="383">
        <v>0</v>
      </c>
      <c r="L1055" s="383">
        <v>-13767.45</v>
      </c>
    </row>
    <row r="1056" spans="2:12">
      <c r="B1056" s="1050"/>
      <c r="C1056" s="1050"/>
      <c r="D1056" s="382" t="s">
        <v>2621</v>
      </c>
      <c r="E1056" s="382" t="s">
        <v>2266</v>
      </c>
      <c r="F1056" s="382" t="s">
        <v>2342</v>
      </c>
      <c r="G1056" s="382" t="s">
        <v>2355</v>
      </c>
      <c r="H1056" s="383">
        <v>-985147.4</v>
      </c>
      <c r="I1056" s="1046">
        <v>25568.14</v>
      </c>
      <c r="J1056" s="1047"/>
      <c r="K1056" s="383">
        <v>2907</v>
      </c>
      <c r="L1056" s="383">
        <v>-1007808.54</v>
      </c>
    </row>
    <row r="1057" spans="2:12">
      <c r="B1057" s="1050"/>
      <c r="C1057" s="1050"/>
      <c r="D1057" s="382" t="s">
        <v>2622</v>
      </c>
      <c r="E1057" s="382" t="s">
        <v>2267</v>
      </c>
      <c r="F1057" s="382" t="s">
        <v>2342</v>
      </c>
      <c r="G1057" s="382" t="s">
        <v>2345</v>
      </c>
      <c r="H1057" s="383">
        <v>0</v>
      </c>
      <c r="I1057" s="1046">
        <v>125</v>
      </c>
      <c r="J1057" s="1047"/>
      <c r="K1057" s="383">
        <v>0</v>
      </c>
      <c r="L1057" s="383">
        <v>-125</v>
      </c>
    </row>
    <row r="1058" spans="2:12">
      <c r="B1058" s="1050"/>
      <c r="C1058" s="1050"/>
      <c r="D1058" s="382" t="s">
        <v>2622</v>
      </c>
      <c r="E1058" s="382" t="s">
        <v>2267</v>
      </c>
      <c r="F1058" s="382" t="s">
        <v>2342</v>
      </c>
      <c r="G1058" s="382" t="s">
        <v>2347</v>
      </c>
      <c r="H1058" s="383">
        <v>0</v>
      </c>
      <c r="I1058" s="1046">
        <v>470</v>
      </c>
      <c r="J1058" s="1047"/>
      <c r="K1058" s="383">
        <v>0</v>
      </c>
      <c r="L1058" s="383">
        <v>-470</v>
      </c>
    </row>
    <row r="1059" spans="2:12">
      <c r="B1059" s="1050"/>
      <c r="C1059" s="1050"/>
      <c r="D1059" s="382" t="s">
        <v>2622</v>
      </c>
      <c r="E1059" s="382" t="s">
        <v>2267</v>
      </c>
      <c r="F1059" s="382" t="s">
        <v>2342</v>
      </c>
      <c r="G1059" s="382" t="s">
        <v>2351</v>
      </c>
      <c r="H1059" s="383">
        <v>0</v>
      </c>
      <c r="I1059" s="1046">
        <v>850</v>
      </c>
      <c r="J1059" s="1047"/>
      <c r="K1059" s="383">
        <v>0</v>
      </c>
      <c r="L1059" s="383">
        <v>-850</v>
      </c>
    </row>
    <row r="1060" spans="2:12">
      <c r="B1060" s="1050"/>
      <c r="C1060" s="1050"/>
      <c r="D1060" s="382" t="s">
        <v>2623</v>
      </c>
      <c r="E1060" s="382" t="s">
        <v>2268</v>
      </c>
      <c r="F1060" s="382" t="s">
        <v>2342</v>
      </c>
      <c r="G1060" s="382" t="s">
        <v>2343</v>
      </c>
      <c r="H1060" s="383">
        <v>-61156.68</v>
      </c>
      <c r="I1060" s="1046">
        <v>34898.74</v>
      </c>
      <c r="J1060" s="1047"/>
      <c r="K1060" s="383">
        <v>89</v>
      </c>
      <c r="L1060" s="383">
        <v>-95966.42</v>
      </c>
    </row>
    <row r="1061" spans="2:12">
      <c r="B1061" s="1050"/>
      <c r="C1061" s="1050"/>
      <c r="D1061" s="382" t="s">
        <v>2623</v>
      </c>
      <c r="E1061" s="382" t="s">
        <v>2268</v>
      </c>
      <c r="F1061" s="382" t="s">
        <v>2342</v>
      </c>
      <c r="G1061" s="382" t="s">
        <v>2344</v>
      </c>
      <c r="H1061" s="383">
        <v>-47497.1</v>
      </c>
      <c r="I1061" s="1046">
        <v>28417.02</v>
      </c>
      <c r="J1061" s="1047"/>
      <c r="K1061" s="383">
        <v>0</v>
      </c>
      <c r="L1061" s="383">
        <v>-75914.12</v>
      </c>
    </row>
    <row r="1062" spans="2:12">
      <c r="B1062" s="1050"/>
      <c r="C1062" s="1050"/>
      <c r="D1062" s="382" t="s">
        <v>2623</v>
      </c>
      <c r="E1062" s="382" t="s">
        <v>2268</v>
      </c>
      <c r="F1062" s="382" t="s">
        <v>2342</v>
      </c>
      <c r="G1062" s="382" t="s">
        <v>2345</v>
      </c>
      <c r="H1062" s="383">
        <v>-31555.119999999999</v>
      </c>
      <c r="I1062" s="1046">
        <v>23858.3</v>
      </c>
      <c r="J1062" s="1047"/>
      <c r="K1062" s="383">
        <v>0</v>
      </c>
      <c r="L1062" s="383">
        <v>-55413.42</v>
      </c>
    </row>
    <row r="1063" spans="2:12">
      <c r="B1063" s="1050"/>
      <c r="C1063" s="1050"/>
      <c r="D1063" s="382" t="s">
        <v>2623</v>
      </c>
      <c r="E1063" s="382" t="s">
        <v>2268</v>
      </c>
      <c r="F1063" s="382" t="s">
        <v>2342</v>
      </c>
      <c r="G1063" s="382" t="s">
        <v>2346</v>
      </c>
      <c r="H1063" s="383">
        <v>-31805.4</v>
      </c>
      <c r="I1063" s="1046">
        <v>22124.63</v>
      </c>
      <c r="J1063" s="1047"/>
      <c r="K1063" s="383">
        <v>0</v>
      </c>
      <c r="L1063" s="383">
        <v>-53930.03</v>
      </c>
    </row>
    <row r="1064" spans="2:12">
      <c r="B1064" s="1050"/>
      <c r="C1064" s="1050"/>
      <c r="D1064" s="382" t="s">
        <v>2623</v>
      </c>
      <c r="E1064" s="382" t="s">
        <v>2268</v>
      </c>
      <c r="F1064" s="382" t="s">
        <v>2342</v>
      </c>
      <c r="G1064" s="382" t="s">
        <v>2347</v>
      </c>
      <c r="H1064" s="383">
        <v>-77015.100000000006</v>
      </c>
      <c r="I1064" s="1046">
        <v>49263.47</v>
      </c>
      <c r="J1064" s="1047"/>
      <c r="K1064" s="383">
        <v>0</v>
      </c>
      <c r="L1064" s="383">
        <v>-126278.57</v>
      </c>
    </row>
    <row r="1065" spans="2:12">
      <c r="B1065" s="1050"/>
      <c r="C1065" s="1050"/>
      <c r="D1065" s="382" t="s">
        <v>2623</v>
      </c>
      <c r="E1065" s="382" t="s">
        <v>2268</v>
      </c>
      <c r="F1065" s="382" t="s">
        <v>2342</v>
      </c>
      <c r="G1065" s="382" t="s">
        <v>2348</v>
      </c>
      <c r="H1065" s="383">
        <v>-40737.72</v>
      </c>
      <c r="I1065" s="1046">
        <v>27226.85</v>
      </c>
      <c r="J1065" s="1047"/>
      <c r="K1065" s="383">
        <v>0</v>
      </c>
      <c r="L1065" s="383">
        <v>-67964.570000000007</v>
      </c>
    </row>
    <row r="1066" spans="2:12">
      <c r="B1066" s="1050"/>
      <c r="C1066" s="1050"/>
      <c r="D1066" s="382" t="s">
        <v>2623</v>
      </c>
      <c r="E1066" s="382" t="s">
        <v>2268</v>
      </c>
      <c r="F1066" s="382" t="s">
        <v>2342</v>
      </c>
      <c r="G1066" s="382" t="s">
        <v>2349</v>
      </c>
      <c r="H1066" s="383">
        <v>-62547.96</v>
      </c>
      <c r="I1066" s="1046">
        <v>41801.24</v>
      </c>
      <c r="J1066" s="1047"/>
      <c r="K1066" s="383">
        <v>0</v>
      </c>
      <c r="L1066" s="383">
        <v>-104349.2</v>
      </c>
    </row>
    <row r="1067" spans="2:12">
      <c r="B1067" s="1050"/>
      <c r="C1067" s="1050"/>
      <c r="D1067" s="382" t="s">
        <v>2623</v>
      </c>
      <c r="E1067" s="382" t="s">
        <v>2268</v>
      </c>
      <c r="F1067" s="382" t="s">
        <v>2342</v>
      </c>
      <c r="G1067" s="382" t="s">
        <v>2350</v>
      </c>
      <c r="H1067" s="383">
        <v>-77676.66</v>
      </c>
      <c r="I1067" s="1046">
        <v>51920.17</v>
      </c>
      <c r="J1067" s="1047"/>
      <c r="K1067" s="383">
        <v>0</v>
      </c>
      <c r="L1067" s="383">
        <v>-129596.83</v>
      </c>
    </row>
    <row r="1068" spans="2:12">
      <c r="B1068" s="1050"/>
      <c r="C1068" s="1050"/>
      <c r="D1068" s="382" t="s">
        <v>2623</v>
      </c>
      <c r="E1068" s="382" t="s">
        <v>2268</v>
      </c>
      <c r="F1068" s="382" t="s">
        <v>2342</v>
      </c>
      <c r="G1068" s="382" t="s">
        <v>2351</v>
      </c>
      <c r="H1068" s="383">
        <v>-32087.3</v>
      </c>
      <c r="I1068" s="1046">
        <v>21012.95</v>
      </c>
      <c r="J1068" s="1047"/>
      <c r="K1068" s="383">
        <v>0</v>
      </c>
      <c r="L1068" s="383">
        <v>-53100.25</v>
      </c>
    </row>
    <row r="1069" spans="2:12">
      <c r="B1069" s="1050"/>
      <c r="C1069" s="1050"/>
      <c r="D1069" s="382" t="s">
        <v>2623</v>
      </c>
      <c r="E1069" s="382" t="s">
        <v>2268</v>
      </c>
      <c r="F1069" s="382" t="s">
        <v>2342</v>
      </c>
      <c r="G1069" s="382" t="s">
        <v>2352</v>
      </c>
      <c r="H1069" s="383">
        <v>-30587.34</v>
      </c>
      <c r="I1069" s="1046">
        <v>22409.15</v>
      </c>
      <c r="J1069" s="1047"/>
      <c r="K1069" s="383">
        <v>0</v>
      </c>
      <c r="L1069" s="383">
        <v>-52996.49</v>
      </c>
    </row>
    <row r="1070" spans="2:12">
      <c r="B1070" s="1050"/>
      <c r="C1070" s="1050"/>
      <c r="D1070" s="382" t="s">
        <v>2623</v>
      </c>
      <c r="E1070" s="382" t="s">
        <v>2268</v>
      </c>
      <c r="F1070" s="382" t="s">
        <v>2342</v>
      </c>
      <c r="G1070" s="382" t="s">
        <v>2353</v>
      </c>
      <c r="H1070" s="383">
        <v>-33320</v>
      </c>
      <c r="I1070" s="1046">
        <v>21512.75</v>
      </c>
      <c r="J1070" s="1047"/>
      <c r="K1070" s="383">
        <v>0</v>
      </c>
      <c r="L1070" s="383">
        <v>-54832.75</v>
      </c>
    </row>
    <row r="1071" spans="2:12">
      <c r="B1071" s="1050"/>
      <c r="C1071" s="1050"/>
      <c r="D1071" s="382" t="s">
        <v>2623</v>
      </c>
      <c r="E1071" s="382" t="s">
        <v>2268</v>
      </c>
      <c r="F1071" s="382" t="s">
        <v>2342</v>
      </c>
      <c r="G1071" s="382" t="s">
        <v>405</v>
      </c>
      <c r="H1071" s="383">
        <v>-18376.62</v>
      </c>
      <c r="I1071" s="1046">
        <v>12769.36</v>
      </c>
      <c r="J1071" s="1047"/>
      <c r="K1071" s="383">
        <v>0</v>
      </c>
      <c r="L1071" s="383">
        <v>-31145.98</v>
      </c>
    </row>
    <row r="1072" spans="2:12">
      <c r="B1072" s="1050"/>
      <c r="C1072" s="1050"/>
      <c r="D1072" s="382" t="s">
        <v>2623</v>
      </c>
      <c r="E1072" s="382" t="s">
        <v>2268</v>
      </c>
      <c r="F1072" s="382" t="s">
        <v>2342</v>
      </c>
      <c r="G1072" s="382" t="s">
        <v>2354</v>
      </c>
      <c r="H1072" s="383">
        <v>0</v>
      </c>
      <c r="I1072" s="1046">
        <v>3236.7</v>
      </c>
      <c r="J1072" s="1047"/>
      <c r="K1072" s="383">
        <v>0</v>
      </c>
      <c r="L1072" s="383">
        <v>-3236.7</v>
      </c>
    </row>
    <row r="1073" spans="2:12">
      <c r="B1073" s="1050"/>
      <c r="C1073" s="1050"/>
      <c r="D1073" s="382" t="s">
        <v>2623</v>
      </c>
      <c r="E1073" s="382" t="s">
        <v>2268</v>
      </c>
      <c r="F1073" s="382" t="s">
        <v>2342</v>
      </c>
      <c r="G1073" s="382" t="s">
        <v>2355</v>
      </c>
      <c r="H1073" s="383">
        <v>-3157689.44</v>
      </c>
      <c r="I1073" s="1046">
        <v>175166.4</v>
      </c>
      <c r="J1073" s="1047"/>
      <c r="K1073" s="383">
        <v>0</v>
      </c>
      <c r="L1073" s="383">
        <v>-3332855.84</v>
      </c>
    </row>
    <row r="1074" spans="2:12">
      <c r="B1074" s="1050"/>
      <c r="C1074" s="1051"/>
      <c r="D1074" s="359" t="s">
        <v>12</v>
      </c>
      <c r="E1074" s="359" t="s">
        <v>111</v>
      </c>
      <c r="F1074" s="359" t="s">
        <v>111</v>
      </c>
      <c r="G1074" s="359" t="s">
        <v>111</v>
      </c>
      <c r="H1074" s="384">
        <v>-5955664.7599999998</v>
      </c>
      <c r="I1074" s="1048">
        <v>793916.75</v>
      </c>
      <c r="J1074" s="1047"/>
      <c r="K1074" s="384">
        <v>2996</v>
      </c>
      <c r="L1074" s="384">
        <v>-6746585.5099999998</v>
      </c>
    </row>
    <row r="1075" spans="2:12">
      <c r="B1075" s="1050"/>
      <c r="C1075" s="1049" t="s">
        <v>2624</v>
      </c>
      <c r="D1075" s="382" t="s">
        <v>2625</v>
      </c>
      <c r="E1075" s="382" t="s">
        <v>2269</v>
      </c>
      <c r="F1075" s="382" t="s">
        <v>2342</v>
      </c>
      <c r="G1075" s="382" t="s">
        <v>2344</v>
      </c>
      <c r="H1075" s="383">
        <v>-960</v>
      </c>
      <c r="I1075" s="1046">
        <v>0</v>
      </c>
      <c r="J1075" s="1047"/>
      <c r="K1075" s="383">
        <v>0</v>
      </c>
      <c r="L1075" s="383">
        <v>-960</v>
      </c>
    </row>
    <row r="1076" spans="2:12">
      <c r="B1076" s="1050"/>
      <c r="C1076" s="1050"/>
      <c r="D1076" s="382" t="s">
        <v>2625</v>
      </c>
      <c r="E1076" s="382" t="s">
        <v>2269</v>
      </c>
      <c r="F1076" s="382" t="s">
        <v>2342</v>
      </c>
      <c r="G1076" s="382" t="s">
        <v>2351</v>
      </c>
      <c r="H1076" s="383">
        <v>-375</v>
      </c>
      <c r="I1076" s="1046">
        <v>0</v>
      </c>
      <c r="J1076" s="1047"/>
      <c r="K1076" s="383">
        <v>0</v>
      </c>
      <c r="L1076" s="383">
        <v>-375</v>
      </c>
    </row>
    <row r="1077" spans="2:12">
      <c r="B1077" s="1050"/>
      <c r="C1077" s="1050"/>
      <c r="D1077" s="382" t="s">
        <v>2626</v>
      </c>
      <c r="E1077" s="382" t="s">
        <v>2270</v>
      </c>
      <c r="F1077" s="382" t="s">
        <v>2342</v>
      </c>
      <c r="G1077" s="382" t="s">
        <v>2343</v>
      </c>
      <c r="H1077" s="383">
        <v>-125</v>
      </c>
      <c r="I1077" s="1046">
        <v>0</v>
      </c>
      <c r="J1077" s="1047"/>
      <c r="K1077" s="383">
        <v>0</v>
      </c>
      <c r="L1077" s="383">
        <v>-125</v>
      </c>
    </row>
    <row r="1078" spans="2:12">
      <c r="B1078" s="1050"/>
      <c r="C1078" s="1050"/>
      <c r="D1078" s="382" t="s">
        <v>2627</v>
      </c>
      <c r="E1078" s="382" t="s">
        <v>2271</v>
      </c>
      <c r="F1078" s="382" t="s">
        <v>2342</v>
      </c>
      <c r="G1078" s="382" t="s">
        <v>2343</v>
      </c>
      <c r="H1078" s="383">
        <v>-10257.5</v>
      </c>
      <c r="I1078" s="1046">
        <v>0</v>
      </c>
      <c r="J1078" s="1047"/>
      <c r="K1078" s="383">
        <v>1000</v>
      </c>
      <c r="L1078" s="383">
        <v>-9257.5</v>
      </c>
    </row>
    <row r="1079" spans="2:12">
      <c r="B1079" s="1050"/>
      <c r="C1079" s="1050"/>
      <c r="D1079" s="382" t="s">
        <v>2627</v>
      </c>
      <c r="E1079" s="382" t="s">
        <v>2271</v>
      </c>
      <c r="F1079" s="382" t="s">
        <v>2342</v>
      </c>
      <c r="G1079" s="382" t="s">
        <v>2347</v>
      </c>
      <c r="H1079" s="383">
        <v>0</v>
      </c>
      <c r="I1079" s="1046">
        <v>300</v>
      </c>
      <c r="J1079" s="1047"/>
      <c r="K1079" s="383">
        <v>1160</v>
      </c>
      <c r="L1079" s="383">
        <v>860</v>
      </c>
    </row>
    <row r="1080" spans="2:12">
      <c r="B1080" s="1050"/>
      <c r="C1080" s="1050"/>
      <c r="D1080" s="382" t="s">
        <v>2627</v>
      </c>
      <c r="E1080" s="382" t="s">
        <v>2271</v>
      </c>
      <c r="F1080" s="382" t="s">
        <v>2342</v>
      </c>
      <c r="G1080" s="382" t="s">
        <v>2354</v>
      </c>
      <c r="H1080" s="383">
        <v>0</v>
      </c>
      <c r="I1080" s="1046">
        <v>375</v>
      </c>
      <c r="J1080" s="1047"/>
      <c r="K1080" s="383">
        <v>0</v>
      </c>
      <c r="L1080" s="383">
        <v>-375</v>
      </c>
    </row>
    <row r="1081" spans="2:12">
      <c r="B1081" s="1050"/>
      <c r="C1081" s="1050"/>
      <c r="D1081" s="382" t="s">
        <v>2627</v>
      </c>
      <c r="E1081" s="382" t="s">
        <v>2271</v>
      </c>
      <c r="F1081" s="382" t="s">
        <v>2342</v>
      </c>
      <c r="G1081" s="382" t="s">
        <v>2355</v>
      </c>
      <c r="H1081" s="383">
        <v>-899900.15</v>
      </c>
      <c r="I1081" s="1046">
        <v>30135.13</v>
      </c>
      <c r="J1081" s="1047"/>
      <c r="K1081" s="383">
        <v>0</v>
      </c>
      <c r="L1081" s="383">
        <v>-930035.28</v>
      </c>
    </row>
    <row r="1082" spans="2:12">
      <c r="B1082" s="1050"/>
      <c r="C1082" s="1051"/>
      <c r="D1082" s="359" t="s">
        <v>12</v>
      </c>
      <c r="E1082" s="359" t="s">
        <v>111</v>
      </c>
      <c r="F1082" s="359" t="s">
        <v>111</v>
      </c>
      <c r="G1082" s="359" t="s">
        <v>111</v>
      </c>
      <c r="H1082" s="384">
        <v>-911617.65</v>
      </c>
      <c r="I1082" s="1048">
        <v>30810.13</v>
      </c>
      <c r="J1082" s="1047"/>
      <c r="K1082" s="384">
        <v>2160</v>
      </c>
      <c r="L1082" s="384">
        <v>-940267.78</v>
      </c>
    </row>
    <row r="1083" spans="2:12">
      <c r="B1083" s="1050"/>
      <c r="C1083" s="1049" t="s">
        <v>2628</v>
      </c>
      <c r="D1083" s="382" t="s">
        <v>2629</v>
      </c>
      <c r="E1083" s="382" t="s">
        <v>2272</v>
      </c>
      <c r="F1083" s="382" t="s">
        <v>2342</v>
      </c>
      <c r="G1083" s="382" t="s">
        <v>2355</v>
      </c>
      <c r="H1083" s="383">
        <v>-275</v>
      </c>
      <c r="I1083" s="1046">
        <v>0</v>
      </c>
      <c r="J1083" s="1047"/>
      <c r="K1083" s="383">
        <v>0</v>
      </c>
      <c r="L1083" s="383">
        <v>-275</v>
      </c>
    </row>
    <row r="1084" spans="2:12">
      <c r="B1084" s="1050"/>
      <c r="C1084" s="1051"/>
      <c r="D1084" s="359" t="s">
        <v>12</v>
      </c>
      <c r="E1084" s="359" t="s">
        <v>111</v>
      </c>
      <c r="F1084" s="359" t="s">
        <v>111</v>
      </c>
      <c r="G1084" s="359" t="s">
        <v>111</v>
      </c>
      <c r="H1084" s="384">
        <v>-275</v>
      </c>
      <c r="I1084" s="1048">
        <v>0</v>
      </c>
      <c r="J1084" s="1047"/>
      <c r="K1084" s="384">
        <v>0</v>
      </c>
      <c r="L1084" s="384">
        <v>-275</v>
      </c>
    </row>
    <row r="1085" spans="2:12">
      <c r="B1085" s="1050"/>
      <c r="C1085" s="1049" t="s">
        <v>2630</v>
      </c>
      <c r="D1085" s="382" t="s">
        <v>2631</v>
      </c>
      <c r="E1085" s="382" t="s">
        <v>2273</v>
      </c>
      <c r="F1085" s="382" t="s">
        <v>2342</v>
      </c>
      <c r="G1085" s="382" t="s">
        <v>2343</v>
      </c>
      <c r="H1085" s="383">
        <v>-1820</v>
      </c>
      <c r="I1085" s="1046">
        <v>0</v>
      </c>
      <c r="J1085" s="1047"/>
      <c r="K1085" s="383">
        <v>0</v>
      </c>
      <c r="L1085" s="383">
        <v>-1820</v>
      </c>
    </row>
    <row r="1086" spans="2:12">
      <c r="B1086" s="1050"/>
      <c r="C1086" s="1050"/>
      <c r="D1086" s="382" t="s">
        <v>2631</v>
      </c>
      <c r="E1086" s="382" t="s">
        <v>2273</v>
      </c>
      <c r="F1086" s="382" t="s">
        <v>2342</v>
      </c>
      <c r="G1086" s="382" t="s">
        <v>2344</v>
      </c>
      <c r="H1086" s="383">
        <v>-24000</v>
      </c>
      <c r="I1086" s="1046">
        <v>0</v>
      </c>
      <c r="J1086" s="1047"/>
      <c r="K1086" s="383">
        <v>0</v>
      </c>
      <c r="L1086" s="383">
        <v>-24000</v>
      </c>
    </row>
    <row r="1087" spans="2:12">
      <c r="B1087" s="1050"/>
      <c r="C1087" s="1050"/>
      <c r="D1087" s="382" t="s">
        <v>2631</v>
      </c>
      <c r="E1087" s="382" t="s">
        <v>2273</v>
      </c>
      <c r="F1087" s="382" t="s">
        <v>2342</v>
      </c>
      <c r="G1087" s="382" t="s">
        <v>2345</v>
      </c>
      <c r="H1087" s="383">
        <v>-5041</v>
      </c>
      <c r="I1087" s="1046">
        <v>2020</v>
      </c>
      <c r="J1087" s="1047"/>
      <c r="K1087" s="383">
        <v>0</v>
      </c>
      <c r="L1087" s="383">
        <v>-7061</v>
      </c>
    </row>
    <row r="1088" spans="2:12">
      <c r="B1088" s="1050"/>
      <c r="C1088" s="1050"/>
      <c r="D1088" s="382" t="s">
        <v>2631</v>
      </c>
      <c r="E1088" s="382" t="s">
        <v>2273</v>
      </c>
      <c r="F1088" s="382" t="s">
        <v>2342</v>
      </c>
      <c r="G1088" s="382" t="s">
        <v>2346</v>
      </c>
      <c r="H1088" s="383">
        <v>-4038.77</v>
      </c>
      <c r="I1088" s="1046">
        <v>1400</v>
      </c>
      <c r="J1088" s="1047"/>
      <c r="K1088" s="383">
        <v>0</v>
      </c>
      <c r="L1088" s="383">
        <v>-5438.77</v>
      </c>
    </row>
    <row r="1089" spans="2:12">
      <c r="B1089" s="1050"/>
      <c r="C1089" s="1050"/>
      <c r="D1089" s="382" t="s">
        <v>2631</v>
      </c>
      <c r="E1089" s="382" t="s">
        <v>2273</v>
      </c>
      <c r="F1089" s="382" t="s">
        <v>2342</v>
      </c>
      <c r="G1089" s="382" t="s">
        <v>2347</v>
      </c>
      <c r="H1089" s="383">
        <v>-27966</v>
      </c>
      <c r="I1089" s="1046">
        <v>10548</v>
      </c>
      <c r="J1089" s="1047"/>
      <c r="K1089" s="383">
        <v>0</v>
      </c>
      <c r="L1089" s="383">
        <v>-38514</v>
      </c>
    </row>
    <row r="1090" spans="2:12">
      <c r="B1090" s="1050"/>
      <c r="C1090" s="1050"/>
      <c r="D1090" s="382" t="s">
        <v>2631</v>
      </c>
      <c r="E1090" s="382" t="s">
        <v>2273</v>
      </c>
      <c r="F1090" s="382" t="s">
        <v>2342</v>
      </c>
      <c r="G1090" s="382" t="s">
        <v>2348</v>
      </c>
      <c r="H1090" s="383">
        <v>-1820</v>
      </c>
      <c r="I1090" s="1046">
        <v>0</v>
      </c>
      <c r="J1090" s="1047"/>
      <c r="K1090" s="383">
        <v>0</v>
      </c>
      <c r="L1090" s="383">
        <v>-1820</v>
      </c>
    </row>
    <row r="1091" spans="2:12">
      <c r="B1091" s="1050"/>
      <c r="C1091" s="1050"/>
      <c r="D1091" s="382" t="s">
        <v>2631</v>
      </c>
      <c r="E1091" s="382" t="s">
        <v>2273</v>
      </c>
      <c r="F1091" s="382" t="s">
        <v>2342</v>
      </c>
      <c r="G1091" s="382" t="s">
        <v>2349</v>
      </c>
      <c r="H1091" s="383">
        <v>-120</v>
      </c>
      <c r="I1091" s="1046">
        <v>0</v>
      </c>
      <c r="J1091" s="1047"/>
      <c r="K1091" s="383">
        <v>0</v>
      </c>
      <c r="L1091" s="383">
        <v>-120</v>
      </c>
    </row>
    <row r="1092" spans="2:12">
      <c r="B1092" s="1050"/>
      <c r="C1092" s="1050"/>
      <c r="D1092" s="382" t="s">
        <v>2631</v>
      </c>
      <c r="E1092" s="382" t="s">
        <v>2273</v>
      </c>
      <c r="F1092" s="382" t="s">
        <v>2342</v>
      </c>
      <c r="G1092" s="382" t="s">
        <v>2350</v>
      </c>
      <c r="H1092" s="383">
        <v>-660</v>
      </c>
      <c r="I1092" s="1046">
        <v>0</v>
      </c>
      <c r="J1092" s="1047"/>
      <c r="K1092" s="383">
        <v>0</v>
      </c>
      <c r="L1092" s="383">
        <v>-660</v>
      </c>
    </row>
    <row r="1093" spans="2:12">
      <c r="B1093" s="1050"/>
      <c r="C1093" s="1050"/>
      <c r="D1093" s="382" t="s">
        <v>2631</v>
      </c>
      <c r="E1093" s="382" t="s">
        <v>2273</v>
      </c>
      <c r="F1093" s="382" t="s">
        <v>2342</v>
      </c>
      <c r="G1093" s="382" t="s">
        <v>2351</v>
      </c>
      <c r="H1093" s="383">
        <v>-20060</v>
      </c>
      <c r="I1093" s="1046">
        <v>2900</v>
      </c>
      <c r="J1093" s="1047"/>
      <c r="K1093" s="383">
        <v>0</v>
      </c>
      <c r="L1093" s="383">
        <v>-22960</v>
      </c>
    </row>
    <row r="1094" spans="2:12">
      <c r="B1094" s="1050"/>
      <c r="C1094" s="1050"/>
      <c r="D1094" s="382" t="s">
        <v>2631</v>
      </c>
      <c r="E1094" s="382" t="s">
        <v>2273</v>
      </c>
      <c r="F1094" s="382" t="s">
        <v>2342</v>
      </c>
      <c r="G1094" s="382" t="s">
        <v>2352</v>
      </c>
      <c r="H1094" s="383">
        <v>-1820</v>
      </c>
      <c r="I1094" s="1046">
        <v>0</v>
      </c>
      <c r="J1094" s="1047"/>
      <c r="K1094" s="383">
        <v>0</v>
      </c>
      <c r="L1094" s="383">
        <v>-1820</v>
      </c>
    </row>
    <row r="1095" spans="2:12">
      <c r="B1095" s="1050"/>
      <c r="C1095" s="1050"/>
      <c r="D1095" s="382" t="s">
        <v>2631</v>
      </c>
      <c r="E1095" s="382" t="s">
        <v>2273</v>
      </c>
      <c r="F1095" s="382" t="s">
        <v>2342</v>
      </c>
      <c r="G1095" s="382" t="s">
        <v>2353</v>
      </c>
      <c r="H1095" s="383">
        <v>-520</v>
      </c>
      <c r="I1095" s="1046">
        <v>0</v>
      </c>
      <c r="J1095" s="1047"/>
      <c r="K1095" s="383">
        <v>0</v>
      </c>
      <c r="L1095" s="383">
        <v>-520</v>
      </c>
    </row>
    <row r="1096" spans="2:12">
      <c r="B1096" s="1050"/>
      <c r="C1096" s="1050"/>
      <c r="D1096" s="382" t="s">
        <v>2631</v>
      </c>
      <c r="E1096" s="382" t="s">
        <v>2273</v>
      </c>
      <c r="F1096" s="382" t="s">
        <v>2342</v>
      </c>
      <c r="G1096" s="382" t="s">
        <v>405</v>
      </c>
      <c r="H1096" s="383">
        <v>-1820</v>
      </c>
      <c r="I1096" s="1046">
        <v>0</v>
      </c>
      <c r="J1096" s="1047"/>
      <c r="K1096" s="383">
        <v>0</v>
      </c>
      <c r="L1096" s="383">
        <v>-1820</v>
      </c>
    </row>
    <row r="1097" spans="2:12">
      <c r="B1097" s="1050"/>
      <c r="C1097" s="1050"/>
      <c r="D1097" s="382" t="s">
        <v>2631</v>
      </c>
      <c r="E1097" s="382" t="s">
        <v>2273</v>
      </c>
      <c r="F1097" s="382" t="s">
        <v>2342</v>
      </c>
      <c r="G1097" s="382" t="s">
        <v>2354</v>
      </c>
      <c r="H1097" s="383">
        <v>-1820</v>
      </c>
      <c r="I1097" s="1046">
        <v>909</v>
      </c>
      <c r="J1097" s="1047"/>
      <c r="K1097" s="383">
        <v>0</v>
      </c>
      <c r="L1097" s="383">
        <v>-2729</v>
      </c>
    </row>
    <row r="1098" spans="2:12">
      <c r="B1098" s="1050"/>
      <c r="C1098" s="1050"/>
      <c r="D1098" s="382" t="s">
        <v>2631</v>
      </c>
      <c r="E1098" s="382" t="s">
        <v>2273</v>
      </c>
      <c r="F1098" s="382" t="s">
        <v>2342</v>
      </c>
      <c r="G1098" s="382" t="s">
        <v>2355</v>
      </c>
      <c r="H1098" s="383">
        <v>-618859.36</v>
      </c>
      <c r="I1098" s="1046">
        <v>81675</v>
      </c>
      <c r="J1098" s="1047"/>
      <c r="K1098" s="383">
        <v>0</v>
      </c>
      <c r="L1098" s="383">
        <v>-700534.36</v>
      </c>
    </row>
    <row r="1099" spans="2:12">
      <c r="B1099" s="1050"/>
      <c r="C1099" s="1050"/>
      <c r="D1099" s="382" t="s">
        <v>2632</v>
      </c>
      <c r="E1099" s="382" t="s">
        <v>2274</v>
      </c>
      <c r="F1099" s="382" t="s">
        <v>2342</v>
      </c>
      <c r="G1099" s="382" t="s">
        <v>2343</v>
      </c>
      <c r="H1099" s="383">
        <v>-10759.8</v>
      </c>
      <c r="I1099" s="1046">
        <v>11888.4</v>
      </c>
      <c r="J1099" s="1047"/>
      <c r="K1099" s="383">
        <v>0</v>
      </c>
      <c r="L1099" s="383">
        <v>-22648.2</v>
      </c>
    </row>
    <row r="1100" spans="2:12">
      <c r="B1100" s="1050"/>
      <c r="C1100" s="1050"/>
      <c r="D1100" s="382" t="s">
        <v>2632</v>
      </c>
      <c r="E1100" s="382" t="s">
        <v>2274</v>
      </c>
      <c r="F1100" s="382" t="s">
        <v>2342</v>
      </c>
      <c r="G1100" s="382" t="s">
        <v>2344</v>
      </c>
      <c r="H1100" s="383">
        <v>-24471.16</v>
      </c>
      <c r="I1100" s="1046">
        <v>9645</v>
      </c>
      <c r="J1100" s="1047"/>
      <c r="K1100" s="383">
        <v>0</v>
      </c>
      <c r="L1100" s="383">
        <v>-34116.160000000003</v>
      </c>
    </row>
    <row r="1101" spans="2:12">
      <c r="B1101" s="1050"/>
      <c r="C1101" s="1050"/>
      <c r="D1101" s="382" t="s">
        <v>2632</v>
      </c>
      <c r="E1101" s="382" t="s">
        <v>2274</v>
      </c>
      <c r="F1101" s="382" t="s">
        <v>2342</v>
      </c>
      <c r="G1101" s="382" t="s">
        <v>2345</v>
      </c>
      <c r="H1101" s="383">
        <v>-17071.2</v>
      </c>
      <c r="I1101" s="1046">
        <v>9882.7999999999993</v>
      </c>
      <c r="J1101" s="1047"/>
      <c r="K1101" s="383">
        <v>0</v>
      </c>
      <c r="L1101" s="383">
        <v>-26954</v>
      </c>
    </row>
    <row r="1102" spans="2:12">
      <c r="B1102" s="1050"/>
      <c r="C1102" s="1050"/>
      <c r="D1102" s="382" t="s">
        <v>2632</v>
      </c>
      <c r="E1102" s="382" t="s">
        <v>2274</v>
      </c>
      <c r="F1102" s="382" t="s">
        <v>2342</v>
      </c>
      <c r="G1102" s="382" t="s">
        <v>2346</v>
      </c>
      <c r="H1102" s="383">
        <v>-18997.3</v>
      </c>
      <c r="I1102" s="1046">
        <v>7581</v>
      </c>
      <c r="J1102" s="1047"/>
      <c r="K1102" s="383">
        <v>0</v>
      </c>
      <c r="L1102" s="383">
        <v>-26578.3</v>
      </c>
    </row>
    <row r="1103" spans="2:12">
      <c r="B1103" s="1050"/>
      <c r="C1103" s="1050"/>
      <c r="D1103" s="382" t="s">
        <v>2632</v>
      </c>
      <c r="E1103" s="382" t="s">
        <v>2274</v>
      </c>
      <c r="F1103" s="382" t="s">
        <v>2342</v>
      </c>
      <c r="G1103" s="382" t="s">
        <v>2347</v>
      </c>
      <c r="H1103" s="383">
        <v>-41348.400000000001</v>
      </c>
      <c r="I1103" s="1046">
        <v>20669.900000000001</v>
      </c>
      <c r="J1103" s="1047"/>
      <c r="K1103" s="383">
        <v>0</v>
      </c>
      <c r="L1103" s="383">
        <v>-62018.3</v>
      </c>
    </row>
    <row r="1104" spans="2:12">
      <c r="B1104" s="1050"/>
      <c r="C1104" s="1050"/>
      <c r="D1104" s="382" t="s">
        <v>2632</v>
      </c>
      <c r="E1104" s="382" t="s">
        <v>2274</v>
      </c>
      <c r="F1104" s="382" t="s">
        <v>2342</v>
      </c>
      <c r="G1104" s="382" t="s">
        <v>2348</v>
      </c>
      <c r="H1104" s="383">
        <v>-23711.3</v>
      </c>
      <c r="I1104" s="1046">
        <v>12596</v>
      </c>
      <c r="J1104" s="1047"/>
      <c r="K1104" s="383">
        <v>0</v>
      </c>
      <c r="L1104" s="383">
        <v>-36307.300000000003</v>
      </c>
    </row>
    <row r="1105" spans="2:12">
      <c r="B1105" s="1050"/>
      <c r="C1105" s="1050"/>
      <c r="D1105" s="382" t="s">
        <v>2632</v>
      </c>
      <c r="E1105" s="382" t="s">
        <v>2274</v>
      </c>
      <c r="F1105" s="382" t="s">
        <v>2342</v>
      </c>
      <c r="G1105" s="382" t="s">
        <v>2349</v>
      </c>
      <c r="H1105" s="383">
        <v>-31423.7</v>
      </c>
      <c r="I1105" s="1046">
        <v>16714.599999999999</v>
      </c>
      <c r="J1105" s="1047"/>
      <c r="K1105" s="383">
        <v>0</v>
      </c>
      <c r="L1105" s="383">
        <v>-48138.3</v>
      </c>
    </row>
    <row r="1106" spans="2:12">
      <c r="B1106" s="1050"/>
      <c r="C1106" s="1050"/>
      <c r="D1106" s="382" t="s">
        <v>2632</v>
      </c>
      <c r="E1106" s="382" t="s">
        <v>2274</v>
      </c>
      <c r="F1106" s="382" t="s">
        <v>2342</v>
      </c>
      <c r="G1106" s="382" t="s">
        <v>2350</v>
      </c>
      <c r="H1106" s="383">
        <v>-18822.7</v>
      </c>
      <c r="I1106" s="1046">
        <v>15523</v>
      </c>
      <c r="J1106" s="1047"/>
      <c r="K1106" s="383">
        <v>0</v>
      </c>
      <c r="L1106" s="383">
        <v>-34345.699999999997</v>
      </c>
    </row>
    <row r="1107" spans="2:12">
      <c r="B1107" s="1050"/>
      <c r="C1107" s="1050"/>
      <c r="D1107" s="382" t="s">
        <v>2632</v>
      </c>
      <c r="E1107" s="382" t="s">
        <v>2274</v>
      </c>
      <c r="F1107" s="382" t="s">
        <v>2342</v>
      </c>
      <c r="G1107" s="382" t="s">
        <v>2351</v>
      </c>
      <c r="H1107" s="383">
        <v>-35175.800000000003</v>
      </c>
      <c r="I1107" s="1046">
        <v>9615.6</v>
      </c>
      <c r="J1107" s="1047"/>
      <c r="K1107" s="383">
        <v>0</v>
      </c>
      <c r="L1107" s="383">
        <v>-44791.4</v>
      </c>
    </row>
    <row r="1108" spans="2:12">
      <c r="B1108" s="1050"/>
      <c r="C1108" s="1050"/>
      <c r="D1108" s="382" t="s">
        <v>2632</v>
      </c>
      <c r="E1108" s="382" t="s">
        <v>2274</v>
      </c>
      <c r="F1108" s="382" t="s">
        <v>2342</v>
      </c>
      <c r="G1108" s="382" t="s">
        <v>2352</v>
      </c>
      <c r="H1108" s="383">
        <v>-17908</v>
      </c>
      <c r="I1108" s="1046">
        <v>9872</v>
      </c>
      <c r="J1108" s="1047"/>
      <c r="K1108" s="383">
        <v>0</v>
      </c>
      <c r="L1108" s="383">
        <v>-27780</v>
      </c>
    </row>
    <row r="1109" spans="2:12">
      <c r="B1109" s="1050"/>
      <c r="C1109" s="1050"/>
      <c r="D1109" s="382" t="s">
        <v>2632</v>
      </c>
      <c r="E1109" s="382" t="s">
        <v>2274</v>
      </c>
      <c r="F1109" s="382" t="s">
        <v>2342</v>
      </c>
      <c r="G1109" s="382" t="s">
        <v>2353</v>
      </c>
      <c r="H1109" s="383">
        <v>-19119.2</v>
      </c>
      <c r="I1109" s="1046">
        <v>9639.7999999999993</v>
      </c>
      <c r="J1109" s="1047"/>
      <c r="K1109" s="383">
        <v>0</v>
      </c>
      <c r="L1109" s="383">
        <v>-28759</v>
      </c>
    </row>
    <row r="1110" spans="2:12">
      <c r="B1110" s="1050"/>
      <c r="C1110" s="1050"/>
      <c r="D1110" s="382" t="s">
        <v>2632</v>
      </c>
      <c r="E1110" s="382" t="s">
        <v>2274</v>
      </c>
      <c r="F1110" s="382" t="s">
        <v>2342</v>
      </c>
      <c r="G1110" s="382" t="s">
        <v>405</v>
      </c>
      <c r="H1110" s="383">
        <v>-8484.7999999999993</v>
      </c>
      <c r="I1110" s="1046">
        <v>4487.2</v>
      </c>
      <c r="J1110" s="1047"/>
      <c r="K1110" s="383">
        <v>0</v>
      </c>
      <c r="L1110" s="383">
        <v>-12972</v>
      </c>
    </row>
    <row r="1111" spans="2:12">
      <c r="B1111" s="1050"/>
      <c r="C1111" s="1050"/>
      <c r="D1111" s="382" t="s">
        <v>2632</v>
      </c>
      <c r="E1111" s="382" t="s">
        <v>2274</v>
      </c>
      <c r="F1111" s="382" t="s">
        <v>2342</v>
      </c>
      <c r="G1111" s="382" t="s">
        <v>2354</v>
      </c>
      <c r="H1111" s="383">
        <v>-6189.2</v>
      </c>
      <c r="I1111" s="1046">
        <v>716</v>
      </c>
      <c r="J1111" s="1047"/>
      <c r="K1111" s="383">
        <v>77.5</v>
      </c>
      <c r="L1111" s="383">
        <v>-6827.7</v>
      </c>
    </row>
    <row r="1112" spans="2:12">
      <c r="B1112" s="1050"/>
      <c r="C1112" s="1050"/>
      <c r="D1112" s="382" t="s">
        <v>2632</v>
      </c>
      <c r="E1112" s="382" t="s">
        <v>2274</v>
      </c>
      <c r="F1112" s="382" t="s">
        <v>2342</v>
      </c>
      <c r="G1112" s="382" t="s">
        <v>2355</v>
      </c>
      <c r="H1112" s="383">
        <v>-1593761.96</v>
      </c>
      <c r="I1112" s="1046">
        <v>51665.52</v>
      </c>
      <c r="J1112" s="1047"/>
      <c r="K1112" s="383">
        <v>0</v>
      </c>
      <c r="L1112" s="383">
        <v>-1645427.48</v>
      </c>
    </row>
    <row r="1113" spans="2:12">
      <c r="B1113" s="1050"/>
      <c r="C1113" s="1051"/>
      <c r="D1113" s="359" t="s">
        <v>12</v>
      </c>
      <c r="E1113" s="359" t="s">
        <v>111</v>
      </c>
      <c r="F1113" s="359" t="s">
        <v>111</v>
      </c>
      <c r="G1113" s="359" t="s">
        <v>111</v>
      </c>
      <c r="H1113" s="384">
        <v>-2577609.65</v>
      </c>
      <c r="I1113" s="1048">
        <v>289948.82</v>
      </c>
      <c r="J1113" s="1047"/>
      <c r="K1113" s="384">
        <v>77.5</v>
      </c>
      <c r="L1113" s="384">
        <v>-2867480.97</v>
      </c>
    </row>
    <row r="1114" spans="2:12">
      <c r="B1114" s="1050"/>
      <c r="C1114" s="1049" t="s">
        <v>2633</v>
      </c>
      <c r="D1114" s="382" t="s">
        <v>2634</v>
      </c>
      <c r="E1114" s="382" t="s">
        <v>2275</v>
      </c>
      <c r="F1114" s="382" t="s">
        <v>2342</v>
      </c>
      <c r="G1114" s="382" t="s">
        <v>2355</v>
      </c>
      <c r="H1114" s="383">
        <v>-513555.4</v>
      </c>
      <c r="I1114" s="1046">
        <v>55949.09</v>
      </c>
      <c r="J1114" s="1047"/>
      <c r="K1114" s="383">
        <v>0</v>
      </c>
      <c r="L1114" s="383">
        <v>-569504.49</v>
      </c>
    </row>
    <row r="1115" spans="2:12">
      <c r="B1115" s="1050"/>
      <c r="C1115" s="1050"/>
      <c r="D1115" s="382" t="s">
        <v>2635</v>
      </c>
      <c r="E1115" s="382" t="s">
        <v>2276</v>
      </c>
      <c r="F1115" s="382" t="s">
        <v>2342</v>
      </c>
      <c r="G1115" s="382" t="s">
        <v>2355</v>
      </c>
      <c r="H1115" s="383">
        <v>-353489.76</v>
      </c>
      <c r="I1115" s="1046">
        <v>37315.4</v>
      </c>
      <c r="J1115" s="1047"/>
      <c r="K1115" s="383">
        <v>0</v>
      </c>
      <c r="L1115" s="383">
        <v>-390805.16</v>
      </c>
    </row>
    <row r="1116" spans="2:12">
      <c r="B1116" s="1050"/>
      <c r="C1116" s="1051"/>
      <c r="D1116" s="359" t="s">
        <v>12</v>
      </c>
      <c r="E1116" s="359" t="s">
        <v>111</v>
      </c>
      <c r="F1116" s="359" t="s">
        <v>111</v>
      </c>
      <c r="G1116" s="359" t="s">
        <v>111</v>
      </c>
      <c r="H1116" s="384">
        <v>-867045.16</v>
      </c>
      <c r="I1116" s="1048">
        <v>93264.49</v>
      </c>
      <c r="J1116" s="1047"/>
      <c r="K1116" s="384">
        <v>0</v>
      </c>
      <c r="L1116" s="384">
        <v>-960309.65</v>
      </c>
    </row>
    <row r="1117" spans="2:12">
      <c r="B1117" s="1050"/>
      <c r="C1117" s="1049" t="s">
        <v>2636</v>
      </c>
      <c r="D1117" s="382" t="s">
        <v>2637</v>
      </c>
      <c r="E1117" s="382" t="s">
        <v>2277</v>
      </c>
      <c r="F1117" s="382" t="s">
        <v>2342</v>
      </c>
      <c r="G1117" s="382" t="s">
        <v>2347</v>
      </c>
      <c r="H1117" s="383">
        <v>-15853.66</v>
      </c>
      <c r="I1117" s="1046">
        <v>15594.57</v>
      </c>
      <c r="J1117" s="1047"/>
      <c r="K1117" s="383">
        <v>0</v>
      </c>
      <c r="L1117" s="383">
        <v>-31448.23</v>
      </c>
    </row>
    <row r="1118" spans="2:12">
      <c r="B1118" s="1050"/>
      <c r="C1118" s="1050"/>
      <c r="D1118" s="382" t="s">
        <v>2637</v>
      </c>
      <c r="E1118" s="382" t="s">
        <v>2277</v>
      </c>
      <c r="F1118" s="382" t="s">
        <v>2342</v>
      </c>
      <c r="G1118" s="382" t="s">
        <v>2352</v>
      </c>
      <c r="H1118" s="383">
        <v>-11511.89</v>
      </c>
      <c r="I1118" s="1046">
        <v>0</v>
      </c>
      <c r="J1118" s="1047"/>
      <c r="K1118" s="383">
        <v>0</v>
      </c>
      <c r="L1118" s="383">
        <v>-11511.89</v>
      </c>
    </row>
    <row r="1119" spans="2:12">
      <c r="B1119" s="1050"/>
      <c r="C1119" s="1050"/>
      <c r="D1119" s="382" t="s">
        <v>2637</v>
      </c>
      <c r="E1119" s="382" t="s">
        <v>2277</v>
      </c>
      <c r="F1119" s="382" t="s">
        <v>2342</v>
      </c>
      <c r="G1119" s="382" t="s">
        <v>2353</v>
      </c>
      <c r="H1119" s="383">
        <v>-24176.68</v>
      </c>
      <c r="I1119" s="1046">
        <v>0</v>
      </c>
      <c r="J1119" s="1047"/>
      <c r="K1119" s="383">
        <v>0</v>
      </c>
      <c r="L1119" s="383">
        <v>-24176.68</v>
      </c>
    </row>
    <row r="1120" spans="2:12">
      <c r="B1120" s="1050"/>
      <c r="C1120" s="1050"/>
      <c r="D1120" s="382" t="s">
        <v>2637</v>
      </c>
      <c r="E1120" s="382" t="s">
        <v>2277</v>
      </c>
      <c r="F1120" s="382" t="s">
        <v>2342</v>
      </c>
      <c r="G1120" s="382" t="s">
        <v>2355</v>
      </c>
      <c r="H1120" s="383">
        <v>-1133578.7</v>
      </c>
      <c r="I1120" s="1046">
        <v>90839.13</v>
      </c>
      <c r="J1120" s="1047"/>
      <c r="K1120" s="383">
        <v>0</v>
      </c>
      <c r="L1120" s="383">
        <v>-1224417.83</v>
      </c>
    </row>
    <row r="1121" spans="2:12">
      <c r="B1121" s="1050"/>
      <c r="C1121" s="1051"/>
      <c r="D1121" s="359" t="s">
        <v>12</v>
      </c>
      <c r="E1121" s="359" t="s">
        <v>111</v>
      </c>
      <c r="F1121" s="359" t="s">
        <v>111</v>
      </c>
      <c r="G1121" s="359" t="s">
        <v>111</v>
      </c>
      <c r="H1121" s="384">
        <v>-1185120.93</v>
      </c>
      <c r="I1121" s="1048">
        <v>106433.7</v>
      </c>
      <c r="J1121" s="1047"/>
      <c r="K1121" s="384">
        <v>0</v>
      </c>
      <c r="L1121" s="384">
        <v>-1291554.6299999999</v>
      </c>
    </row>
    <row r="1122" spans="2:12">
      <c r="B1122" s="1050"/>
      <c r="C1122" s="1049" t="s">
        <v>2638</v>
      </c>
      <c r="D1122" s="382" t="s">
        <v>2639</v>
      </c>
      <c r="E1122" s="382" t="s">
        <v>2278</v>
      </c>
      <c r="F1122" s="382" t="s">
        <v>2342</v>
      </c>
      <c r="G1122" s="382" t="s">
        <v>2355</v>
      </c>
      <c r="H1122" s="383">
        <v>-202403.58</v>
      </c>
      <c r="I1122" s="1046">
        <v>46914.29</v>
      </c>
      <c r="J1122" s="1047"/>
      <c r="K1122" s="383">
        <v>0</v>
      </c>
      <c r="L1122" s="383">
        <v>-249317.87</v>
      </c>
    </row>
    <row r="1123" spans="2:12">
      <c r="B1123" s="1050"/>
      <c r="C1123" s="1051"/>
      <c r="D1123" s="359" t="s">
        <v>12</v>
      </c>
      <c r="E1123" s="359" t="s">
        <v>111</v>
      </c>
      <c r="F1123" s="359" t="s">
        <v>111</v>
      </c>
      <c r="G1123" s="359" t="s">
        <v>111</v>
      </c>
      <c r="H1123" s="384">
        <v>-202403.58</v>
      </c>
      <c r="I1123" s="1048">
        <v>46914.29</v>
      </c>
      <c r="J1123" s="1047"/>
      <c r="K1123" s="384">
        <v>0</v>
      </c>
      <c r="L1123" s="384">
        <v>-249317.87</v>
      </c>
    </row>
    <row r="1124" spans="2:12">
      <c r="B1124" s="1050"/>
      <c r="C1124" s="1049" t="s">
        <v>2640</v>
      </c>
      <c r="D1124" s="382" t="s">
        <v>2641</v>
      </c>
      <c r="E1124" s="382" t="s">
        <v>2279</v>
      </c>
      <c r="F1124" s="382" t="s">
        <v>2342</v>
      </c>
      <c r="G1124" s="382" t="s">
        <v>2355</v>
      </c>
      <c r="H1124" s="383">
        <v>-112671.44</v>
      </c>
      <c r="I1124" s="1046">
        <v>4350</v>
      </c>
      <c r="J1124" s="1047"/>
      <c r="K1124" s="383">
        <v>0</v>
      </c>
      <c r="L1124" s="383">
        <v>-117021.44</v>
      </c>
    </row>
    <row r="1125" spans="2:12">
      <c r="B1125" s="1050"/>
      <c r="C1125" s="1051"/>
      <c r="D1125" s="359" t="s">
        <v>12</v>
      </c>
      <c r="E1125" s="359" t="s">
        <v>111</v>
      </c>
      <c r="F1125" s="359" t="s">
        <v>111</v>
      </c>
      <c r="G1125" s="359" t="s">
        <v>111</v>
      </c>
      <c r="H1125" s="384">
        <v>-112671.44</v>
      </c>
      <c r="I1125" s="1048">
        <v>4350</v>
      </c>
      <c r="J1125" s="1047"/>
      <c r="K1125" s="384">
        <v>0</v>
      </c>
      <c r="L1125" s="384">
        <v>-117021.44</v>
      </c>
    </row>
    <row r="1126" spans="2:12">
      <c r="B1126" s="1050"/>
      <c r="C1126" s="1049" t="s">
        <v>2642</v>
      </c>
      <c r="D1126" s="382" t="s">
        <v>2643</v>
      </c>
      <c r="E1126" s="382" t="s">
        <v>2280</v>
      </c>
      <c r="F1126" s="382" t="s">
        <v>2342</v>
      </c>
      <c r="G1126" s="382" t="s">
        <v>2343</v>
      </c>
      <c r="H1126" s="383">
        <v>300</v>
      </c>
      <c r="I1126" s="1046">
        <v>0</v>
      </c>
      <c r="J1126" s="1047"/>
      <c r="K1126" s="383">
        <v>0</v>
      </c>
      <c r="L1126" s="383">
        <v>300</v>
      </c>
    </row>
    <row r="1127" spans="2:12">
      <c r="B1127" s="1050"/>
      <c r="C1127" s="1051"/>
      <c r="D1127" s="359" t="s">
        <v>12</v>
      </c>
      <c r="E1127" s="359" t="s">
        <v>111</v>
      </c>
      <c r="F1127" s="359" t="s">
        <v>111</v>
      </c>
      <c r="G1127" s="359" t="s">
        <v>111</v>
      </c>
      <c r="H1127" s="384">
        <v>300</v>
      </c>
      <c r="I1127" s="1048">
        <v>0</v>
      </c>
      <c r="J1127" s="1047"/>
      <c r="K1127" s="384">
        <v>0</v>
      </c>
      <c r="L1127" s="384">
        <v>300</v>
      </c>
    </row>
    <row r="1128" spans="2:12">
      <c r="B1128" s="1050"/>
      <c r="C1128" s="1049" t="s">
        <v>2644</v>
      </c>
      <c r="D1128" s="382" t="s">
        <v>2645</v>
      </c>
      <c r="E1128" s="382" t="s">
        <v>2281</v>
      </c>
      <c r="F1128" s="382" t="s">
        <v>2342</v>
      </c>
      <c r="G1128" s="382" t="s">
        <v>2343</v>
      </c>
      <c r="H1128" s="383">
        <v>0</v>
      </c>
      <c r="I1128" s="1046">
        <v>4500</v>
      </c>
      <c r="J1128" s="1047"/>
      <c r="K1128" s="383">
        <v>1500</v>
      </c>
      <c r="L1128" s="383">
        <v>-3000</v>
      </c>
    </row>
    <row r="1129" spans="2:12">
      <c r="B1129" s="1050"/>
      <c r="C1129" s="1050"/>
      <c r="D1129" s="382" t="s">
        <v>2645</v>
      </c>
      <c r="E1129" s="382" t="s">
        <v>2281</v>
      </c>
      <c r="F1129" s="382" t="s">
        <v>2342</v>
      </c>
      <c r="G1129" s="382" t="s">
        <v>2355</v>
      </c>
      <c r="H1129" s="383">
        <v>-64708.75</v>
      </c>
      <c r="I1129" s="1046">
        <v>54417.85</v>
      </c>
      <c r="J1129" s="1047"/>
      <c r="K1129" s="383">
        <v>73323.86</v>
      </c>
      <c r="L1129" s="383">
        <f>H1129+K1129-I1129</f>
        <v>-45802.74</v>
      </c>
    </row>
    <row r="1130" spans="2:12">
      <c r="B1130" s="1050"/>
      <c r="C1130" s="1051"/>
      <c r="D1130" s="359" t="s">
        <v>12</v>
      </c>
      <c r="E1130" s="359" t="s">
        <v>111</v>
      </c>
      <c r="F1130" s="359" t="s">
        <v>111</v>
      </c>
      <c r="G1130" s="359" t="s">
        <v>111</v>
      </c>
      <c r="H1130" s="384">
        <f>H1128+H1129</f>
        <v>-64708.75</v>
      </c>
      <c r="I1130" s="1048">
        <f>I1128+I1129</f>
        <v>58917.85</v>
      </c>
      <c r="J1130" s="1047">
        <f>J1128+J1129</f>
        <v>0</v>
      </c>
      <c r="K1130" s="384">
        <f>K1128+K1129</f>
        <v>74823.86</v>
      </c>
      <c r="L1130" s="384">
        <f>L1128+L1129</f>
        <v>-48802.74</v>
      </c>
    </row>
    <row r="1131" spans="2:12">
      <c r="B1131" s="1050"/>
      <c r="C1131" s="1049" t="s">
        <v>2646</v>
      </c>
      <c r="D1131" s="382" t="s">
        <v>2647</v>
      </c>
      <c r="E1131" s="382" t="s">
        <v>2282</v>
      </c>
      <c r="F1131" s="382" t="s">
        <v>2342</v>
      </c>
      <c r="G1131" s="382" t="s">
        <v>2343</v>
      </c>
      <c r="H1131" s="383">
        <v>-58694.53</v>
      </c>
      <c r="I1131" s="1046">
        <v>30512.87</v>
      </c>
      <c r="J1131" s="1047"/>
      <c r="K1131" s="383">
        <v>0</v>
      </c>
      <c r="L1131" s="383">
        <v>-89207.4</v>
      </c>
    </row>
    <row r="1132" spans="2:12">
      <c r="B1132" s="1050"/>
      <c r="C1132" s="1050"/>
      <c r="D1132" s="382" t="s">
        <v>2647</v>
      </c>
      <c r="E1132" s="382" t="s">
        <v>2282</v>
      </c>
      <c r="F1132" s="382" t="s">
        <v>2342</v>
      </c>
      <c r="G1132" s="382" t="s">
        <v>2344</v>
      </c>
      <c r="H1132" s="383">
        <v>-19800</v>
      </c>
      <c r="I1132" s="1046">
        <v>10800</v>
      </c>
      <c r="J1132" s="1047"/>
      <c r="K1132" s="383">
        <v>0</v>
      </c>
      <c r="L1132" s="383">
        <v>-30600</v>
      </c>
    </row>
    <row r="1133" spans="2:12">
      <c r="B1133" s="1050"/>
      <c r="C1133" s="1050"/>
      <c r="D1133" s="382" t="s">
        <v>2647</v>
      </c>
      <c r="E1133" s="382" t="s">
        <v>2282</v>
      </c>
      <c r="F1133" s="382" t="s">
        <v>2342</v>
      </c>
      <c r="G1133" s="382" t="s">
        <v>2345</v>
      </c>
      <c r="H1133" s="383">
        <v>-27172.67</v>
      </c>
      <c r="I1133" s="1046">
        <v>14269.74</v>
      </c>
      <c r="J1133" s="1047"/>
      <c r="K1133" s="383">
        <v>0</v>
      </c>
      <c r="L1133" s="383">
        <v>-41442.410000000003</v>
      </c>
    </row>
    <row r="1134" spans="2:12">
      <c r="B1134" s="1050"/>
      <c r="C1134" s="1050"/>
      <c r="D1134" s="382" t="s">
        <v>2647</v>
      </c>
      <c r="E1134" s="382" t="s">
        <v>2282</v>
      </c>
      <c r="F1134" s="382" t="s">
        <v>2342</v>
      </c>
      <c r="G1134" s="382" t="s">
        <v>2346</v>
      </c>
      <c r="H1134" s="383">
        <v>-21111.119999999999</v>
      </c>
      <c r="I1134" s="1046">
        <v>10555.56</v>
      </c>
      <c r="J1134" s="1047"/>
      <c r="K1134" s="383">
        <v>0</v>
      </c>
      <c r="L1134" s="383">
        <v>-31666.68</v>
      </c>
    </row>
    <row r="1135" spans="2:12">
      <c r="B1135" s="1050"/>
      <c r="C1135" s="1050"/>
      <c r="D1135" s="382" t="s">
        <v>2647</v>
      </c>
      <c r="E1135" s="382" t="s">
        <v>2282</v>
      </c>
      <c r="F1135" s="382" t="s">
        <v>2342</v>
      </c>
      <c r="G1135" s="382" t="s">
        <v>2347</v>
      </c>
      <c r="H1135" s="383">
        <v>-28922</v>
      </c>
      <c r="I1135" s="1046">
        <v>14461</v>
      </c>
      <c r="J1135" s="1047"/>
      <c r="K1135" s="383">
        <v>0</v>
      </c>
      <c r="L1135" s="383">
        <v>-43383</v>
      </c>
    </row>
    <row r="1136" spans="2:12">
      <c r="B1136" s="1050"/>
      <c r="C1136" s="1050"/>
      <c r="D1136" s="382" t="s">
        <v>2647</v>
      </c>
      <c r="E1136" s="382" t="s">
        <v>2282</v>
      </c>
      <c r="F1136" s="382" t="s">
        <v>2342</v>
      </c>
      <c r="G1136" s="382" t="s">
        <v>2348</v>
      </c>
      <c r="H1136" s="383">
        <v>-33336.67</v>
      </c>
      <c r="I1136" s="1046">
        <v>0</v>
      </c>
      <c r="J1136" s="1047"/>
      <c r="K1136" s="383">
        <v>0</v>
      </c>
      <c r="L1136" s="383">
        <v>-33336.67</v>
      </c>
    </row>
    <row r="1137" spans="2:12">
      <c r="B1137" s="1050"/>
      <c r="C1137" s="1050"/>
      <c r="D1137" s="382" t="s">
        <v>2647</v>
      </c>
      <c r="E1137" s="382" t="s">
        <v>2282</v>
      </c>
      <c r="F1137" s="382" t="s">
        <v>2342</v>
      </c>
      <c r="G1137" s="382" t="s">
        <v>2349</v>
      </c>
      <c r="H1137" s="383">
        <v>-6000</v>
      </c>
      <c r="I1137" s="1046">
        <v>19670</v>
      </c>
      <c r="J1137" s="1047"/>
      <c r="K1137" s="383">
        <v>0</v>
      </c>
      <c r="L1137" s="383">
        <v>-25670</v>
      </c>
    </row>
    <row r="1138" spans="2:12">
      <c r="B1138" s="1050"/>
      <c r="C1138" s="1050"/>
      <c r="D1138" s="382" t="s">
        <v>2647</v>
      </c>
      <c r="E1138" s="382" t="s">
        <v>2282</v>
      </c>
      <c r="F1138" s="382" t="s">
        <v>2342</v>
      </c>
      <c r="G1138" s="382" t="s">
        <v>2350</v>
      </c>
      <c r="H1138" s="383">
        <v>-49083.33</v>
      </c>
      <c r="I1138" s="1046">
        <v>24541.67</v>
      </c>
      <c r="J1138" s="1047"/>
      <c r="K1138" s="383">
        <v>0</v>
      </c>
      <c r="L1138" s="383">
        <v>-73625</v>
      </c>
    </row>
    <row r="1139" spans="2:12">
      <c r="B1139" s="1050"/>
      <c r="C1139" s="1050"/>
      <c r="D1139" s="382" t="s">
        <v>2647</v>
      </c>
      <c r="E1139" s="382" t="s">
        <v>2282</v>
      </c>
      <c r="F1139" s="382" t="s">
        <v>2342</v>
      </c>
      <c r="G1139" s="382" t="s">
        <v>2351</v>
      </c>
      <c r="H1139" s="383">
        <v>-10000</v>
      </c>
      <c r="I1139" s="1046">
        <v>8111.11</v>
      </c>
      <c r="J1139" s="1047"/>
      <c r="K1139" s="383">
        <v>0</v>
      </c>
      <c r="L1139" s="383">
        <v>-18111.11</v>
      </c>
    </row>
    <row r="1140" spans="2:12">
      <c r="B1140" s="1050"/>
      <c r="C1140" s="1050"/>
      <c r="D1140" s="382" t="s">
        <v>2647</v>
      </c>
      <c r="E1140" s="382" t="s">
        <v>2282</v>
      </c>
      <c r="F1140" s="382" t="s">
        <v>2342</v>
      </c>
      <c r="G1140" s="382" t="s">
        <v>2352</v>
      </c>
      <c r="H1140" s="383">
        <v>-19000</v>
      </c>
      <c r="I1140" s="1046">
        <v>9500</v>
      </c>
      <c r="J1140" s="1047"/>
      <c r="K1140" s="383">
        <v>0</v>
      </c>
      <c r="L1140" s="383">
        <v>-28500</v>
      </c>
    </row>
    <row r="1141" spans="2:12">
      <c r="B1141" s="1050"/>
      <c r="C1141" s="1050"/>
      <c r="D1141" s="382" t="s">
        <v>2647</v>
      </c>
      <c r="E1141" s="382" t="s">
        <v>2282</v>
      </c>
      <c r="F1141" s="382" t="s">
        <v>2342</v>
      </c>
      <c r="G1141" s="382" t="s">
        <v>2353</v>
      </c>
      <c r="H1141" s="383">
        <v>-8000</v>
      </c>
      <c r="I1141" s="1046">
        <v>8000</v>
      </c>
      <c r="J1141" s="1047"/>
      <c r="K1141" s="383">
        <v>0</v>
      </c>
      <c r="L1141" s="383">
        <v>-16000</v>
      </c>
    </row>
    <row r="1142" spans="2:12">
      <c r="B1142" s="1050"/>
      <c r="C1142" s="1050"/>
      <c r="D1142" s="382" t="s">
        <v>2647</v>
      </c>
      <c r="E1142" s="382" t="s">
        <v>2282</v>
      </c>
      <c r="F1142" s="382" t="s">
        <v>2342</v>
      </c>
      <c r="G1142" s="382" t="s">
        <v>405</v>
      </c>
      <c r="H1142" s="383">
        <v>-4500</v>
      </c>
      <c r="I1142" s="1046">
        <v>2500</v>
      </c>
      <c r="J1142" s="1047"/>
      <c r="K1142" s="383">
        <v>0</v>
      </c>
      <c r="L1142" s="383">
        <v>-7000</v>
      </c>
    </row>
    <row r="1143" spans="2:12">
      <c r="B1143" s="1050"/>
      <c r="C1143" s="1050"/>
      <c r="D1143" s="382" t="s">
        <v>2647</v>
      </c>
      <c r="E1143" s="382" t="s">
        <v>2282</v>
      </c>
      <c r="F1143" s="382" t="s">
        <v>2342</v>
      </c>
      <c r="G1143" s="382" t="s">
        <v>2354</v>
      </c>
      <c r="H1143" s="383">
        <v>-9000</v>
      </c>
      <c r="I1143" s="1046">
        <v>9000</v>
      </c>
      <c r="J1143" s="1047"/>
      <c r="K1143" s="383">
        <v>0</v>
      </c>
      <c r="L1143" s="383">
        <v>-18000</v>
      </c>
    </row>
    <row r="1144" spans="2:12">
      <c r="B1144" s="1050"/>
      <c r="C1144" s="1050"/>
      <c r="D1144" s="382" t="s">
        <v>2647</v>
      </c>
      <c r="E1144" s="382" t="s">
        <v>2282</v>
      </c>
      <c r="F1144" s="382" t="s">
        <v>2342</v>
      </c>
      <c r="G1144" s="382" t="s">
        <v>2355</v>
      </c>
      <c r="H1144" s="383">
        <v>-2236463.6</v>
      </c>
      <c r="I1144" s="1046">
        <v>199543.54</v>
      </c>
      <c r="J1144" s="1047"/>
      <c r="K1144" s="383">
        <v>0</v>
      </c>
      <c r="L1144" s="383">
        <v>-2436007.14</v>
      </c>
    </row>
    <row r="1145" spans="2:12">
      <c r="B1145" s="1050"/>
      <c r="C1145" s="1051"/>
      <c r="D1145" s="359" t="s">
        <v>12</v>
      </c>
      <c r="E1145" s="359" t="s">
        <v>111</v>
      </c>
      <c r="F1145" s="359" t="s">
        <v>111</v>
      </c>
      <c r="G1145" s="359" t="s">
        <v>111</v>
      </c>
      <c r="H1145" s="384">
        <v>-2531083.92</v>
      </c>
      <c r="I1145" s="1048">
        <v>361465.49</v>
      </c>
      <c r="J1145" s="1047"/>
      <c r="K1145" s="384">
        <v>0</v>
      </c>
      <c r="L1145" s="384">
        <v>-2892549.41</v>
      </c>
    </row>
    <row r="1146" spans="2:12">
      <c r="B1146" s="1050"/>
      <c r="C1146" s="1049" t="s">
        <v>2648</v>
      </c>
      <c r="D1146" s="382" t="s">
        <v>2649</v>
      </c>
      <c r="E1146" s="382" t="s">
        <v>2283</v>
      </c>
      <c r="F1146" s="382" t="s">
        <v>2342</v>
      </c>
      <c r="G1146" s="382" t="s">
        <v>2343</v>
      </c>
      <c r="H1146" s="383">
        <v>-1661.05</v>
      </c>
      <c r="I1146" s="1046">
        <v>0</v>
      </c>
      <c r="J1146" s="1047"/>
      <c r="K1146" s="383">
        <v>0</v>
      </c>
      <c r="L1146" s="383">
        <v>-1661.05</v>
      </c>
    </row>
    <row r="1147" spans="2:12">
      <c r="B1147" s="1050"/>
      <c r="C1147" s="1050"/>
      <c r="D1147" s="382" t="s">
        <v>2649</v>
      </c>
      <c r="E1147" s="382" t="s">
        <v>2283</v>
      </c>
      <c r="F1147" s="382" t="s">
        <v>2342</v>
      </c>
      <c r="G1147" s="382" t="s">
        <v>2344</v>
      </c>
      <c r="H1147" s="383">
        <v>-400</v>
      </c>
      <c r="I1147" s="1046">
        <v>0</v>
      </c>
      <c r="J1147" s="1047"/>
      <c r="K1147" s="383">
        <v>0</v>
      </c>
      <c r="L1147" s="383">
        <v>-400</v>
      </c>
    </row>
    <row r="1148" spans="2:12">
      <c r="B1148" s="1050"/>
      <c r="C1148" s="1050"/>
      <c r="D1148" s="382" t="s">
        <v>2649</v>
      </c>
      <c r="E1148" s="382" t="s">
        <v>2283</v>
      </c>
      <c r="F1148" s="382" t="s">
        <v>2342</v>
      </c>
      <c r="G1148" s="382" t="s">
        <v>2345</v>
      </c>
      <c r="H1148" s="383">
        <v>-850</v>
      </c>
      <c r="I1148" s="1046">
        <v>250</v>
      </c>
      <c r="J1148" s="1047"/>
      <c r="K1148" s="383">
        <v>0</v>
      </c>
      <c r="L1148" s="383">
        <v>-1100</v>
      </c>
    </row>
    <row r="1149" spans="2:12">
      <c r="B1149" s="1050"/>
      <c r="C1149" s="1050"/>
      <c r="D1149" s="382" t="s">
        <v>2649</v>
      </c>
      <c r="E1149" s="382" t="s">
        <v>2283</v>
      </c>
      <c r="F1149" s="382" t="s">
        <v>2342</v>
      </c>
      <c r="G1149" s="382" t="s">
        <v>2346</v>
      </c>
      <c r="H1149" s="383">
        <v>-452.9</v>
      </c>
      <c r="I1149" s="1046">
        <v>0</v>
      </c>
      <c r="J1149" s="1047"/>
      <c r="K1149" s="383">
        <v>0</v>
      </c>
      <c r="L1149" s="383">
        <v>-452.9</v>
      </c>
    </row>
    <row r="1150" spans="2:12">
      <c r="B1150" s="1050"/>
      <c r="C1150" s="1050"/>
      <c r="D1150" s="382" t="s">
        <v>2649</v>
      </c>
      <c r="E1150" s="382" t="s">
        <v>2283</v>
      </c>
      <c r="F1150" s="382" t="s">
        <v>2342</v>
      </c>
      <c r="G1150" s="382" t="s">
        <v>2348</v>
      </c>
      <c r="H1150" s="383">
        <v>-600</v>
      </c>
      <c r="I1150" s="1046">
        <v>600</v>
      </c>
      <c r="J1150" s="1047"/>
      <c r="K1150" s="383">
        <v>0</v>
      </c>
      <c r="L1150" s="383">
        <v>-1200</v>
      </c>
    </row>
    <row r="1151" spans="2:12">
      <c r="B1151" s="1050"/>
      <c r="C1151" s="1050"/>
      <c r="D1151" s="382" t="s">
        <v>2649</v>
      </c>
      <c r="E1151" s="382" t="s">
        <v>2283</v>
      </c>
      <c r="F1151" s="382" t="s">
        <v>2342</v>
      </c>
      <c r="G1151" s="382" t="s">
        <v>2349</v>
      </c>
      <c r="H1151" s="383">
        <v>-250</v>
      </c>
      <c r="I1151" s="1046">
        <v>213.62</v>
      </c>
      <c r="J1151" s="1047"/>
      <c r="K1151" s="383">
        <v>0</v>
      </c>
      <c r="L1151" s="383">
        <v>-463.62</v>
      </c>
    </row>
    <row r="1152" spans="2:12">
      <c r="B1152" s="1050"/>
      <c r="C1152" s="1050"/>
      <c r="D1152" s="382" t="s">
        <v>2649</v>
      </c>
      <c r="E1152" s="382" t="s">
        <v>2283</v>
      </c>
      <c r="F1152" s="382" t="s">
        <v>2342</v>
      </c>
      <c r="G1152" s="382" t="s">
        <v>2350</v>
      </c>
      <c r="H1152" s="383">
        <v>-600</v>
      </c>
      <c r="I1152" s="1046">
        <v>904.5</v>
      </c>
      <c r="J1152" s="1047"/>
      <c r="K1152" s="383">
        <v>0</v>
      </c>
      <c r="L1152" s="383">
        <v>-1504.5</v>
      </c>
    </row>
    <row r="1153" spans="2:12">
      <c r="B1153" s="1050"/>
      <c r="C1153" s="1050"/>
      <c r="D1153" s="382" t="s">
        <v>2649</v>
      </c>
      <c r="E1153" s="382" t="s">
        <v>2283</v>
      </c>
      <c r="F1153" s="382" t="s">
        <v>2342</v>
      </c>
      <c r="G1153" s="382" t="s">
        <v>2351</v>
      </c>
      <c r="H1153" s="383">
        <v>-160</v>
      </c>
      <c r="I1153" s="1046">
        <v>40</v>
      </c>
      <c r="J1153" s="1047"/>
      <c r="K1153" s="383">
        <v>0</v>
      </c>
      <c r="L1153" s="383">
        <v>-200</v>
      </c>
    </row>
    <row r="1154" spans="2:12">
      <c r="B1154" s="1050"/>
      <c r="C1154" s="1050"/>
      <c r="D1154" s="382" t="s">
        <v>2649</v>
      </c>
      <c r="E1154" s="382" t="s">
        <v>2283</v>
      </c>
      <c r="F1154" s="382" t="s">
        <v>2342</v>
      </c>
      <c r="G1154" s="382" t="s">
        <v>2352</v>
      </c>
      <c r="H1154" s="383">
        <v>-500</v>
      </c>
      <c r="I1154" s="1046">
        <v>250</v>
      </c>
      <c r="J1154" s="1047"/>
      <c r="K1154" s="383">
        <v>0</v>
      </c>
      <c r="L1154" s="383">
        <v>-750</v>
      </c>
    </row>
    <row r="1155" spans="2:12">
      <c r="B1155" s="1050"/>
      <c r="C1155" s="1050"/>
      <c r="D1155" s="382" t="s">
        <v>2649</v>
      </c>
      <c r="E1155" s="382" t="s">
        <v>2283</v>
      </c>
      <c r="F1155" s="382" t="s">
        <v>2342</v>
      </c>
      <c r="G1155" s="382" t="s">
        <v>405</v>
      </c>
      <c r="H1155" s="383">
        <v>-500</v>
      </c>
      <c r="I1155" s="1046">
        <v>100</v>
      </c>
      <c r="J1155" s="1047"/>
      <c r="K1155" s="383">
        <v>0</v>
      </c>
      <c r="L1155" s="383">
        <v>-600</v>
      </c>
    </row>
    <row r="1156" spans="2:12">
      <c r="B1156" s="1050"/>
      <c r="C1156" s="1050"/>
      <c r="D1156" s="382" t="s">
        <v>2649</v>
      </c>
      <c r="E1156" s="382" t="s">
        <v>2283</v>
      </c>
      <c r="F1156" s="382" t="s">
        <v>2342</v>
      </c>
      <c r="G1156" s="382" t="s">
        <v>2354</v>
      </c>
      <c r="H1156" s="383">
        <v>-360</v>
      </c>
      <c r="I1156" s="1046">
        <v>180</v>
      </c>
      <c r="J1156" s="1047"/>
      <c r="K1156" s="383">
        <v>0</v>
      </c>
      <c r="L1156" s="383">
        <v>-540</v>
      </c>
    </row>
    <row r="1157" spans="2:12">
      <c r="B1157" s="1050"/>
      <c r="C1157" s="1050"/>
      <c r="D1157" s="382" t="s">
        <v>2649</v>
      </c>
      <c r="E1157" s="382" t="s">
        <v>2283</v>
      </c>
      <c r="F1157" s="382" t="s">
        <v>2342</v>
      </c>
      <c r="G1157" s="382" t="s">
        <v>2355</v>
      </c>
      <c r="H1157" s="383">
        <v>-40799.440000000002</v>
      </c>
      <c r="I1157" s="1046">
        <v>0</v>
      </c>
      <c r="J1157" s="1047"/>
      <c r="K1157" s="383">
        <v>6091.4</v>
      </c>
      <c r="L1157" s="383">
        <v>-34708.04</v>
      </c>
    </row>
    <row r="1158" spans="2:12">
      <c r="B1158" s="1050"/>
      <c r="C1158" s="1051"/>
      <c r="D1158" s="359" t="s">
        <v>12</v>
      </c>
      <c r="E1158" s="359" t="s">
        <v>111</v>
      </c>
      <c r="F1158" s="359" t="s">
        <v>111</v>
      </c>
      <c r="G1158" s="359" t="s">
        <v>111</v>
      </c>
      <c r="H1158" s="384">
        <v>-47133.39</v>
      </c>
      <c r="I1158" s="1048">
        <v>2538.12</v>
      </c>
      <c r="J1158" s="1047"/>
      <c r="K1158" s="384">
        <v>6091.4</v>
      </c>
      <c r="L1158" s="384">
        <v>-43580.11</v>
      </c>
    </row>
    <row r="1159" spans="2:12">
      <c r="B1159" s="1050"/>
      <c r="C1159" s="1049" t="s">
        <v>2650</v>
      </c>
      <c r="D1159" s="382" t="s">
        <v>2651</v>
      </c>
      <c r="E1159" s="382" t="s">
        <v>2284</v>
      </c>
      <c r="F1159" s="382" t="s">
        <v>2342</v>
      </c>
      <c r="G1159" s="382" t="s">
        <v>2343</v>
      </c>
      <c r="H1159" s="383">
        <v>-3300</v>
      </c>
      <c r="I1159" s="1046">
        <v>1300</v>
      </c>
      <c r="J1159" s="1047"/>
      <c r="K1159" s="383">
        <v>0</v>
      </c>
      <c r="L1159" s="383">
        <v>-4600</v>
      </c>
    </row>
    <row r="1160" spans="2:12">
      <c r="B1160" s="1050"/>
      <c r="C1160" s="1050"/>
      <c r="D1160" s="382" t="s">
        <v>2651</v>
      </c>
      <c r="E1160" s="382" t="s">
        <v>2284</v>
      </c>
      <c r="F1160" s="382" t="s">
        <v>2342</v>
      </c>
      <c r="G1160" s="382" t="s">
        <v>2344</v>
      </c>
      <c r="H1160" s="383">
        <v>-2171.23</v>
      </c>
      <c r="I1160" s="1046">
        <v>150</v>
      </c>
      <c r="J1160" s="1047"/>
      <c r="K1160" s="383">
        <v>0</v>
      </c>
      <c r="L1160" s="383">
        <v>-2321.23</v>
      </c>
    </row>
    <row r="1161" spans="2:12">
      <c r="B1161" s="1050"/>
      <c r="C1161" s="1050"/>
      <c r="D1161" s="382" t="s">
        <v>2651</v>
      </c>
      <c r="E1161" s="382" t="s">
        <v>2284</v>
      </c>
      <c r="F1161" s="382" t="s">
        <v>2342</v>
      </c>
      <c r="G1161" s="382" t="s">
        <v>2345</v>
      </c>
      <c r="H1161" s="383">
        <v>-850</v>
      </c>
      <c r="I1161" s="1046">
        <v>500</v>
      </c>
      <c r="J1161" s="1047"/>
      <c r="K1161" s="383">
        <v>0</v>
      </c>
      <c r="L1161" s="383">
        <v>-1350</v>
      </c>
    </row>
    <row r="1162" spans="2:12">
      <c r="B1162" s="1050"/>
      <c r="C1162" s="1050"/>
      <c r="D1162" s="382" t="s">
        <v>2651</v>
      </c>
      <c r="E1162" s="382" t="s">
        <v>2284</v>
      </c>
      <c r="F1162" s="382" t="s">
        <v>2342</v>
      </c>
      <c r="G1162" s="382" t="s">
        <v>2346</v>
      </c>
      <c r="H1162" s="383">
        <v>-800</v>
      </c>
      <c r="I1162" s="1046">
        <v>200</v>
      </c>
      <c r="J1162" s="1047"/>
      <c r="K1162" s="383">
        <v>100</v>
      </c>
      <c r="L1162" s="383">
        <v>-900</v>
      </c>
    </row>
    <row r="1163" spans="2:12">
      <c r="B1163" s="1050"/>
      <c r="C1163" s="1050"/>
      <c r="D1163" s="382" t="s">
        <v>2651</v>
      </c>
      <c r="E1163" s="382" t="s">
        <v>2284</v>
      </c>
      <c r="F1163" s="382" t="s">
        <v>2342</v>
      </c>
      <c r="G1163" s="382" t="s">
        <v>2348</v>
      </c>
      <c r="H1163" s="383">
        <v>-800</v>
      </c>
      <c r="I1163" s="1046">
        <v>800</v>
      </c>
      <c r="J1163" s="1047"/>
      <c r="K1163" s="383">
        <v>0</v>
      </c>
      <c r="L1163" s="383">
        <v>-1600</v>
      </c>
    </row>
    <row r="1164" spans="2:12">
      <c r="B1164" s="1050"/>
      <c r="C1164" s="1050"/>
      <c r="D1164" s="382" t="s">
        <v>2651</v>
      </c>
      <c r="E1164" s="382" t="s">
        <v>2284</v>
      </c>
      <c r="F1164" s="382" t="s">
        <v>2342</v>
      </c>
      <c r="G1164" s="382" t="s">
        <v>2349</v>
      </c>
      <c r="H1164" s="383">
        <v>-800</v>
      </c>
      <c r="I1164" s="1046">
        <v>0</v>
      </c>
      <c r="J1164" s="1047"/>
      <c r="K1164" s="383">
        <v>0</v>
      </c>
      <c r="L1164" s="383">
        <v>-800</v>
      </c>
    </row>
    <row r="1165" spans="2:12">
      <c r="B1165" s="1050"/>
      <c r="C1165" s="1050"/>
      <c r="D1165" s="382" t="s">
        <v>2651</v>
      </c>
      <c r="E1165" s="382" t="s">
        <v>2284</v>
      </c>
      <c r="F1165" s="382" t="s">
        <v>2342</v>
      </c>
      <c r="G1165" s="382" t="s">
        <v>2350</v>
      </c>
      <c r="H1165" s="383">
        <v>-800</v>
      </c>
      <c r="I1165" s="1046">
        <v>1182.04</v>
      </c>
      <c r="J1165" s="1047"/>
      <c r="K1165" s="383">
        <v>0</v>
      </c>
      <c r="L1165" s="383">
        <v>-1982.04</v>
      </c>
    </row>
    <row r="1166" spans="2:12">
      <c r="B1166" s="1050"/>
      <c r="C1166" s="1050"/>
      <c r="D1166" s="382" t="s">
        <v>2651</v>
      </c>
      <c r="E1166" s="382" t="s">
        <v>2284</v>
      </c>
      <c r="F1166" s="382" t="s">
        <v>2342</v>
      </c>
      <c r="G1166" s="382" t="s">
        <v>2351</v>
      </c>
      <c r="H1166" s="383">
        <v>-2000</v>
      </c>
      <c r="I1166" s="1046">
        <v>780</v>
      </c>
      <c r="J1166" s="1047"/>
      <c r="K1166" s="383">
        <v>0</v>
      </c>
      <c r="L1166" s="383">
        <v>-2780</v>
      </c>
    </row>
    <row r="1167" spans="2:12">
      <c r="B1167" s="1050"/>
      <c r="C1167" s="1050"/>
      <c r="D1167" s="382" t="s">
        <v>2651</v>
      </c>
      <c r="E1167" s="382" t="s">
        <v>2284</v>
      </c>
      <c r="F1167" s="382" t="s">
        <v>2342</v>
      </c>
      <c r="G1167" s="382" t="s">
        <v>2352</v>
      </c>
      <c r="H1167" s="383">
        <v>-2500</v>
      </c>
      <c r="I1167" s="1046">
        <v>1000</v>
      </c>
      <c r="J1167" s="1047"/>
      <c r="K1167" s="383">
        <v>0</v>
      </c>
      <c r="L1167" s="383">
        <v>-3500</v>
      </c>
    </row>
    <row r="1168" spans="2:12">
      <c r="B1168" s="1050"/>
      <c r="C1168" s="1050"/>
      <c r="D1168" s="382" t="s">
        <v>2651</v>
      </c>
      <c r="E1168" s="382" t="s">
        <v>2284</v>
      </c>
      <c r="F1168" s="382" t="s">
        <v>2342</v>
      </c>
      <c r="G1168" s="382" t="s">
        <v>2353</v>
      </c>
      <c r="H1168" s="383">
        <v>-2200</v>
      </c>
      <c r="I1168" s="1046">
        <v>0</v>
      </c>
      <c r="J1168" s="1047"/>
      <c r="K1168" s="383">
        <v>0</v>
      </c>
      <c r="L1168" s="383">
        <v>-2200</v>
      </c>
    </row>
    <row r="1169" spans="2:12">
      <c r="B1169" s="1050"/>
      <c r="C1169" s="1050"/>
      <c r="D1169" s="382" t="s">
        <v>2651</v>
      </c>
      <c r="E1169" s="382" t="s">
        <v>2284</v>
      </c>
      <c r="F1169" s="382" t="s">
        <v>2342</v>
      </c>
      <c r="G1169" s="382" t="s">
        <v>405</v>
      </c>
      <c r="H1169" s="383">
        <v>249</v>
      </c>
      <c r="I1169" s="1046">
        <v>500</v>
      </c>
      <c r="J1169" s="1047"/>
      <c r="K1169" s="383">
        <v>0</v>
      </c>
      <c r="L1169" s="383">
        <v>-251</v>
      </c>
    </row>
    <row r="1170" spans="2:12">
      <c r="B1170" s="1050"/>
      <c r="C1170" s="1050"/>
      <c r="D1170" s="382" t="s">
        <v>2651</v>
      </c>
      <c r="E1170" s="382" t="s">
        <v>2284</v>
      </c>
      <c r="F1170" s="382" t="s">
        <v>2342</v>
      </c>
      <c r="G1170" s="382" t="s">
        <v>2354</v>
      </c>
      <c r="H1170" s="383">
        <v>-471.23</v>
      </c>
      <c r="I1170" s="1046">
        <v>574</v>
      </c>
      <c r="J1170" s="1047"/>
      <c r="K1170" s="383">
        <v>0</v>
      </c>
      <c r="L1170" s="383">
        <v>-1045.23</v>
      </c>
    </row>
    <row r="1171" spans="2:12">
      <c r="B1171" s="1050"/>
      <c r="C1171" s="1050"/>
      <c r="D1171" s="382" t="s">
        <v>2651</v>
      </c>
      <c r="E1171" s="382" t="s">
        <v>2284</v>
      </c>
      <c r="F1171" s="382" t="s">
        <v>2342</v>
      </c>
      <c r="G1171" s="382" t="s">
        <v>2355</v>
      </c>
      <c r="H1171" s="383">
        <v>-86536.35</v>
      </c>
      <c r="I1171" s="1046">
        <v>0</v>
      </c>
      <c r="J1171" s="1047"/>
      <c r="K1171" s="383">
        <v>16879.54</v>
      </c>
      <c r="L1171" s="383">
        <v>-69656.81</v>
      </c>
    </row>
    <row r="1172" spans="2:12">
      <c r="B1172" s="1050"/>
      <c r="C1172" s="1051"/>
      <c r="D1172" s="359" t="s">
        <v>12</v>
      </c>
      <c r="E1172" s="359" t="s">
        <v>111</v>
      </c>
      <c r="F1172" s="359" t="s">
        <v>111</v>
      </c>
      <c r="G1172" s="359" t="s">
        <v>111</v>
      </c>
      <c r="H1172" s="384">
        <v>-102979.81</v>
      </c>
      <c r="I1172" s="1048">
        <v>6986.04</v>
      </c>
      <c r="J1172" s="1047"/>
      <c r="K1172" s="384">
        <v>16979.54</v>
      </c>
      <c r="L1172" s="384">
        <v>-92986.31</v>
      </c>
    </row>
    <row r="1173" spans="2:12">
      <c r="B1173" s="1050"/>
      <c r="C1173" s="1049" t="s">
        <v>2652</v>
      </c>
      <c r="D1173" s="382" t="s">
        <v>2653</v>
      </c>
      <c r="E1173" s="382" t="s">
        <v>2285</v>
      </c>
      <c r="F1173" s="382" t="s">
        <v>2342</v>
      </c>
      <c r="G1173" s="382" t="s">
        <v>2343</v>
      </c>
      <c r="H1173" s="383">
        <v>-12612.26</v>
      </c>
      <c r="I1173" s="1046">
        <v>7131.96</v>
      </c>
      <c r="J1173" s="1047"/>
      <c r="K1173" s="383">
        <v>0</v>
      </c>
      <c r="L1173" s="383">
        <v>-19744.22</v>
      </c>
    </row>
    <row r="1174" spans="2:12">
      <c r="B1174" s="1050"/>
      <c r="C1174" s="1050"/>
      <c r="D1174" s="382" t="s">
        <v>2653</v>
      </c>
      <c r="E1174" s="382" t="s">
        <v>2285</v>
      </c>
      <c r="F1174" s="382" t="s">
        <v>2342</v>
      </c>
      <c r="G1174" s="382" t="s">
        <v>2344</v>
      </c>
      <c r="H1174" s="383">
        <v>-15774.77</v>
      </c>
      <c r="I1174" s="1046">
        <v>6714.59</v>
      </c>
      <c r="J1174" s="1047"/>
      <c r="K1174" s="383">
        <v>0</v>
      </c>
      <c r="L1174" s="383">
        <v>-22489.360000000001</v>
      </c>
    </row>
    <row r="1175" spans="2:12">
      <c r="B1175" s="1050"/>
      <c r="C1175" s="1050"/>
      <c r="D1175" s="382" t="s">
        <v>2653</v>
      </c>
      <c r="E1175" s="382" t="s">
        <v>2285</v>
      </c>
      <c r="F1175" s="382" t="s">
        <v>2342</v>
      </c>
      <c r="G1175" s="382" t="s">
        <v>2345</v>
      </c>
      <c r="H1175" s="383">
        <v>-11452.46</v>
      </c>
      <c r="I1175" s="1046">
        <v>4820.87</v>
      </c>
      <c r="J1175" s="1047"/>
      <c r="K1175" s="383">
        <v>0</v>
      </c>
      <c r="L1175" s="383">
        <v>-16273.33</v>
      </c>
    </row>
    <row r="1176" spans="2:12">
      <c r="B1176" s="1050"/>
      <c r="C1176" s="1050"/>
      <c r="D1176" s="382" t="s">
        <v>2653</v>
      </c>
      <c r="E1176" s="382" t="s">
        <v>2285</v>
      </c>
      <c r="F1176" s="382" t="s">
        <v>2342</v>
      </c>
      <c r="G1176" s="382" t="s">
        <v>2346</v>
      </c>
      <c r="H1176" s="383">
        <v>-8502.4599999999991</v>
      </c>
      <c r="I1176" s="1046">
        <v>4770.87</v>
      </c>
      <c r="J1176" s="1047"/>
      <c r="K1176" s="383">
        <v>0</v>
      </c>
      <c r="L1176" s="383">
        <v>-13273.33</v>
      </c>
    </row>
    <row r="1177" spans="2:12">
      <c r="B1177" s="1050"/>
      <c r="C1177" s="1050"/>
      <c r="D1177" s="382" t="s">
        <v>2653</v>
      </c>
      <c r="E1177" s="382" t="s">
        <v>2285</v>
      </c>
      <c r="F1177" s="382" t="s">
        <v>2342</v>
      </c>
      <c r="G1177" s="382" t="s">
        <v>2347</v>
      </c>
      <c r="H1177" s="383">
        <v>-11026.06</v>
      </c>
      <c r="I1177" s="1046">
        <v>6057.67</v>
      </c>
      <c r="J1177" s="1047"/>
      <c r="K1177" s="383">
        <v>0</v>
      </c>
      <c r="L1177" s="383">
        <v>-17083.73</v>
      </c>
    </row>
    <row r="1178" spans="2:12">
      <c r="B1178" s="1050"/>
      <c r="C1178" s="1050"/>
      <c r="D1178" s="382" t="s">
        <v>2653</v>
      </c>
      <c r="E1178" s="382" t="s">
        <v>2285</v>
      </c>
      <c r="F1178" s="382" t="s">
        <v>2342</v>
      </c>
      <c r="G1178" s="382" t="s">
        <v>2348</v>
      </c>
      <c r="H1178" s="383">
        <v>-10361.06</v>
      </c>
      <c r="I1178" s="1046">
        <v>5757.67</v>
      </c>
      <c r="J1178" s="1047"/>
      <c r="K1178" s="383">
        <v>0</v>
      </c>
      <c r="L1178" s="383">
        <v>-16118.73</v>
      </c>
    </row>
    <row r="1179" spans="2:12">
      <c r="B1179" s="1050"/>
      <c r="C1179" s="1050"/>
      <c r="D1179" s="382" t="s">
        <v>2653</v>
      </c>
      <c r="E1179" s="382" t="s">
        <v>2285</v>
      </c>
      <c r="F1179" s="382" t="s">
        <v>2342</v>
      </c>
      <c r="G1179" s="382" t="s">
        <v>2349</v>
      </c>
      <c r="H1179" s="383">
        <v>-12810.72</v>
      </c>
      <c r="I1179" s="1046">
        <v>7217.22</v>
      </c>
      <c r="J1179" s="1047"/>
      <c r="K1179" s="383">
        <v>0</v>
      </c>
      <c r="L1179" s="383">
        <v>-20027.939999999999</v>
      </c>
    </row>
    <row r="1180" spans="2:12">
      <c r="B1180" s="1050"/>
      <c r="C1180" s="1050"/>
      <c r="D1180" s="382" t="s">
        <v>2653</v>
      </c>
      <c r="E1180" s="382" t="s">
        <v>2285</v>
      </c>
      <c r="F1180" s="382" t="s">
        <v>2342</v>
      </c>
      <c r="G1180" s="382" t="s">
        <v>2350</v>
      </c>
      <c r="H1180" s="383">
        <v>-12998.75</v>
      </c>
      <c r="I1180" s="1046">
        <v>7588.63</v>
      </c>
      <c r="J1180" s="1047"/>
      <c r="K1180" s="383">
        <v>0</v>
      </c>
      <c r="L1180" s="383">
        <v>-20587.38</v>
      </c>
    </row>
    <row r="1181" spans="2:12">
      <c r="B1181" s="1050"/>
      <c r="C1181" s="1050"/>
      <c r="D1181" s="382" t="s">
        <v>2653</v>
      </c>
      <c r="E1181" s="382" t="s">
        <v>2285</v>
      </c>
      <c r="F1181" s="382" t="s">
        <v>2342</v>
      </c>
      <c r="G1181" s="382" t="s">
        <v>2351</v>
      </c>
      <c r="H1181" s="383">
        <v>-12828.46</v>
      </c>
      <c r="I1181" s="1046">
        <v>7852.87</v>
      </c>
      <c r="J1181" s="1047"/>
      <c r="K1181" s="383">
        <v>0</v>
      </c>
      <c r="L1181" s="383">
        <v>-20681.330000000002</v>
      </c>
    </row>
    <row r="1182" spans="2:12">
      <c r="B1182" s="1050"/>
      <c r="C1182" s="1050"/>
      <c r="D1182" s="382" t="s">
        <v>2653</v>
      </c>
      <c r="E1182" s="382" t="s">
        <v>2285</v>
      </c>
      <c r="F1182" s="382" t="s">
        <v>2342</v>
      </c>
      <c r="G1182" s="382" t="s">
        <v>2352</v>
      </c>
      <c r="H1182" s="383">
        <v>-11373.59</v>
      </c>
      <c r="I1182" s="1046">
        <v>5784.59</v>
      </c>
      <c r="J1182" s="1047"/>
      <c r="K1182" s="383">
        <v>0</v>
      </c>
      <c r="L1182" s="383">
        <v>-17158.18</v>
      </c>
    </row>
    <row r="1183" spans="2:12">
      <c r="B1183" s="1050"/>
      <c r="C1183" s="1050"/>
      <c r="D1183" s="382" t="s">
        <v>2653</v>
      </c>
      <c r="E1183" s="382" t="s">
        <v>2285</v>
      </c>
      <c r="F1183" s="382" t="s">
        <v>2342</v>
      </c>
      <c r="G1183" s="382" t="s">
        <v>2353</v>
      </c>
      <c r="H1183" s="383">
        <v>-10608.2</v>
      </c>
      <c r="I1183" s="1046">
        <v>5872.5</v>
      </c>
      <c r="J1183" s="1047"/>
      <c r="K1183" s="383">
        <v>0</v>
      </c>
      <c r="L1183" s="383">
        <v>-16480.7</v>
      </c>
    </row>
    <row r="1184" spans="2:12">
      <c r="B1184" s="1050"/>
      <c r="C1184" s="1050"/>
      <c r="D1184" s="382" t="s">
        <v>2653</v>
      </c>
      <c r="E1184" s="382" t="s">
        <v>2285</v>
      </c>
      <c r="F1184" s="382" t="s">
        <v>2342</v>
      </c>
      <c r="G1184" s="382" t="s">
        <v>405</v>
      </c>
      <c r="H1184" s="383">
        <v>-11308.6</v>
      </c>
      <c r="I1184" s="1046">
        <v>4648.9399999999996</v>
      </c>
      <c r="J1184" s="1047"/>
      <c r="K1184" s="383">
        <v>0</v>
      </c>
      <c r="L1184" s="383">
        <v>-15957.54</v>
      </c>
    </row>
    <row r="1185" spans="2:12">
      <c r="B1185" s="1050"/>
      <c r="C1185" s="1050"/>
      <c r="D1185" s="382" t="s">
        <v>2653</v>
      </c>
      <c r="E1185" s="382" t="s">
        <v>2285</v>
      </c>
      <c r="F1185" s="382" t="s">
        <v>2342</v>
      </c>
      <c r="G1185" s="382" t="s">
        <v>2354</v>
      </c>
      <c r="H1185" s="383">
        <v>-1237.28</v>
      </c>
      <c r="I1185" s="1046">
        <v>1956.92</v>
      </c>
      <c r="J1185" s="1047"/>
      <c r="K1185" s="383">
        <v>0</v>
      </c>
      <c r="L1185" s="383">
        <v>-3194.2</v>
      </c>
    </row>
    <row r="1186" spans="2:12">
      <c r="B1186" s="1050"/>
      <c r="C1186" s="1050"/>
      <c r="D1186" s="382" t="s">
        <v>2653</v>
      </c>
      <c r="E1186" s="382" t="s">
        <v>2285</v>
      </c>
      <c r="F1186" s="382" t="s">
        <v>2342</v>
      </c>
      <c r="G1186" s="382" t="s">
        <v>2355</v>
      </c>
      <c r="H1186" s="383">
        <v>-661247.92000000004</v>
      </c>
      <c r="I1186" s="1046">
        <v>3886</v>
      </c>
      <c r="J1186" s="1047"/>
      <c r="K1186" s="383">
        <v>113642.83</v>
      </c>
      <c r="L1186" s="383">
        <v>-551491.09</v>
      </c>
    </row>
    <row r="1187" spans="2:12">
      <c r="B1187" s="1050"/>
      <c r="C1187" s="1051"/>
      <c r="D1187" s="359" t="s">
        <v>12</v>
      </c>
      <c r="E1187" s="359" t="s">
        <v>111</v>
      </c>
      <c r="F1187" s="359" t="s">
        <v>111</v>
      </c>
      <c r="G1187" s="359" t="s">
        <v>111</v>
      </c>
      <c r="H1187" s="384">
        <v>-804142.59</v>
      </c>
      <c r="I1187" s="1048">
        <v>80061.3</v>
      </c>
      <c r="J1187" s="1047"/>
      <c r="K1187" s="384">
        <v>113642.83</v>
      </c>
      <c r="L1187" s="384">
        <v>-770561.06</v>
      </c>
    </row>
    <row r="1188" spans="2:12">
      <c r="B1188" s="1050"/>
      <c r="C1188" s="1049" t="s">
        <v>2654</v>
      </c>
      <c r="D1188" s="382" t="s">
        <v>2655</v>
      </c>
      <c r="E1188" s="382" t="s">
        <v>2286</v>
      </c>
      <c r="F1188" s="382" t="s">
        <v>2342</v>
      </c>
      <c r="G1188" s="382" t="s">
        <v>2343</v>
      </c>
      <c r="H1188" s="383">
        <v>-4900</v>
      </c>
      <c r="I1188" s="1046">
        <v>0</v>
      </c>
      <c r="J1188" s="1047"/>
      <c r="K1188" s="383">
        <v>0</v>
      </c>
      <c r="L1188" s="383">
        <v>-4900</v>
      </c>
    </row>
    <row r="1189" spans="2:12">
      <c r="B1189" s="1050"/>
      <c r="C1189" s="1050"/>
      <c r="D1189" s="382" t="s">
        <v>2655</v>
      </c>
      <c r="E1189" s="382" t="s">
        <v>2286</v>
      </c>
      <c r="F1189" s="382" t="s">
        <v>2342</v>
      </c>
      <c r="G1189" s="382" t="s">
        <v>2349</v>
      </c>
      <c r="H1189" s="383">
        <v>-150</v>
      </c>
      <c r="I1189" s="1046">
        <v>0</v>
      </c>
      <c r="J1189" s="1047"/>
      <c r="K1189" s="383">
        <v>0</v>
      </c>
      <c r="L1189" s="383">
        <v>-150</v>
      </c>
    </row>
    <row r="1190" spans="2:12">
      <c r="B1190" s="1050"/>
      <c r="C1190" s="1050"/>
      <c r="D1190" s="382" t="s">
        <v>2655</v>
      </c>
      <c r="E1190" s="382" t="s">
        <v>2286</v>
      </c>
      <c r="F1190" s="382" t="s">
        <v>2342</v>
      </c>
      <c r="G1190" s="382" t="s">
        <v>2350</v>
      </c>
      <c r="H1190" s="383">
        <v>0</v>
      </c>
      <c r="I1190" s="1046">
        <v>350</v>
      </c>
      <c r="J1190" s="1047"/>
      <c r="K1190" s="383">
        <v>0</v>
      </c>
      <c r="L1190" s="383">
        <v>-350</v>
      </c>
    </row>
    <row r="1191" spans="2:12">
      <c r="B1191" s="1050"/>
      <c r="C1191" s="1050"/>
      <c r="D1191" s="382" t="s">
        <v>2655</v>
      </c>
      <c r="E1191" s="382" t="s">
        <v>2286</v>
      </c>
      <c r="F1191" s="382" t="s">
        <v>2342</v>
      </c>
      <c r="G1191" s="382" t="s">
        <v>2355</v>
      </c>
      <c r="H1191" s="383">
        <v>-93281.79</v>
      </c>
      <c r="I1191" s="1046">
        <v>6100</v>
      </c>
      <c r="J1191" s="1047"/>
      <c r="K1191" s="383">
        <v>0</v>
      </c>
      <c r="L1191" s="383">
        <v>-99381.79</v>
      </c>
    </row>
    <row r="1192" spans="2:12">
      <c r="B1192" s="1050"/>
      <c r="C1192" s="1051"/>
      <c r="D1192" s="359" t="s">
        <v>12</v>
      </c>
      <c r="E1192" s="359" t="s">
        <v>111</v>
      </c>
      <c r="F1192" s="359" t="s">
        <v>111</v>
      </c>
      <c r="G1192" s="359" t="s">
        <v>111</v>
      </c>
      <c r="H1192" s="384">
        <v>-98331.79</v>
      </c>
      <c r="I1192" s="1048">
        <v>6450</v>
      </c>
      <c r="J1192" s="1047"/>
      <c r="K1192" s="384">
        <v>0</v>
      </c>
      <c r="L1192" s="384">
        <v>-104781.79</v>
      </c>
    </row>
    <row r="1193" spans="2:12">
      <c r="B1193" s="1050"/>
      <c r="C1193" s="1049" t="s">
        <v>2656</v>
      </c>
      <c r="D1193" s="382" t="s">
        <v>2657</v>
      </c>
      <c r="E1193" s="382" t="s">
        <v>2287</v>
      </c>
      <c r="F1193" s="382" t="s">
        <v>2342</v>
      </c>
      <c r="G1193" s="382" t="s">
        <v>2343</v>
      </c>
      <c r="H1193" s="383">
        <v>-785</v>
      </c>
      <c r="I1193" s="1046">
        <v>0</v>
      </c>
      <c r="J1193" s="1047"/>
      <c r="K1193" s="383">
        <v>0</v>
      </c>
      <c r="L1193" s="383">
        <v>-785</v>
      </c>
    </row>
    <row r="1194" spans="2:12">
      <c r="B1194" s="1050"/>
      <c r="C1194" s="1050"/>
      <c r="D1194" s="382" t="s">
        <v>2657</v>
      </c>
      <c r="E1194" s="382" t="s">
        <v>2287</v>
      </c>
      <c r="F1194" s="382" t="s">
        <v>2342</v>
      </c>
      <c r="G1194" s="382" t="s">
        <v>2355</v>
      </c>
      <c r="H1194" s="383">
        <v>-29461.19</v>
      </c>
      <c r="I1194" s="1046">
        <v>0</v>
      </c>
      <c r="J1194" s="1047"/>
      <c r="K1194" s="383">
        <v>0</v>
      </c>
      <c r="L1194" s="383">
        <v>-29461.19</v>
      </c>
    </row>
    <row r="1195" spans="2:12">
      <c r="B1195" s="1050"/>
      <c r="C1195" s="1051"/>
      <c r="D1195" s="359" t="s">
        <v>12</v>
      </c>
      <c r="E1195" s="359" t="s">
        <v>111</v>
      </c>
      <c r="F1195" s="359" t="s">
        <v>111</v>
      </c>
      <c r="G1195" s="359" t="s">
        <v>111</v>
      </c>
      <c r="H1195" s="384">
        <v>-30246.19</v>
      </c>
      <c r="I1195" s="1048">
        <v>0</v>
      </c>
      <c r="J1195" s="1047"/>
      <c r="K1195" s="384">
        <v>0</v>
      </c>
      <c r="L1195" s="384">
        <v>-30246.19</v>
      </c>
    </row>
    <row r="1196" spans="2:12">
      <c r="B1196" s="1050"/>
      <c r="C1196" s="1049" t="s">
        <v>2658</v>
      </c>
      <c r="D1196" s="382" t="s">
        <v>2659</v>
      </c>
      <c r="E1196" s="382" t="s">
        <v>2288</v>
      </c>
      <c r="F1196" s="382" t="s">
        <v>2342</v>
      </c>
      <c r="G1196" s="382" t="s">
        <v>2343</v>
      </c>
      <c r="H1196" s="383">
        <v>-311.39</v>
      </c>
      <c r="I1196" s="1046">
        <v>311.07</v>
      </c>
      <c r="J1196" s="1047"/>
      <c r="K1196" s="383">
        <v>0</v>
      </c>
      <c r="L1196" s="383">
        <v>-622.46</v>
      </c>
    </row>
    <row r="1197" spans="2:12">
      <c r="B1197" s="1050"/>
      <c r="C1197" s="1050"/>
      <c r="D1197" s="382" t="s">
        <v>2659</v>
      </c>
      <c r="E1197" s="382" t="s">
        <v>2288</v>
      </c>
      <c r="F1197" s="382" t="s">
        <v>2342</v>
      </c>
      <c r="G1197" s="382" t="s">
        <v>2355</v>
      </c>
      <c r="H1197" s="383">
        <v>-6724.31</v>
      </c>
      <c r="I1197" s="1046">
        <v>311.07</v>
      </c>
      <c r="J1197" s="1047"/>
      <c r="K1197" s="383">
        <v>0</v>
      </c>
      <c r="L1197" s="383">
        <v>-7035.38</v>
      </c>
    </row>
    <row r="1198" spans="2:12">
      <c r="B1198" s="1050"/>
      <c r="C1198" s="1051"/>
      <c r="D1198" s="359" t="s">
        <v>12</v>
      </c>
      <c r="E1198" s="359" t="s">
        <v>111</v>
      </c>
      <c r="F1198" s="359" t="s">
        <v>111</v>
      </c>
      <c r="G1198" s="359" t="s">
        <v>111</v>
      </c>
      <c r="H1198" s="384">
        <v>-7035.7</v>
      </c>
      <c r="I1198" s="1048">
        <v>622.14</v>
      </c>
      <c r="J1198" s="1047"/>
      <c r="K1198" s="384">
        <v>0</v>
      </c>
      <c r="L1198" s="384">
        <v>-7657.84</v>
      </c>
    </row>
    <row r="1199" spans="2:12">
      <c r="B1199" s="1050"/>
      <c r="C1199" s="1049" t="s">
        <v>2660</v>
      </c>
      <c r="D1199" s="382" t="s">
        <v>2661</v>
      </c>
      <c r="E1199" s="382" t="s">
        <v>2662</v>
      </c>
      <c r="F1199" s="382" t="s">
        <v>2342</v>
      </c>
      <c r="G1199" s="382" t="s">
        <v>2349</v>
      </c>
      <c r="H1199" s="383">
        <v>0</v>
      </c>
      <c r="I1199" s="1046">
        <v>400</v>
      </c>
      <c r="J1199" s="1047"/>
      <c r="K1199" s="383">
        <v>0</v>
      </c>
      <c r="L1199" s="383">
        <v>-400</v>
      </c>
    </row>
    <row r="1200" spans="2:12">
      <c r="B1200" s="1050"/>
      <c r="C1200" s="1051"/>
      <c r="D1200" s="359" t="s">
        <v>12</v>
      </c>
      <c r="E1200" s="359" t="s">
        <v>111</v>
      </c>
      <c r="F1200" s="359" t="s">
        <v>111</v>
      </c>
      <c r="G1200" s="359" t="s">
        <v>111</v>
      </c>
      <c r="H1200" s="384">
        <v>0</v>
      </c>
      <c r="I1200" s="1048">
        <v>400</v>
      </c>
      <c r="J1200" s="1047"/>
      <c r="K1200" s="384">
        <v>0</v>
      </c>
      <c r="L1200" s="384">
        <v>-400</v>
      </c>
    </row>
    <row r="1201" spans="2:12">
      <c r="B1201" s="1050"/>
      <c r="C1201" s="1049" t="s">
        <v>2663</v>
      </c>
      <c r="D1201" s="382" t="s">
        <v>2664</v>
      </c>
      <c r="E1201" s="382" t="s">
        <v>2289</v>
      </c>
      <c r="F1201" s="382" t="s">
        <v>2342</v>
      </c>
      <c r="G1201" s="382" t="s">
        <v>2343</v>
      </c>
      <c r="H1201" s="383">
        <v>-150</v>
      </c>
      <c r="I1201" s="1046">
        <v>0</v>
      </c>
      <c r="J1201" s="1047"/>
      <c r="K1201" s="383">
        <v>0</v>
      </c>
      <c r="L1201" s="383">
        <v>-150</v>
      </c>
    </row>
    <row r="1202" spans="2:12">
      <c r="B1202" s="1050"/>
      <c r="C1202" s="1050"/>
      <c r="D1202" s="382" t="s">
        <v>2664</v>
      </c>
      <c r="E1202" s="382" t="s">
        <v>2289</v>
      </c>
      <c r="F1202" s="382" t="s">
        <v>2342</v>
      </c>
      <c r="G1202" s="382" t="s">
        <v>2344</v>
      </c>
      <c r="H1202" s="383">
        <v>-13</v>
      </c>
      <c r="I1202" s="1046">
        <v>80</v>
      </c>
      <c r="J1202" s="1047"/>
      <c r="K1202" s="383">
        <v>0</v>
      </c>
      <c r="L1202" s="383">
        <v>-93</v>
      </c>
    </row>
    <row r="1203" spans="2:12">
      <c r="B1203" s="1050"/>
      <c r="C1203" s="1050"/>
      <c r="D1203" s="382" t="s">
        <v>2664</v>
      </c>
      <c r="E1203" s="382" t="s">
        <v>2289</v>
      </c>
      <c r="F1203" s="382" t="s">
        <v>2342</v>
      </c>
      <c r="G1203" s="382" t="s">
        <v>2345</v>
      </c>
      <c r="H1203" s="383">
        <v>-540</v>
      </c>
      <c r="I1203" s="1046">
        <v>100</v>
      </c>
      <c r="J1203" s="1047"/>
      <c r="K1203" s="383">
        <v>0</v>
      </c>
      <c r="L1203" s="383">
        <v>-640</v>
      </c>
    </row>
    <row r="1204" spans="2:12">
      <c r="B1204" s="1050"/>
      <c r="C1204" s="1050"/>
      <c r="D1204" s="382" t="s">
        <v>2664</v>
      </c>
      <c r="E1204" s="382" t="s">
        <v>2289</v>
      </c>
      <c r="F1204" s="382" t="s">
        <v>2342</v>
      </c>
      <c r="G1204" s="382" t="s">
        <v>2346</v>
      </c>
      <c r="H1204" s="383">
        <v>-195</v>
      </c>
      <c r="I1204" s="1046">
        <v>625.5</v>
      </c>
      <c r="J1204" s="1047"/>
      <c r="K1204" s="383">
        <v>155</v>
      </c>
      <c r="L1204" s="383">
        <v>-665.5</v>
      </c>
    </row>
    <row r="1205" spans="2:12">
      <c r="B1205" s="1050"/>
      <c r="C1205" s="1050"/>
      <c r="D1205" s="382" t="s">
        <v>2664</v>
      </c>
      <c r="E1205" s="382" t="s">
        <v>2289</v>
      </c>
      <c r="F1205" s="382" t="s">
        <v>2342</v>
      </c>
      <c r="G1205" s="382" t="s">
        <v>2350</v>
      </c>
      <c r="H1205" s="383">
        <v>-301.60000000000002</v>
      </c>
      <c r="I1205" s="1046">
        <v>220</v>
      </c>
      <c r="J1205" s="1047"/>
      <c r="K1205" s="383">
        <v>0</v>
      </c>
      <c r="L1205" s="383">
        <v>-521.6</v>
      </c>
    </row>
    <row r="1206" spans="2:12">
      <c r="B1206" s="1050"/>
      <c r="C1206" s="1050"/>
      <c r="D1206" s="382" t="s">
        <v>2664</v>
      </c>
      <c r="E1206" s="382" t="s">
        <v>2289</v>
      </c>
      <c r="F1206" s="382" t="s">
        <v>2342</v>
      </c>
      <c r="G1206" s="382" t="s">
        <v>2351</v>
      </c>
      <c r="H1206" s="383">
        <v>0</v>
      </c>
      <c r="I1206" s="1046">
        <v>755.6</v>
      </c>
      <c r="J1206" s="1047"/>
      <c r="K1206" s="383">
        <v>0</v>
      </c>
      <c r="L1206" s="383">
        <v>-755.6</v>
      </c>
    </row>
    <row r="1207" spans="2:12">
      <c r="B1207" s="1050"/>
      <c r="C1207" s="1050"/>
      <c r="D1207" s="382" t="s">
        <v>2664</v>
      </c>
      <c r="E1207" s="382" t="s">
        <v>2289</v>
      </c>
      <c r="F1207" s="382" t="s">
        <v>2342</v>
      </c>
      <c r="G1207" s="382" t="s">
        <v>2352</v>
      </c>
      <c r="H1207" s="383">
        <v>-316</v>
      </c>
      <c r="I1207" s="1046">
        <v>0</v>
      </c>
      <c r="J1207" s="1047"/>
      <c r="K1207" s="383">
        <v>0</v>
      </c>
      <c r="L1207" s="383">
        <v>-316</v>
      </c>
    </row>
    <row r="1208" spans="2:12">
      <c r="B1208" s="1050"/>
      <c r="C1208" s="1050"/>
      <c r="D1208" s="382" t="s">
        <v>2664</v>
      </c>
      <c r="E1208" s="382" t="s">
        <v>2289</v>
      </c>
      <c r="F1208" s="382" t="s">
        <v>2342</v>
      </c>
      <c r="G1208" s="382" t="s">
        <v>2353</v>
      </c>
      <c r="H1208" s="383">
        <v>-270</v>
      </c>
      <c r="I1208" s="1046">
        <v>0</v>
      </c>
      <c r="J1208" s="1047"/>
      <c r="K1208" s="383">
        <v>0</v>
      </c>
      <c r="L1208" s="383">
        <v>-270</v>
      </c>
    </row>
    <row r="1209" spans="2:12">
      <c r="B1209" s="1050"/>
      <c r="C1209" s="1050"/>
      <c r="D1209" s="382" t="s">
        <v>2664</v>
      </c>
      <c r="E1209" s="382" t="s">
        <v>2289</v>
      </c>
      <c r="F1209" s="382" t="s">
        <v>2342</v>
      </c>
      <c r="G1209" s="382" t="s">
        <v>2354</v>
      </c>
      <c r="H1209" s="383">
        <v>0</v>
      </c>
      <c r="I1209" s="1046">
        <v>181</v>
      </c>
      <c r="J1209" s="1047"/>
      <c r="K1209" s="383">
        <v>0</v>
      </c>
      <c r="L1209" s="383">
        <v>-181</v>
      </c>
    </row>
    <row r="1210" spans="2:12">
      <c r="B1210" s="1050"/>
      <c r="C1210" s="1050"/>
      <c r="D1210" s="382" t="s">
        <v>2664</v>
      </c>
      <c r="E1210" s="382" t="s">
        <v>2289</v>
      </c>
      <c r="F1210" s="382" t="s">
        <v>2342</v>
      </c>
      <c r="G1210" s="382" t="s">
        <v>2355</v>
      </c>
      <c r="H1210" s="383">
        <v>-22624.41</v>
      </c>
      <c r="I1210" s="1046">
        <v>0</v>
      </c>
      <c r="J1210" s="1047"/>
      <c r="K1210" s="383">
        <v>0</v>
      </c>
      <c r="L1210" s="383">
        <v>-22624.41</v>
      </c>
    </row>
    <row r="1211" spans="2:12">
      <c r="B1211" s="1050"/>
      <c r="C1211" s="1051"/>
      <c r="D1211" s="359" t="s">
        <v>12</v>
      </c>
      <c r="E1211" s="359" t="s">
        <v>111</v>
      </c>
      <c r="F1211" s="359" t="s">
        <v>111</v>
      </c>
      <c r="G1211" s="359" t="s">
        <v>111</v>
      </c>
      <c r="H1211" s="384">
        <v>-24410.01</v>
      </c>
      <c r="I1211" s="1048">
        <v>1962.1</v>
      </c>
      <c r="J1211" s="1047"/>
      <c r="K1211" s="384">
        <v>155</v>
      </c>
      <c r="L1211" s="384">
        <v>-26217.11</v>
      </c>
    </row>
    <row r="1212" spans="2:12">
      <c r="B1212" s="1050"/>
      <c r="C1212" s="1049" t="s">
        <v>2665</v>
      </c>
      <c r="D1212" s="382" t="s">
        <v>2666</v>
      </c>
      <c r="E1212" s="382" t="s">
        <v>2290</v>
      </c>
      <c r="F1212" s="382" t="s">
        <v>2342</v>
      </c>
      <c r="G1212" s="382" t="s">
        <v>2343</v>
      </c>
      <c r="H1212" s="383">
        <v>-3519.37</v>
      </c>
      <c r="I1212" s="1046">
        <v>5529.21</v>
      </c>
      <c r="J1212" s="1047"/>
      <c r="K1212" s="383">
        <v>125</v>
      </c>
      <c r="L1212" s="383">
        <v>-8923.58</v>
      </c>
    </row>
    <row r="1213" spans="2:12">
      <c r="B1213" s="1050"/>
      <c r="C1213" s="1050"/>
      <c r="D1213" s="382" t="s">
        <v>2666</v>
      </c>
      <c r="E1213" s="382" t="s">
        <v>2290</v>
      </c>
      <c r="F1213" s="382" t="s">
        <v>2342</v>
      </c>
      <c r="G1213" s="382" t="s">
        <v>2344</v>
      </c>
      <c r="H1213" s="383">
        <v>-3721.8</v>
      </c>
      <c r="I1213" s="1046">
        <v>3964.64</v>
      </c>
      <c r="J1213" s="1047"/>
      <c r="K1213" s="383">
        <v>0</v>
      </c>
      <c r="L1213" s="383">
        <v>-7686.44</v>
      </c>
    </row>
    <row r="1214" spans="2:12">
      <c r="B1214" s="1050"/>
      <c r="C1214" s="1050"/>
      <c r="D1214" s="382" t="s">
        <v>2666</v>
      </c>
      <c r="E1214" s="382" t="s">
        <v>2290</v>
      </c>
      <c r="F1214" s="382" t="s">
        <v>2342</v>
      </c>
      <c r="G1214" s="382" t="s">
        <v>2345</v>
      </c>
      <c r="H1214" s="383">
        <v>-2417.81</v>
      </c>
      <c r="I1214" s="1046">
        <v>4527.6499999999996</v>
      </c>
      <c r="J1214" s="1047"/>
      <c r="K1214" s="383">
        <v>0</v>
      </c>
      <c r="L1214" s="383">
        <v>-6945.46</v>
      </c>
    </row>
    <row r="1215" spans="2:12">
      <c r="B1215" s="1050"/>
      <c r="C1215" s="1050"/>
      <c r="D1215" s="382" t="s">
        <v>2666</v>
      </c>
      <c r="E1215" s="382" t="s">
        <v>2290</v>
      </c>
      <c r="F1215" s="382" t="s">
        <v>2342</v>
      </c>
      <c r="G1215" s="382" t="s">
        <v>2346</v>
      </c>
      <c r="H1215" s="383">
        <v>-23857.54</v>
      </c>
      <c r="I1215" s="1046">
        <v>14267.38</v>
      </c>
      <c r="J1215" s="1047"/>
      <c r="K1215" s="383">
        <v>0</v>
      </c>
      <c r="L1215" s="383">
        <v>-38124.92</v>
      </c>
    </row>
    <row r="1216" spans="2:12">
      <c r="B1216" s="1050"/>
      <c r="C1216" s="1050"/>
      <c r="D1216" s="382" t="s">
        <v>2666</v>
      </c>
      <c r="E1216" s="382" t="s">
        <v>2290</v>
      </c>
      <c r="F1216" s="382" t="s">
        <v>2342</v>
      </c>
      <c r="G1216" s="382" t="s">
        <v>2347</v>
      </c>
      <c r="H1216" s="383">
        <v>-4621.92</v>
      </c>
      <c r="I1216" s="1046">
        <v>5301.77</v>
      </c>
      <c r="J1216" s="1047"/>
      <c r="K1216" s="383">
        <v>0</v>
      </c>
      <c r="L1216" s="383">
        <v>-9923.69</v>
      </c>
    </row>
    <row r="1217" spans="2:12">
      <c r="B1217" s="1050"/>
      <c r="C1217" s="1050"/>
      <c r="D1217" s="382" t="s">
        <v>2666</v>
      </c>
      <c r="E1217" s="382" t="s">
        <v>2290</v>
      </c>
      <c r="F1217" s="382" t="s">
        <v>2342</v>
      </c>
      <c r="G1217" s="382" t="s">
        <v>2348</v>
      </c>
      <c r="H1217" s="383">
        <v>-1994.51</v>
      </c>
      <c r="I1217" s="1046">
        <v>3904.35</v>
      </c>
      <c r="J1217" s="1047"/>
      <c r="K1217" s="383">
        <v>0</v>
      </c>
      <c r="L1217" s="383">
        <v>-5898.86</v>
      </c>
    </row>
    <row r="1218" spans="2:12">
      <c r="B1218" s="1050"/>
      <c r="C1218" s="1050"/>
      <c r="D1218" s="382" t="s">
        <v>2666</v>
      </c>
      <c r="E1218" s="382" t="s">
        <v>2290</v>
      </c>
      <c r="F1218" s="382" t="s">
        <v>2342</v>
      </c>
      <c r="G1218" s="382" t="s">
        <v>2349</v>
      </c>
      <c r="H1218" s="383">
        <v>-3784.36</v>
      </c>
      <c r="I1218" s="1046">
        <v>4848.2</v>
      </c>
      <c r="J1218" s="1047"/>
      <c r="K1218" s="383">
        <v>0</v>
      </c>
      <c r="L1218" s="383">
        <v>-8632.56</v>
      </c>
    </row>
    <row r="1219" spans="2:12">
      <c r="B1219" s="1050"/>
      <c r="C1219" s="1050"/>
      <c r="D1219" s="382" t="s">
        <v>2666</v>
      </c>
      <c r="E1219" s="382" t="s">
        <v>2290</v>
      </c>
      <c r="F1219" s="382" t="s">
        <v>2342</v>
      </c>
      <c r="G1219" s="382" t="s">
        <v>2350</v>
      </c>
      <c r="H1219" s="383">
        <v>-4548.63</v>
      </c>
      <c r="I1219" s="1046">
        <v>6308.47</v>
      </c>
      <c r="J1219" s="1047"/>
      <c r="K1219" s="383">
        <v>0</v>
      </c>
      <c r="L1219" s="383">
        <v>-10857.1</v>
      </c>
    </row>
    <row r="1220" spans="2:12">
      <c r="B1220" s="1050"/>
      <c r="C1220" s="1050"/>
      <c r="D1220" s="382" t="s">
        <v>2666</v>
      </c>
      <c r="E1220" s="382" t="s">
        <v>2290</v>
      </c>
      <c r="F1220" s="382" t="s">
        <v>2342</v>
      </c>
      <c r="G1220" s="382" t="s">
        <v>2351</v>
      </c>
      <c r="H1220" s="383">
        <v>-2441.1</v>
      </c>
      <c r="I1220" s="1046">
        <v>3850.94</v>
      </c>
      <c r="J1220" s="1047"/>
      <c r="K1220" s="383">
        <v>0</v>
      </c>
      <c r="L1220" s="383">
        <v>-6292.04</v>
      </c>
    </row>
    <row r="1221" spans="2:12">
      <c r="B1221" s="1050"/>
      <c r="C1221" s="1050"/>
      <c r="D1221" s="382" t="s">
        <v>2666</v>
      </c>
      <c r="E1221" s="382" t="s">
        <v>2290</v>
      </c>
      <c r="F1221" s="382" t="s">
        <v>2342</v>
      </c>
      <c r="G1221" s="382" t="s">
        <v>2352</v>
      </c>
      <c r="H1221" s="383">
        <v>-2134.2399999999998</v>
      </c>
      <c r="I1221" s="1046">
        <v>3344.08</v>
      </c>
      <c r="J1221" s="1047"/>
      <c r="K1221" s="383">
        <v>0</v>
      </c>
      <c r="L1221" s="383">
        <v>-5478.32</v>
      </c>
    </row>
    <row r="1222" spans="2:12">
      <c r="B1222" s="1050"/>
      <c r="C1222" s="1050"/>
      <c r="D1222" s="382" t="s">
        <v>2666</v>
      </c>
      <c r="E1222" s="382" t="s">
        <v>2290</v>
      </c>
      <c r="F1222" s="382" t="s">
        <v>2342</v>
      </c>
      <c r="G1222" s="382" t="s">
        <v>2353</v>
      </c>
      <c r="H1222" s="383">
        <v>-4425.68</v>
      </c>
      <c r="I1222" s="1046">
        <v>7518.85</v>
      </c>
      <c r="J1222" s="1047"/>
      <c r="K1222" s="383">
        <v>0</v>
      </c>
      <c r="L1222" s="383">
        <v>-11944.53</v>
      </c>
    </row>
    <row r="1223" spans="2:12">
      <c r="B1223" s="1050"/>
      <c r="C1223" s="1050"/>
      <c r="D1223" s="382" t="s">
        <v>2666</v>
      </c>
      <c r="E1223" s="382" t="s">
        <v>2290</v>
      </c>
      <c r="F1223" s="382" t="s">
        <v>2342</v>
      </c>
      <c r="G1223" s="382" t="s">
        <v>405</v>
      </c>
      <c r="H1223" s="383">
        <v>-1855.74</v>
      </c>
      <c r="I1223" s="1046">
        <v>2920.25</v>
      </c>
      <c r="J1223" s="1047"/>
      <c r="K1223" s="383">
        <v>0</v>
      </c>
      <c r="L1223" s="383">
        <v>-4775.99</v>
      </c>
    </row>
    <row r="1224" spans="2:12">
      <c r="B1224" s="1050"/>
      <c r="C1224" s="1050"/>
      <c r="D1224" s="382" t="s">
        <v>2666</v>
      </c>
      <c r="E1224" s="382" t="s">
        <v>2290</v>
      </c>
      <c r="F1224" s="382" t="s">
        <v>2342</v>
      </c>
      <c r="G1224" s="382" t="s">
        <v>2354</v>
      </c>
      <c r="H1224" s="383">
        <v>-13566.67</v>
      </c>
      <c r="I1224" s="1046">
        <v>14066.67</v>
      </c>
      <c r="J1224" s="1047"/>
      <c r="K1224" s="383">
        <v>0</v>
      </c>
      <c r="L1224" s="383">
        <v>-27633.34</v>
      </c>
    </row>
    <row r="1225" spans="2:12">
      <c r="B1225" s="1050"/>
      <c r="C1225" s="1050"/>
      <c r="D1225" s="382" t="s">
        <v>2666</v>
      </c>
      <c r="E1225" s="382" t="s">
        <v>2290</v>
      </c>
      <c r="F1225" s="382" t="s">
        <v>2342</v>
      </c>
      <c r="G1225" s="382" t="s">
        <v>2355</v>
      </c>
      <c r="H1225" s="383">
        <v>-750926.38</v>
      </c>
      <c r="I1225" s="1046">
        <v>21086.43</v>
      </c>
      <c r="J1225" s="1047"/>
      <c r="K1225" s="383">
        <v>31542.3</v>
      </c>
      <c r="L1225" s="383">
        <v>-740470.51</v>
      </c>
    </row>
    <row r="1226" spans="2:12">
      <c r="B1226" s="1050"/>
      <c r="C1226" s="1051"/>
      <c r="D1226" s="359" t="s">
        <v>12</v>
      </c>
      <c r="E1226" s="359" t="s">
        <v>111</v>
      </c>
      <c r="F1226" s="359" t="s">
        <v>111</v>
      </c>
      <c r="G1226" s="359" t="s">
        <v>111</v>
      </c>
      <c r="H1226" s="384">
        <v>-823815.75</v>
      </c>
      <c r="I1226" s="1048">
        <v>101438.89</v>
      </c>
      <c r="J1226" s="1047"/>
      <c r="K1226" s="384">
        <v>31667.3</v>
      </c>
      <c r="L1226" s="384">
        <v>-893587.34</v>
      </c>
    </row>
    <row r="1227" spans="2:12">
      <c r="B1227" s="1050"/>
      <c r="C1227" s="1049" t="s">
        <v>2667</v>
      </c>
      <c r="D1227" s="382" t="s">
        <v>2668</v>
      </c>
      <c r="E1227" s="382" t="s">
        <v>2291</v>
      </c>
      <c r="F1227" s="382" t="s">
        <v>2342</v>
      </c>
      <c r="G1227" s="382" t="s">
        <v>2345</v>
      </c>
      <c r="H1227" s="383">
        <v>0</v>
      </c>
      <c r="I1227" s="1046">
        <v>80</v>
      </c>
      <c r="J1227" s="1047"/>
      <c r="K1227" s="383">
        <v>0</v>
      </c>
      <c r="L1227" s="383">
        <v>-80</v>
      </c>
    </row>
    <row r="1228" spans="2:12">
      <c r="B1228" s="1050"/>
      <c r="C1228" s="1050"/>
      <c r="D1228" s="382" t="s">
        <v>2669</v>
      </c>
      <c r="E1228" s="382" t="s">
        <v>2292</v>
      </c>
      <c r="F1228" s="382" t="s">
        <v>2342</v>
      </c>
      <c r="G1228" s="382" t="s">
        <v>2345</v>
      </c>
      <c r="H1228" s="383">
        <v>0</v>
      </c>
      <c r="I1228" s="1046">
        <v>350</v>
      </c>
      <c r="J1228" s="1047"/>
      <c r="K1228" s="383">
        <v>0</v>
      </c>
      <c r="L1228" s="383">
        <v>-350</v>
      </c>
    </row>
    <row r="1229" spans="2:12">
      <c r="B1229" s="1050"/>
      <c r="C1229" s="1050"/>
      <c r="D1229" s="382" t="s">
        <v>2669</v>
      </c>
      <c r="E1229" s="382" t="s">
        <v>2292</v>
      </c>
      <c r="F1229" s="382" t="s">
        <v>2342</v>
      </c>
      <c r="G1229" s="382" t="s">
        <v>2350</v>
      </c>
      <c r="H1229" s="383">
        <v>0</v>
      </c>
      <c r="I1229" s="1046">
        <v>350</v>
      </c>
      <c r="J1229" s="1047"/>
      <c r="K1229" s="383">
        <v>0</v>
      </c>
      <c r="L1229" s="383">
        <v>-350</v>
      </c>
    </row>
    <row r="1230" spans="2:12">
      <c r="B1230" s="1050"/>
      <c r="C1230" s="1050"/>
      <c r="D1230" s="382" t="s">
        <v>2669</v>
      </c>
      <c r="E1230" s="382" t="s">
        <v>2292</v>
      </c>
      <c r="F1230" s="382" t="s">
        <v>2342</v>
      </c>
      <c r="G1230" s="382" t="s">
        <v>2355</v>
      </c>
      <c r="H1230" s="383">
        <v>-33451.51</v>
      </c>
      <c r="I1230" s="1046">
        <v>1590</v>
      </c>
      <c r="J1230" s="1047"/>
      <c r="K1230" s="383">
        <v>0</v>
      </c>
      <c r="L1230" s="383">
        <v>-35041.51</v>
      </c>
    </row>
    <row r="1231" spans="2:12">
      <c r="B1231" s="1050"/>
      <c r="C1231" s="1051"/>
      <c r="D1231" s="359" t="s">
        <v>12</v>
      </c>
      <c r="E1231" s="359" t="s">
        <v>111</v>
      </c>
      <c r="F1231" s="359" t="s">
        <v>111</v>
      </c>
      <c r="G1231" s="359" t="s">
        <v>111</v>
      </c>
      <c r="H1231" s="384">
        <v>-33451.51</v>
      </c>
      <c r="I1231" s="1048">
        <v>2370</v>
      </c>
      <c r="J1231" s="1047"/>
      <c r="K1231" s="384">
        <v>0</v>
      </c>
      <c r="L1231" s="384">
        <v>-35821.51</v>
      </c>
    </row>
    <row r="1232" spans="2:12">
      <c r="B1232" s="1050"/>
      <c r="C1232" s="1049" t="s">
        <v>2670</v>
      </c>
      <c r="D1232" s="382" t="s">
        <v>2671</v>
      </c>
      <c r="E1232" s="382" t="s">
        <v>2293</v>
      </c>
      <c r="F1232" s="382" t="s">
        <v>2342</v>
      </c>
      <c r="G1232" s="382" t="s">
        <v>2355</v>
      </c>
      <c r="H1232" s="383">
        <v>-104248.53</v>
      </c>
      <c r="I1232" s="1046">
        <v>9644.6299999999992</v>
      </c>
      <c r="J1232" s="1047"/>
      <c r="K1232" s="383">
        <v>2624.84</v>
      </c>
      <c r="L1232" s="383">
        <v>-111268.32</v>
      </c>
    </row>
    <row r="1233" spans="2:14">
      <c r="B1233" s="1050"/>
      <c r="C1233" s="1050"/>
      <c r="D1233" s="382" t="s">
        <v>2672</v>
      </c>
      <c r="E1233" s="382" t="s">
        <v>2294</v>
      </c>
      <c r="F1233" s="382" t="s">
        <v>2342</v>
      </c>
      <c r="G1233" s="382" t="s">
        <v>2355</v>
      </c>
      <c r="H1233" s="383">
        <v>-668834.18000000005</v>
      </c>
      <c r="I1233" s="1046">
        <v>0</v>
      </c>
      <c r="J1233" s="1047"/>
      <c r="K1233" s="383">
        <v>0</v>
      </c>
      <c r="L1233" s="383">
        <v>-668834.18000000005</v>
      </c>
    </row>
    <row r="1234" spans="2:14">
      <c r="B1234" s="1050"/>
      <c r="C1234" s="1050"/>
      <c r="D1234" s="382" t="s">
        <v>2673</v>
      </c>
      <c r="E1234" s="382" t="s">
        <v>2674</v>
      </c>
      <c r="F1234" s="382" t="s">
        <v>2342</v>
      </c>
      <c r="G1234" s="382" t="s">
        <v>2355</v>
      </c>
      <c r="H1234" s="383">
        <v>0</v>
      </c>
      <c r="I1234" s="1046">
        <v>7560.79</v>
      </c>
      <c r="J1234" s="1047"/>
      <c r="K1234" s="383">
        <v>4266.67</v>
      </c>
      <c r="L1234" s="383">
        <v>-3294.12</v>
      </c>
      <c r="N1234" s="363"/>
    </row>
    <row r="1235" spans="2:14">
      <c r="B1235" s="1050"/>
      <c r="C1235" s="1051"/>
      <c r="D1235" s="359" t="s">
        <v>12</v>
      </c>
      <c r="E1235" s="359" t="s">
        <v>111</v>
      </c>
      <c r="F1235" s="359" t="s">
        <v>111</v>
      </c>
      <c r="G1235" s="359" t="s">
        <v>111</v>
      </c>
      <c r="H1235" s="384">
        <v>-773082.71</v>
      </c>
      <c r="I1235" s="1048">
        <v>17205.419999999998</v>
      </c>
      <c r="J1235" s="1047"/>
      <c r="K1235" s="384">
        <v>6891.51</v>
      </c>
      <c r="L1235" s="384">
        <v>-783396.62</v>
      </c>
    </row>
    <row r="1236" spans="2:14">
      <c r="B1236" s="1050"/>
      <c r="C1236" s="1049" t="s">
        <v>2675</v>
      </c>
      <c r="D1236" s="382" t="s">
        <v>2676</v>
      </c>
      <c r="E1236" s="382" t="s">
        <v>2295</v>
      </c>
      <c r="F1236" s="382" t="s">
        <v>2342</v>
      </c>
      <c r="G1236" s="382" t="s">
        <v>2355</v>
      </c>
      <c r="H1236" s="383">
        <v>-45</v>
      </c>
      <c r="I1236" s="1046">
        <v>0</v>
      </c>
      <c r="J1236" s="1047"/>
      <c r="K1236" s="383">
        <v>0</v>
      </c>
      <c r="L1236" s="383">
        <v>-45</v>
      </c>
    </row>
    <row r="1237" spans="2:14">
      <c r="B1237" s="1050"/>
      <c r="C1237" s="1050"/>
      <c r="D1237" s="382" t="s">
        <v>2677</v>
      </c>
      <c r="E1237" s="382" t="s">
        <v>2296</v>
      </c>
      <c r="F1237" s="382" t="s">
        <v>2342</v>
      </c>
      <c r="G1237" s="382" t="s">
        <v>2344</v>
      </c>
      <c r="H1237" s="383">
        <v>-3220.66</v>
      </c>
      <c r="I1237" s="1046">
        <v>1317.02</v>
      </c>
      <c r="J1237" s="1047"/>
      <c r="K1237" s="383">
        <v>0</v>
      </c>
      <c r="L1237" s="383">
        <v>-4537.68</v>
      </c>
    </row>
    <row r="1238" spans="2:14">
      <c r="B1238" s="1050"/>
      <c r="C1238" s="1050"/>
      <c r="D1238" s="382" t="s">
        <v>2677</v>
      </c>
      <c r="E1238" s="382" t="s">
        <v>2296</v>
      </c>
      <c r="F1238" s="382" t="s">
        <v>2342</v>
      </c>
      <c r="G1238" s="382" t="s">
        <v>2345</v>
      </c>
      <c r="H1238" s="383">
        <v>-3220.66</v>
      </c>
      <c r="I1238" s="1046">
        <v>1317.02</v>
      </c>
      <c r="J1238" s="1047"/>
      <c r="K1238" s="383">
        <v>0</v>
      </c>
      <c r="L1238" s="383">
        <v>-4537.68</v>
      </c>
    </row>
    <row r="1239" spans="2:14">
      <c r="B1239" s="1050"/>
      <c r="C1239" s="1050"/>
      <c r="D1239" s="382" t="s">
        <v>2677</v>
      </c>
      <c r="E1239" s="382" t="s">
        <v>2296</v>
      </c>
      <c r="F1239" s="382" t="s">
        <v>2342</v>
      </c>
      <c r="G1239" s="382" t="s">
        <v>2346</v>
      </c>
      <c r="H1239" s="383">
        <v>-3220.66</v>
      </c>
      <c r="I1239" s="1046">
        <v>1317.02</v>
      </c>
      <c r="J1239" s="1047"/>
      <c r="K1239" s="383">
        <v>0</v>
      </c>
      <c r="L1239" s="383">
        <v>-4537.68</v>
      </c>
    </row>
    <row r="1240" spans="2:14">
      <c r="B1240" s="1050"/>
      <c r="C1240" s="1050"/>
      <c r="D1240" s="382" t="s">
        <v>2677</v>
      </c>
      <c r="E1240" s="382" t="s">
        <v>2296</v>
      </c>
      <c r="F1240" s="382" t="s">
        <v>2342</v>
      </c>
      <c r="G1240" s="382" t="s">
        <v>2347</v>
      </c>
      <c r="H1240" s="383">
        <v>-3220.66</v>
      </c>
      <c r="I1240" s="1046">
        <v>1317.02</v>
      </c>
      <c r="J1240" s="1047"/>
      <c r="K1240" s="383">
        <v>0</v>
      </c>
      <c r="L1240" s="383">
        <v>-4537.68</v>
      </c>
    </row>
    <row r="1241" spans="2:14">
      <c r="B1241" s="1050"/>
      <c r="C1241" s="1050"/>
      <c r="D1241" s="382" t="s">
        <v>2677</v>
      </c>
      <c r="E1241" s="382" t="s">
        <v>2296</v>
      </c>
      <c r="F1241" s="382" t="s">
        <v>2342</v>
      </c>
      <c r="G1241" s="382" t="s">
        <v>2348</v>
      </c>
      <c r="H1241" s="383">
        <v>-3219.71</v>
      </c>
      <c r="I1241" s="1046">
        <v>1317.02</v>
      </c>
      <c r="J1241" s="1047"/>
      <c r="K1241" s="383">
        <v>0</v>
      </c>
      <c r="L1241" s="383">
        <v>-4536.7299999999996</v>
      </c>
    </row>
    <row r="1242" spans="2:14">
      <c r="B1242" s="1050"/>
      <c r="C1242" s="1050"/>
      <c r="D1242" s="382" t="s">
        <v>2677</v>
      </c>
      <c r="E1242" s="382" t="s">
        <v>2296</v>
      </c>
      <c r="F1242" s="382" t="s">
        <v>2342</v>
      </c>
      <c r="G1242" s="382" t="s">
        <v>2351</v>
      </c>
      <c r="H1242" s="383">
        <v>-3220.66</v>
      </c>
      <c r="I1242" s="1046">
        <v>1317.02</v>
      </c>
      <c r="J1242" s="1047"/>
      <c r="K1242" s="383">
        <v>0</v>
      </c>
      <c r="L1242" s="383">
        <v>-4537.68</v>
      </c>
    </row>
    <row r="1243" spans="2:14">
      <c r="B1243" s="1050"/>
      <c r="C1243" s="1050"/>
      <c r="D1243" s="382" t="s">
        <v>2677</v>
      </c>
      <c r="E1243" s="382" t="s">
        <v>2296</v>
      </c>
      <c r="F1243" s="382" t="s">
        <v>2342</v>
      </c>
      <c r="G1243" s="382" t="s">
        <v>2352</v>
      </c>
      <c r="H1243" s="383">
        <v>-3220.66</v>
      </c>
      <c r="I1243" s="1046">
        <v>1317.02</v>
      </c>
      <c r="J1243" s="1047"/>
      <c r="K1243" s="383">
        <v>0</v>
      </c>
      <c r="L1243" s="383">
        <v>-4537.68</v>
      </c>
    </row>
    <row r="1244" spans="2:14">
      <c r="B1244" s="1050"/>
      <c r="C1244" s="1050"/>
      <c r="D1244" s="382" t="s">
        <v>2677</v>
      </c>
      <c r="E1244" s="382" t="s">
        <v>2296</v>
      </c>
      <c r="F1244" s="382" t="s">
        <v>2342</v>
      </c>
      <c r="G1244" s="382" t="s">
        <v>2354</v>
      </c>
      <c r="H1244" s="383">
        <v>0</v>
      </c>
      <c r="I1244" s="1046">
        <v>1317.02</v>
      </c>
      <c r="J1244" s="1047"/>
      <c r="K1244" s="383">
        <v>0</v>
      </c>
      <c r="L1244" s="383">
        <v>-1317.02</v>
      </c>
    </row>
    <row r="1245" spans="2:14">
      <c r="B1245" s="1050"/>
      <c r="C1245" s="1050"/>
      <c r="D1245" s="382" t="s">
        <v>2677</v>
      </c>
      <c r="E1245" s="382" t="s">
        <v>2296</v>
      </c>
      <c r="F1245" s="382" t="s">
        <v>2342</v>
      </c>
      <c r="G1245" s="382" t="s">
        <v>2355</v>
      </c>
      <c r="H1245" s="383">
        <v>-92038.1</v>
      </c>
      <c r="I1245" s="1046">
        <v>9378.5499999999993</v>
      </c>
      <c r="J1245" s="1047"/>
      <c r="K1245" s="383">
        <v>0</v>
      </c>
      <c r="L1245" s="383">
        <v>-101416.65</v>
      </c>
    </row>
    <row r="1246" spans="2:14">
      <c r="B1246" s="1050"/>
      <c r="C1246" s="1050"/>
      <c r="D1246" s="382" t="s">
        <v>2678</v>
      </c>
      <c r="E1246" s="382" t="s">
        <v>2297</v>
      </c>
      <c r="F1246" s="382" t="s">
        <v>2342</v>
      </c>
      <c r="G1246" s="382" t="s">
        <v>2343</v>
      </c>
      <c r="H1246" s="383">
        <v>-24921.22</v>
      </c>
      <c r="I1246" s="1046">
        <v>6674.78</v>
      </c>
      <c r="J1246" s="1047"/>
      <c r="K1246" s="383">
        <v>2320</v>
      </c>
      <c r="L1246" s="383">
        <v>-29276</v>
      </c>
    </row>
    <row r="1247" spans="2:14">
      <c r="B1247" s="1050"/>
      <c r="C1247" s="1050"/>
      <c r="D1247" s="382" t="s">
        <v>2678</v>
      </c>
      <c r="E1247" s="382" t="s">
        <v>2297</v>
      </c>
      <c r="F1247" s="382" t="s">
        <v>2342</v>
      </c>
      <c r="G1247" s="382" t="s">
        <v>2344</v>
      </c>
      <c r="H1247" s="383">
        <v>-28378.53</v>
      </c>
      <c r="I1247" s="1046">
        <v>7724.58</v>
      </c>
      <c r="J1247" s="1047"/>
      <c r="K1247" s="383">
        <v>4604.7299999999996</v>
      </c>
      <c r="L1247" s="383">
        <v>-31498.38</v>
      </c>
    </row>
    <row r="1248" spans="2:14">
      <c r="B1248" s="1050"/>
      <c r="C1248" s="1050"/>
      <c r="D1248" s="382" t="s">
        <v>2678</v>
      </c>
      <c r="E1248" s="382" t="s">
        <v>2297</v>
      </c>
      <c r="F1248" s="382" t="s">
        <v>2342</v>
      </c>
      <c r="G1248" s="382" t="s">
        <v>2345</v>
      </c>
      <c r="H1248" s="383">
        <v>-22510.51</v>
      </c>
      <c r="I1248" s="1046">
        <v>8611.75</v>
      </c>
      <c r="J1248" s="1047"/>
      <c r="K1248" s="383">
        <v>5828.77</v>
      </c>
      <c r="L1248" s="383">
        <v>-25293.49</v>
      </c>
    </row>
    <row r="1249" spans="2:12">
      <c r="B1249" s="1050"/>
      <c r="C1249" s="1050"/>
      <c r="D1249" s="382" t="s">
        <v>2678</v>
      </c>
      <c r="E1249" s="382" t="s">
        <v>2297</v>
      </c>
      <c r="F1249" s="382" t="s">
        <v>2342</v>
      </c>
      <c r="G1249" s="382" t="s">
        <v>2346</v>
      </c>
      <c r="H1249" s="383">
        <v>-12491.55</v>
      </c>
      <c r="I1249" s="1046">
        <v>8027.44</v>
      </c>
      <c r="J1249" s="1047"/>
      <c r="K1249" s="383">
        <v>5858.77</v>
      </c>
      <c r="L1249" s="383">
        <v>-14660.22</v>
      </c>
    </row>
    <row r="1250" spans="2:12">
      <c r="B1250" s="1050"/>
      <c r="C1250" s="1050"/>
      <c r="D1250" s="382" t="s">
        <v>2678</v>
      </c>
      <c r="E1250" s="382" t="s">
        <v>2297</v>
      </c>
      <c r="F1250" s="382" t="s">
        <v>2342</v>
      </c>
      <c r="G1250" s="382" t="s">
        <v>2347</v>
      </c>
      <c r="H1250" s="383">
        <v>-33891.71</v>
      </c>
      <c r="I1250" s="1046">
        <v>10385.44</v>
      </c>
      <c r="J1250" s="1047"/>
      <c r="K1250" s="383">
        <v>4604.7299999999996</v>
      </c>
      <c r="L1250" s="383">
        <v>-39672.42</v>
      </c>
    </row>
    <row r="1251" spans="2:12">
      <c r="B1251" s="1050"/>
      <c r="C1251" s="1050"/>
      <c r="D1251" s="382" t="s">
        <v>2678</v>
      </c>
      <c r="E1251" s="382" t="s">
        <v>2297</v>
      </c>
      <c r="F1251" s="382" t="s">
        <v>2342</v>
      </c>
      <c r="G1251" s="382" t="s">
        <v>2348</v>
      </c>
      <c r="H1251" s="383">
        <v>-28631.83</v>
      </c>
      <c r="I1251" s="1046">
        <v>8236.6299999999992</v>
      </c>
      <c r="J1251" s="1047"/>
      <c r="K1251" s="383">
        <v>4604.7299999999996</v>
      </c>
      <c r="L1251" s="383">
        <v>-32263.73</v>
      </c>
    </row>
    <row r="1252" spans="2:12">
      <c r="B1252" s="1050"/>
      <c r="C1252" s="1050"/>
      <c r="D1252" s="382" t="s">
        <v>2678</v>
      </c>
      <c r="E1252" s="382" t="s">
        <v>2297</v>
      </c>
      <c r="F1252" s="382" t="s">
        <v>2342</v>
      </c>
      <c r="G1252" s="382" t="s">
        <v>2349</v>
      </c>
      <c r="H1252" s="383">
        <v>-19371.560000000001</v>
      </c>
      <c r="I1252" s="1046">
        <v>7449.6</v>
      </c>
      <c r="J1252" s="1047"/>
      <c r="K1252" s="383">
        <v>2320</v>
      </c>
      <c r="L1252" s="383">
        <v>-24501.16</v>
      </c>
    </row>
    <row r="1253" spans="2:12">
      <c r="B1253" s="1050"/>
      <c r="C1253" s="1050"/>
      <c r="D1253" s="382" t="s">
        <v>2678</v>
      </c>
      <c r="E1253" s="382" t="s">
        <v>2297</v>
      </c>
      <c r="F1253" s="382" t="s">
        <v>2342</v>
      </c>
      <c r="G1253" s="382" t="s">
        <v>2350</v>
      </c>
      <c r="H1253" s="383">
        <v>-20168.72</v>
      </c>
      <c r="I1253" s="1046">
        <v>7878.18</v>
      </c>
      <c r="J1253" s="1047"/>
      <c r="K1253" s="383">
        <v>2320</v>
      </c>
      <c r="L1253" s="383">
        <v>-25726.9</v>
      </c>
    </row>
    <row r="1254" spans="2:12">
      <c r="B1254" s="1050"/>
      <c r="C1254" s="1050"/>
      <c r="D1254" s="382" t="s">
        <v>2678</v>
      </c>
      <c r="E1254" s="382" t="s">
        <v>2297</v>
      </c>
      <c r="F1254" s="382" t="s">
        <v>2342</v>
      </c>
      <c r="G1254" s="382" t="s">
        <v>2351</v>
      </c>
      <c r="H1254" s="383">
        <v>-32599.02</v>
      </c>
      <c r="I1254" s="1046">
        <v>11954.71</v>
      </c>
      <c r="J1254" s="1047"/>
      <c r="K1254" s="383">
        <v>8743.16</v>
      </c>
      <c r="L1254" s="383">
        <v>-35810.57</v>
      </c>
    </row>
    <row r="1255" spans="2:12">
      <c r="B1255" s="1050"/>
      <c r="C1255" s="1050"/>
      <c r="D1255" s="382" t="s">
        <v>2678</v>
      </c>
      <c r="E1255" s="382" t="s">
        <v>2297</v>
      </c>
      <c r="F1255" s="382" t="s">
        <v>2342</v>
      </c>
      <c r="G1255" s="382" t="s">
        <v>2352</v>
      </c>
      <c r="H1255" s="383">
        <v>-28396.33</v>
      </c>
      <c r="I1255" s="1046">
        <v>7913.43</v>
      </c>
      <c r="J1255" s="1047"/>
      <c r="K1255" s="383">
        <v>4604.7299999999996</v>
      </c>
      <c r="L1255" s="383">
        <v>-31705.03</v>
      </c>
    </row>
    <row r="1256" spans="2:12">
      <c r="B1256" s="1050"/>
      <c r="C1256" s="1050"/>
      <c r="D1256" s="382" t="s">
        <v>2678</v>
      </c>
      <c r="E1256" s="382" t="s">
        <v>2297</v>
      </c>
      <c r="F1256" s="382" t="s">
        <v>2342</v>
      </c>
      <c r="G1256" s="382" t="s">
        <v>2353</v>
      </c>
      <c r="H1256" s="383">
        <v>-13075.66</v>
      </c>
      <c r="I1256" s="1046">
        <v>5010.4399999999996</v>
      </c>
      <c r="J1256" s="1047"/>
      <c r="K1256" s="383">
        <v>2320</v>
      </c>
      <c r="L1256" s="383">
        <v>-15766.1</v>
      </c>
    </row>
    <row r="1257" spans="2:12">
      <c r="B1257" s="1050"/>
      <c r="C1257" s="1050"/>
      <c r="D1257" s="382" t="s">
        <v>2678</v>
      </c>
      <c r="E1257" s="382" t="s">
        <v>2297</v>
      </c>
      <c r="F1257" s="382" t="s">
        <v>2342</v>
      </c>
      <c r="G1257" s="382" t="s">
        <v>405</v>
      </c>
      <c r="H1257" s="383">
        <v>-27173.06</v>
      </c>
      <c r="I1257" s="1046">
        <v>6288.97</v>
      </c>
      <c r="J1257" s="1047"/>
      <c r="K1257" s="383">
        <v>5220</v>
      </c>
      <c r="L1257" s="383">
        <v>-28242.03</v>
      </c>
    </row>
    <row r="1258" spans="2:12">
      <c r="B1258" s="1050"/>
      <c r="C1258" s="1050"/>
      <c r="D1258" s="382" t="s">
        <v>2678</v>
      </c>
      <c r="E1258" s="382" t="s">
        <v>2297</v>
      </c>
      <c r="F1258" s="382" t="s">
        <v>2342</v>
      </c>
      <c r="G1258" s="382" t="s">
        <v>2354</v>
      </c>
      <c r="H1258" s="383">
        <v>-6057.32</v>
      </c>
      <c r="I1258" s="1046">
        <v>6181.99</v>
      </c>
      <c r="J1258" s="1047"/>
      <c r="K1258" s="383">
        <v>4604.7299999999996</v>
      </c>
      <c r="L1258" s="383">
        <v>-7634.58</v>
      </c>
    </row>
    <row r="1259" spans="2:12">
      <c r="B1259" s="1050"/>
      <c r="C1259" s="1050"/>
      <c r="D1259" s="382" t="s">
        <v>2678</v>
      </c>
      <c r="E1259" s="382" t="s">
        <v>2297</v>
      </c>
      <c r="F1259" s="382" t="s">
        <v>2342</v>
      </c>
      <c r="G1259" s="382" t="s">
        <v>2355</v>
      </c>
      <c r="H1259" s="383">
        <v>-1368891.77</v>
      </c>
      <c r="I1259" s="1046">
        <v>79295.08</v>
      </c>
      <c r="J1259" s="1047"/>
      <c r="K1259" s="383">
        <v>56352.65</v>
      </c>
      <c r="L1259" s="383">
        <v>-1391834.2</v>
      </c>
    </row>
    <row r="1260" spans="2:12">
      <c r="B1260" s="1050"/>
      <c r="C1260" s="1050"/>
      <c r="D1260" s="382" t="s">
        <v>2679</v>
      </c>
      <c r="E1260" s="382" t="s">
        <v>2298</v>
      </c>
      <c r="F1260" s="382" t="s">
        <v>2342</v>
      </c>
      <c r="G1260" s="382" t="s">
        <v>2343</v>
      </c>
      <c r="H1260" s="383">
        <v>-3820.44</v>
      </c>
      <c r="I1260" s="1046">
        <v>2535</v>
      </c>
      <c r="J1260" s="1047"/>
      <c r="K1260" s="383">
        <v>0</v>
      </c>
      <c r="L1260" s="383">
        <v>-6355.44</v>
      </c>
    </row>
    <row r="1261" spans="2:12">
      <c r="B1261" s="1050"/>
      <c r="C1261" s="1050"/>
      <c r="D1261" s="382" t="s">
        <v>2679</v>
      </c>
      <c r="E1261" s="382" t="s">
        <v>2298</v>
      </c>
      <c r="F1261" s="382" t="s">
        <v>2342</v>
      </c>
      <c r="G1261" s="382" t="s">
        <v>2344</v>
      </c>
      <c r="H1261" s="383">
        <v>-558.5</v>
      </c>
      <c r="I1261" s="1046">
        <v>826.9</v>
      </c>
      <c r="J1261" s="1047"/>
      <c r="K1261" s="383">
        <v>0</v>
      </c>
      <c r="L1261" s="383">
        <v>-1385.4</v>
      </c>
    </row>
    <row r="1262" spans="2:12">
      <c r="B1262" s="1050"/>
      <c r="C1262" s="1050"/>
      <c r="D1262" s="382" t="s">
        <v>2679</v>
      </c>
      <c r="E1262" s="382" t="s">
        <v>2298</v>
      </c>
      <c r="F1262" s="382" t="s">
        <v>2342</v>
      </c>
      <c r="G1262" s="382" t="s">
        <v>2345</v>
      </c>
      <c r="H1262" s="383">
        <v>-473</v>
      </c>
      <c r="I1262" s="1046">
        <v>1298</v>
      </c>
      <c r="J1262" s="1047"/>
      <c r="K1262" s="383">
        <v>0</v>
      </c>
      <c r="L1262" s="383">
        <v>-1771</v>
      </c>
    </row>
    <row r="1263" spans="2:12">
      <c r="B1263" s="1050"/>
      <c r="C1263" s="1050"/>
      <c r="D1263" s="382" t="s">
        <v>2679</v>
      </c>
      <c r="E1263" s="382" t="s">
        <v>2298</v>
      </c>
      <c r="F1263" s="382" t="s">
        <v>2342</v>
      </c>
      <c r="G1263" s="382" t="s">
        <v>2346</v>
      </c>
      <c r="H1263" s="383">
        <v>-1013.6</v>
      </c>
      <c r="I1263" s="1046">
        <v>652.1</v>
      </c>
      <c r="J1263" s="1047"/>
      <c r="K1263" s="383">
        <v>98</v>
      </c>
      <c r="L1263" s="383">
        <v>-1567.7</v>
      </c>
    </row>
    <row r="1264" spans="2:12">
      <c r="B1264" s="1050"/>
      <c r="C1264" s="1050"/>
      <c r="D1264" s="382" t="s">
        <v>2679</v>
      </c>
      <c r="E1264" s="382" t="s">
        <v>2298</v>
      </c>
      <c r="F1264" s="382" t="s">
        <v>2342</v>
      </c>
      <c r="G1264" s="382" t="s">
        <v>2347</v>
      </c>
      <c r="H1264" s="383">
        <v>-517.5</v>
      </c>
      <c r="I1264" s="1046">
        <v>523.54</v>
      </c>
      <c r="J1264" s="1047"/>
      <c r="K1264" s="383">
        <v>0</v>
      </c>
      <c r="L1264" s="383">
        <v>-1041.04</v>
      </c>
    </row>
    <row r="1265" spans="2:12">
      <c r="B1265" s="1050"/>
      <c r="C1265" s="1050"/>
      <c r="D1265" s="382" t="s">
        <v>2679</v>
      </c>
      <c r="E1265" s="382" t="s">
        <v>2298</v>
      </c>
      <c r="F1265" s="382" t="s">
        <v>2342</v>
      </c>
      <c r="G1265" s="382" t="s">
        <v>2348</v>
      </c>
      <c r="H1265" s="383">
        <v>0</v>
      </c>
      <c r="I1265" s="1046">
        <v>1056</v>
      </c>
      <c r="J1265" s="1047"/>
      <c r="K1265" s="383">
        <v>0</v>
      </c>
      <c r="L1265" s="383">
        <v>-1056</v>
      </c>
    </row>
    <row r="1266" spans="2:12">
      <c r="B1266" s="1050"/>
      <c r="C1266" s="1050"/>
      <c r="D1266" s="382" t="s">
        <v>2679</v>
      </c>
      <c r="E1266" s="382" t="s">
        <v>2298</v>
      </c>
      <c r="F1266" s="382" t="s">
        <v>2342</v>
      </c>
      <c r="G1266" s="382" t="s">
        <v>2349</v>
      </c>
      <c r="H1266" s="383">
        <v>-1631.58</v>
      </c>
      <c r="I1266" s="1046">
        <v>906</v>
      </c>
      <c r="J1266" s="1047"/>
      <c r="K1266" s="383">
        <v>0</v>
      </c>
      <c r="L1266" s="383">
        <v>-2537.58</v>
      </c>
    </row>
    <row r="1267" spans="2:12">
      <c r="B1267" s="1050"/>
      <c r="C1267" s="1050"/>
      <c r="D1267" s="382" t="s">
        <v>2679</v>
      </c>
      <c r="E1267" s="382" t="s">
        <v>2298</v>
      </c>
      <c r="F1267" s="382" t="s">
        <v>2342</v>
      </c>
      <c r="G1267" s="382" t="s">
        <v>2350</v>
      </c>
      <c r="H1267" s="383">
        <v>-1822.98</v>
      </c>
      <c r="I1267" s="1046">
        <v>1143</v>
      </c>
      <c r="J1267" s="1047"/>
      <c r="K1267" s="383">
        <v>0</v>
      </c>
      <c r="L1267" s="383">
        <v>-2965.98</v>
      </c>
    </row>
    <row r="1268" spans="2:12">
      <c r="B1268" s="1050"/>
      <c r="C1268" s="1050"/>
      <c r="D1268" s="382" t="s">
        <v>2679</v>
      </c>
      <c r="E1268" s="382" t="s">
        <v>2298</v>
      </c>
      <c r="F1268" s="382" t="s">
        <v>2342</v>
      </c>
      <c r="G1268" s="382" t="s">
        <v>2351</v>
      </c>
      <c r="H1268" s="383">
        <v>-837.49</v>
      </c>
      <c r="I1268" s="1046">
        <v>630.42999999999995</v>
      </c>
      <c r="J1268" s="1047"/>
      <c r="K1268" s="383">
        <v>0</v>
      </c>
      <c r="L1268" s="383">
        <v>-1467.92</v>
      </c>
    </row>
    <row r="1269" spans="2:12">
      <c r="B1269" s="1050"/>
      <c r="C1269" s="1050"/>
      <c r="D1269" s="382" t="s">
        <v>2679</v>
      </c>
      <c r="E1269" s="382" t="s">
        <v>2298</v>
      </c>
      <c r="F1269" s="382" t="s">
        <v>2342</v>
      </c>
      <c r="G1269" s="382" t="s">
        <v>2352</v>
      </c>
      <c r="H1269" s="383">
        <v>-1209.33</v>
      </c>
      <c r="I1269" s="1046">
        <v>850</v>
      </c>
      <c r="J1269" s="1047"/>
      <c r="K1269" s="383">
        <v>0</v>
      </c>
      <c r="L1269" s="383">
        <v>-2059.33</v>
      </c>
    </row>
    <row r="1270" spans="2:12">
      <c r="B1270" s="1050"/>
      <c r="C1270" s="1050"/>
      <c r="D1270" s="382" t="s">
        <v>2679</v>
      </c>
      <c r="E1270" s="382" t="s">
        <v>2298</v>
      </c>
      <c r="F1270" s="382" t="s">
        <v>2342</v>
      </c>
      <c r="G1270" s="382" t="s">
        <v>2353</v>
      </c>
      <c r="H1270" s="383">
        <v>-1963.12</v>
      </c>
      <c r="I1270" s="1046">
        <v>956</v>
      </c>
      <c r="J1270" s="1047"/>
      <c r="K1270" s="383">
        <v>0</v>
      </c>
      <c r="L1270" s="383">
        <v>-2919.12</v>
      </c>
    </row>
    <row r="1271" spans="2:12">
      <c r="B1271" s="1050"/>
      <c r="C1271" s="1050"/>
      <c r="D1271" s="382" t="s">
        <v>2679</v>
      </c>
      <c r="E1271" s="382" t="s">
        <v>2298</v>
      </c>
      <c r="F1271" s="382" t="s">
        <v>2342</v>
      </c>
      <c r="G1271" s="382" t="s">
        <v>405</v>
      </c>
      <c r="H1271" s="383">
        <v>463</v>
      </c>
      <c r="I1271" s="1046">
        <v>317</v>
      </c>
      <c r="J1271" s="1047"/>
      <c r="K1271" s="383">
        <v>0</v>
      </c>
      <c r="L1271" s="383">
        <v>146</v>
      </c>
    </row>
    <row r="1272" spans="2:12">
      <c r="B1272" s="1050"/>
      <c r="C1272" s="1050"/>
      <c r="D1272" s="382" t="s">
        <v>2679</v>
      </c>
      <c r="E1272" s="382" t="s">
        <v>2298</v>
      </c>
      <c r="F1272" s="382" t="s">
        <v>2342</v>
      </c>
      <c r="G1272" s="382" t="s">
        <v>2354</v>
      </c>
      <c r="H1272" s="383">
        <v>-150.5</v>
      </c>
      <c r="I1272" s="1046">
        <v>335.5</v>
      </c>
      <c r="J1272" s="1047"/>
      <c r="K1272" s="383">
        <v>0</v>
      </c>
      <c r="L1272" s="383">
        <v>-486</v>
      </c>
    </row>
    <row r="1273" spans="2:12">
      <c r="B1273" s="1050"/>
      <c r="C1273" s="1050"/>
      <c r="D1273" s="382" t="s">
        <v>2679</v>
      </c>
      <c r="E1273" s="382" t="s">
        <v>2298</v>
      </c>
      <c r="F1273" s="382" t="s">
        <v>2342</v>
      </c>
      <c r="G1273" s="382" t="s">
        <v>2355</v>
      </c>
      <c r="H1273" s="383">
        <v>-127457.21</v>
      </c>
      <c r="I1273" s="1046">
        <v>1297.6500000000001</v>
      </c>
      <c r="J1273" s="1047"/>
      <c r="K1273" s="383">
        <v>0</v>
      </c>
      <c r="L1273" s="383">
        <v>-128754.86</v>
      </c>
    </row>
    <row r="1274" spans="2:12">
      <c r="B1274" s="1050"/>
      <c r="C1274" s="1050"/>
      <c r="D1274" s="382" t="s">
        <v>2680</v>
      </c>
      <c r="E1274" s="382" t="s">
        <v>2299</v>
      </c>
      <c r="F1274" s="382" t="s">
        <v>2342</v>
      </c>
      <c r="G1274" s="382" t="s">
        <v>2343</v>
      </c>
      <c r="H1274" s="383">
        <v>-4545.7</v>
      </c>
      <c r="I1274" s="1046">
        <v>4545.7</v>
      </c>
      <c r="J1274" s="1047"/>
      <c r="K1274" s="383">
        <v>0</v>
      </c>
      <c r="L1274" s="383">
        <v>-9091.4</v>
      </c>
    </row>
    <row r="1275" spans="2:12">
      <c r="B1275" s="1050"/>
      <c r="C1275" s="1050"/>
      <c r="D1275" s="382" t="s">
        <v>2680</v>
      </c>
      <c r="E1275" s="382" t="s">
        <v>2299</v>
      </c>
      <c r="F1275" s="382" t="s">
        <v>2342</v>
      </c>
      <c r="G1275" s="382" t="s">
        <v>2344</v>
      </c>
      <c r="H1275" s="383">
        <v>-3309.09</v>
      </c>
      <c r="I1275" s="1046">
        <v>3309.09</v>
      </c>
      <c r="J1275" s="1047"/>
      <c r="K1275" s="383">
        <v>0</v>
      </c>
      <c r="L1275" s="383">
        <v>-6618.18</v>
      </c>
    </row>
    <row r="1276" spans="2:12">
      <c r="B1276" s="1050"/>
      <c r="C1276" s="1050"/>
      <c r="D1276" s="382" t="s">
        <v>2680</v>
      </c>
      <c r="E1276" s="382" t="s">
        <v>2299</v>
      </c>
      <c r="F1276" s="382" t="s">
        <v>2342</v>
      </c>
      <c r="G1276" s="382" t="s">
        <v>2345</v>
      </c>
      <c r="H1276" s="383">
        <v>-2254.5</v>
      </c>
      <c r="I1276" s="1046">
        <v>2254.5</v>
      </c>
      <c r="J1276" s="1047"/>
      <c r="K1276" s="383">
        <v>0</v>
      </c>
      <c r="L1276" s="383">
        <v>-4509</v>
      </c>
    </row>
    <row r="1277" spans="2:12">
      <c r="B1277" s="1050"/>
      <c r="C1277" s="1050"/>
      <c r="D1277" s="382" t="s">
        <v>2680</v>
      </c>
      <c r="E1277" s="382" t="s">
        <v>2299</v>
      </c>
      <c r="F1277" s="382" t="s">
        <v>2342</v>
      </c>
      <c r="G1277" s="382" t="s">
        <v>2346</v>
      </c>
      <c r="H1277" s="383">
        <v>-2432.4299999999998</v>
      </c>
      <c r="I1277" s="1046">
        <v>2432.4299999999998</v>
      </c>
      <c r="J1277" s="1047"/>
      <c r="K1277" s="383">
        <v>0</v>
      </c>
      <c r="L1277" s="383">
        <v>-4864.8599999999997</v>
      </c>
    </row>
    <row r="1278" spans="2:12">
      <c r="B1278" s="1050"/>
      <c r="C1278" s="1050"/>
      <c r="D1278" s="382" t="s">
        <v>2680</v>
      </c>
      <c r="E1278" s="382" t="s">
        <v>2299</v>
      </c>
      <c r="F1278" s="382" t="s">
        <v>2342</v>
      </c>
      <c r="G1278" s="382" t="s">
        <v>2347</v>
      </c>
      <c r="H1278" s="383">
        <v>-7255.42</v>
      </c>
      <c r="I1278" s="1046">
        <v>7255.42</v>
      </c>
      <c r="J1278" s="1047"/>
      <c r="K1278" s="383">
        <v>0</v>
      </c>
      <c r="L1278" s="383">
        <v>-14510.84</v>
      </c>
    </row>
    <row r="1279" spans="2:12">
      <c r="B1279" s="1050"/>
      <c r="C1279" s="1050"/>
      <c r="D1279" s="382" t="s">
        <v>2680</v>
      </c>
      <c r="E1279" s="382" t="s">
        <v>2299</v>
      </c>
      <c r="F1279" s="382" t="s">
        <v>2342</v>
      </c>
      <c r="G1279" s="382" t="s">
        <v>2348</v>
      </c>
      <c r="H1279" s="383">
        <v>-4756.42</v>
      </c>
      <c r="I1279" s="1046">
        <v>4756.42</v>
      </c>
      <c r="J1279" s="1047"/>
      <c r="K1279" s="383">
        <v>0</v>
      </c>
      <c r="L1279" s="383">
        <v>-9512.84</v>
      </c>
    </row>
    <row r="1280" spans="2:12">
      <c r="B1280" s="1050"/>
      <c r="C1280" s="1050"/>
      <c r="D1280" s="382" t="s">
        <v>2680</v>
      </c>
      <c r="E1280" s="382" t="s">
        <v>2299</v>
      </c>
      <c r="F1280" s="382" t="s">
        <v>2342</v>
      </c>
      <c r="G1280" s="382" t="s">
        <v>2349</v>
      </c>
      <c r="H1280" s="383">
        <v>-4759.6899999999996</v>
      </c>
      <c r="I1280" s="1046">
        <v>4759.6899999999996</v>
      </c>
      <c r="J1280" s="1047"/>
      <c r="K1280" s="383">
        <v>0</v>
      </c>
      <c r="L1280" s="383">
        <v>-9519.3799999999992</v>
      </c>
    </row>
    <row r="1281" spans="2:12">
      <c r="B1281" s="1050"/>
      <c r="C1281" s="1050"/>
      <c r="D1281" s="382" t="s">
        <v>2680</v>
      </c>
      <c r="E1281" s="382" t="s">
        <v>2299</v>
      </c>
      <c r="F1281" s="382" t="s">
        <v>2342</v>
      </c>
      <c r="G1281" s="382" t="s">
        <v>2350</v>
      </c>
      <c r="H1281" s="383">
        <v>-4378.03</v>
      </c>
      <c r="I1281" s="1046">
        <v>4378.03</v>
      </c>
      <c r="J1281" s="1047"/>
      <c r="K1281" s="383">
        <v>0</v>
      </c>
      <c r="L1281" s="383">
        <v>-8756.06</v>
      </c>
    </row>
    <row r="1282" spans="2:12">
      <c r="B1282" s="1050"/>
      <c r="C1282" s="1050"/>
      <c r="D1282" s="382" t="s">
        <v>2680</v>
      </c>
      <c r="E1282" s="382" t="s">
        <v>2299</v>
      </c>
      <c r="F1282" s="382" t="s">
        <v>2342</v>
      </c>
      <c r="G1282" s="382" t="s">
        <v>2351</v>
      </c>
      <c r="H1282" s="383">
        <v>-2002.73</v>
      </c>
      <c r="I1282" s="1046">
        <v>2002.73</v>
      </c>
      <c r="J1282" s="1047"/>
      <c r="K1282" s="383">
        <v>0</v>
      </c>
      <c r="L1282" s="383">
        <v>-4005.46</v>
      </c>
    </row>
    <row r="1283" spans="2:12">
      <c r="B1283" s="1050"/>
      <c r="C1283" s="1050"/>
      <c r="D1283" s="382" t="s">
        <v>2680</v>
      </c>
      <c r="E1283" s="382" t="s">
        <v>2299</v>
      </c>
      <c r="F1283" s="382" t="s">
        <v>2342</v>
      </c>
      <c r="G1283" s="382" t="s">
        <v>2352</v>
      </c>
      <c r="H1283" s="383">
        <v>-3251.24</v>
      </c>
      <c r="I1283" s="1046">
        <v>3251.24</v>
      </c>
      <c r="J1283" s="1047"/>
      <c r="K1283" s="383">
        <v>0</v>
      </c>
      <c r="L1283" s="383">
        <v>-6502.48</v>
      </c>
    </row>
    <row r="1284" spans="2:12">
      <c r="B1284" s="1050"/>
      <c r="C1284" s="1050"/>
      <c r="D1284" s="382" t="s">
        <v>2680</v>
      </c>
      <c r="E1284" s="382" t="s">
        <v>2299</v>
      </c>
      <c r="F1284" s="382" t="s">
        <v>2342</v>
      </c>
      <c r="G1284" s="382" t="s">
        <v>2353</v>
      </c>
      <c r="H1284" s="383">
        <v>-3857.78</v>
      </c>
      <c r="I1284" s="1046">
        <v>3857.78</v>
      </c>
      <c r="J1284" s="1047"/>
      <c r="K1284" s="383">
        <v>0</v>
      </c>
      <c r="L1284" s="383">
        <v>-7715.56</v>
      </c>
    </row>
    <row r="1285" spans="2:12">
      <c r="B1285" s="1050"/>
      <c r="C1285" s="1050"/>
      <c r="D1285" s="382" t="s">
        <v>2680</v>
      </c>
      <c r="E1285" s="382" t="s">
        <v>2299</v>
      </c>
      <c r="F1285" s="382" t="s">
        <v>2342</v>
      </c>
      <c r="G1285" s="382" t="s">
        <v>405</v>
      </c>
      <c r="H1285" s="383">
        <v>-1123.6199999999999</v>
      </c>
      <c r="I1285" s="1046">
        <v>1123.6199999999999</v>
      </c>
      <c r="J1285" s="1047"/>
      <c r="K1285" s="383">
        <v>0</v>
      </c>
      <c r="L1285" s="383">
        <v>-2247.2399999999998</v>
      </c>
    </row>
    <row r="1286" spans="2:12">
      <c r="B1286" s="1050"/>
      <c r="C1286" s="1050"/>
      <c r="D1286" s="382" t="s">
        <v>2680</v>
      </c>
      <c r="E1286" s="382" t="s">
        <v>2299</v>
      </c>
      <c r="F1286" s="382" t="s">
        <v>2342</v>
      </c>
      <c r="G1286" s="382" t="s">
        <v>2354</v>
      </c>
      <c r="H1286" s="383">
        <v>-702.45</v>
      </c>
      <c r="I1286" s="1046">
        <v>702.45</v>
      </c>
      <c r="J1286" s="1047"/>
      <c r="K1286" s="383">
        <v>0</v>
      </c>
      <c r="L1286" s="383">
        <v>-1404.9</v>
      </c>
    </row>
    <row r="1287" spans="2:12">
      <c r="B1287" s="1050"/>
      <c r="C1287" s="1050"/>
      <c r="D1287" s="382" t="s">
        <v>2680</v>
      </c>
      <c r="E1287" s="382" t="s">
        <v>2299</v>
      </c>
      <c r="F1287" s="382" t="s">
        <v>2342</v>
      </c>
      <c r="G1287" s="382" t="s">
        <v>2355</v>
      </c>
      <c r="H1287" s="383">
        <v>-369769.81</v>
      </c>
      <c r="I1287" s="1046">
        <v>4530.08</v>
      </c>
      <c r="J1287" s="1047"/>
      <c r="K1287" s="383">
        <v>0</v>
      </c>
      <c r="L1287" s="383">
        <v>-374299.89</v>
      </c>
    </row>
    <row r="1288" spans="2:12">
      <c r="B1288" s="1050"/>
      <c r="C1288" s="1051"/>
      <c r="D1288" s="359" t="s">
        <v>12</v>
      </c>
      <c r="E1288" s="359" t="s">
        <v>111</v>
      </c>
      <c r="F1288" s="359" t="s">
        <v>111</v>
      </c>
      <c r="G1288" s="359" t="s">
        <v>111</v>
      </c>
      <c r="H1288" s="384">
        <v>-2336576.7200000002</v>
      </c>
      <c r="I1288" s="1048">
        <v>264034.03000000003</v>
      </c>
      <c r="J1288" s="1047"/>
      <c r="K1288" s="384">
        <v>114405</v>
      </c>
      <c r="L1288" s="384">
        <v>-2486205.75</v>
      </c>
    </row>
    <row r="1289" spans="2:12">
      <c r="B1289" s="1050"/>
      <c r="C1289" s="1049" t="s">
        <v>2681</v>
      </c>
      <c r="D1289" s="382" t="s">
        <v>2682</v>
      </c>
      <c r="E1289" s="382" t="s">
        <v>2300</v>
      </c>
      <c r="F1289" s="382" t="s">
        <v>2342</v>
      </c>
      <c r="G1289" s="382" t="s">
        <v>2343</v>
      </c>
      <c r="H1289" s="383">
        <v>-103.5</v>
      </c>
      <c r="I1289" s="1046">
        <v>0</v>
      </c>
      <c r="J1289" s="1047"/>
      <c r="K1289" s="383">
        <v>0</v>
      </c>
      <c r="L1289" s="383">
        <v>-103.5</v>
      </c>
    </row>
    <row r="1290" spans="2:12">
      <c r="B1290" s="1050"/>
      <c r="C1290" s="1050"/>
      <c r="D1290" s="382" t="s">
        <v>2683</v>
      </c>
      <c r="E1290" s="382" t="s">
        <v>2301</v>
      </c>
      <c r="F1290" s="382" t="s">
        <v>2342</v>
      </c>
      <c r="G1290" s="382" t="s">
        <v>2344</v>
      </c>
      <c r="H1290" s="383">
        <v>0</v>
      </c>
      <c r="I1290" s="1046">
        <v>410</v>
      </c>
      <c r="J1290" s="1047"/>
      <c r="K1290" s="383">
        <v>0</v>
      </c>
      <c r="L1290" s="383">
        <v>-410</v>
      </c>
    </row>
    <row r="1291" spans="2:12">
      <c r="B1291" s="1050"/>
      <c r="C1291" s="1050"/>
      <c r="D1291" s="382" t="s">
        <v>2683</v>
      </c>
      <c r="E1291" s="382" t="s">
        <v>2301</v>
      </c>
      <c r="F1291" s="382" t="s">
        <v>2342</v>
      </c>
      <c r="G1291" s="382" t="s">
        <v>2345</v>
      </c>
      <c r="H1291" s="383">
        <v>0</v>
      </c>
      <c r="I1291" s="1046">
        <v>646.45000000000005</v>
      </c>
      <c r="J1291" s="1047"/>
      <c r="K1291" s="383">
        <v>0</v>
      </c>
      <c r="L1291" s="383">
        <v>-646.45000000000005</v>
      </c>
    </row>
    <row r="1292" spans="2:12">
      <c r="B1292" s="1050"/>
      <c r="C1292" s="1050"/>
      <c r="D1292" s="382" t="s">
        <v>2683</v>
      </c>
      <c r="E1292" s="382" t="s">
        <v>2301</v>
      </c>
      <c r="F1292" s="382" t="s">
        <v>2342</v>
      </c>
      <c r="G1292" s="382" t="s">
        <v>2347</v>
      </c>
      <c r="H1292" s="383">
        <v>0</v>
      </c>
      <c r="I1292" s="1046">
        <v>645</v>
      </c>
      <c r="J1292" s="1047"/>
      <c r="K1292" s="383">
        <v>0</v>
      </c>
      <c r="L1292" s="383">
        <v>-645</v>
      </c>
    </row>
    <row r="1293" spans="2:12">
      <c r="B1293" s="1050"/>
      <c r="C1293" s="1050"/>
      <c r="D1293" s="382" t="s">
        <v>2683</v>
      </c>
      <c r="E1293" s="382" t="s">
        <v>2301</v>
      </c>
      <c r="F1293" s="382" t="s">
        <v>2342</v>
      </c>
      <c r="G1293" s="382" t="s">
        <v>2351</v>
      </c>
      <c r="H1293" s="383">
        <v>0</v>
      </c>
      <c r="I1293" s="1046">
        <v>85</v>
      </c>
      <c r="J1293" s="1047"/>
      <c r="K1293" s="383">
        <v>0</v>
      </c>
      <c r="L1293" s="383">
        <v>-85</v>
      </c>
    </row>
    <row r="1294" spans="2:12">
      <c r="B1294" s="1050"/>
      <c r="C1294" s="1050"/>
      <c r="D1294" s="382" t="s">
        <v>2683</v>
      </c>
      <c r="E1294" s="382" t="s">
        <v>2301</v>
      </c>
      <c r="F1294" s="382" t="s">
        <v>2342</v>
      </c>
      <c r="G1294" s="382" t="s">
        <v>2353</v>
      </c>
      <c r="H1294" s="383">
        <v>-600</v>
      </c>
      <c r="I1294" s="1046">
        <v>0</v>
      </c>
      <c r="J1294" s="1047"/>
      <c r="K1294" s="383">
        <v>0</v>
      </c>
      <c r="L1294" s="383">
        <v>-600</v>
      </c>
    </row>
    <row r="1295" spans="2:12">
      <c r="B1295" s="1050"/>
      <c r="C1295" s="1050"/>
      <c r="D1295" s="382" t="s">
        <v>2683</v>
      </c>
      <c r="E1295" s="382" t="s">
        <v>2301</v>
      </c>
      <c r="F1295" s="382" t="s">
        <v>2342</v>
      </c>
      <c r="G1295" s="382" t="s">
        <v>405</v>
      </c>
      <c r="H1295" s="383">
        <v>0</v>
      </c>
      <c r="I1295" s="1046">
        <v>50</v>
      </c>
      <c r="J1295" s="1047"/>
      <c r="K1295" s="383">
        <v>0</v>
      </c>
      <c r="L1295" s="383">
        <v>-50</v>
      </c>
    </row>
    <row r="1296" spans="2:12">
      <c r="B1296" s="1050"/>
      <c r="C1296" s="1050"/>
      <c r="D1296" s="382" t="s">
        <v>2683</v>
      </c>
      <c r="E1296" s="382" t="s">
        <v>2301</v>
      </c>
      <c r="F1296" s="382" t="s">
        <v>2342</v>
      </c>
      <c r="G1296" s="382" t="s">
        <v>2355</v>
      </c>
      <c r="H1296" s="383">
        <v>-1180</v>
      </c>
      <c r="I1296" s="1046">
        <v>0</v>
      </c>
      <c r="J1296" s="1047"/>
      <c r="K1296" s="383">
        <v>0</v>
      </c>
      <c r="L1296" s="383">
        <v>-1180</v>
      </c>
    </row>
    <row r="1297" spans="2:12">
      <c r="B1297" s="1050"/>
      <c r="C1297" s="1050"/>
      <c r="D1297" s="382" t="s">
        <v>2684</v>
      </c>
      <c r="E1297" s="382" t="s">
        <v>2302</v>
      </c>
      <c r="F1297" s="382" t="s">
        <v>2342</v>
      </c>
      <c r="G1297" s="382" t="s">
        <v>2343</v>
      </c>
      <c r="H1297" s="383">
        <v>-2668</v>
      </c>
      <c r="I1297" s="1046">
        <v>0</v>
      </c>
      <c r="J1297" s="1047"/>
      <c r="K1297" s="383">
        <v>0</v>
      </c>
      <c r="L1297" s="383">
        <v>-2668</v>
      </c>
    </row>
    <row r="1298" spans="2:12">
      <c r="B1298" s="1050"/>
      <c r="C1298" s="1050"/>
      <c r="D1298" s="382" t="s">
        <v>2684</v>
      </c>
      <c r="E1298" s="382" t="s">
        <v>2302</v>
      </c>
      <c r="F1298" s="382" t="s">
        <v>2342</v>
      </c>
      <c r="G1298" s="382" t="s">
        <v>2346</v>
      </c>
      <c r="H1298" s="383">
        <v>-260</v>
      </c>
      <c r="I1298" s="1046">
        <v>0</v>
      </c>
      <c r="J1298" s="1047"/>
      <c r="K1298" s="383">
        <v>0</v>
      </c>
      <c r="L1298" s="383">
        <v>-260</v>
      </c>
    </row>
    <row r="1299" spans="2:12">
      <c r="B1299" s="1050"/>
      <c r="C1299" s="1050"/>
      <c r="D1299" s="382" t="s">
        <v>2684</v>
      </c>
      <c r="E1299" s="382" t="s">
        <v>2302</v>
      </c>
      <c r="F1299" s="382" t="s">
        <v>2342</v>
      </c>
      <c r="G1299" s="382" t="s">
        <v>2348</v>
      </c>
      <c r="H1299" s="383">
        <v>0</v>
      </c>
      <c r="I1299" s="1046">
        <v>1076</v>
      </c>
      <c r="J1299" s="1047"/>
      <c r="K1299" s="383">
        <v>0</v>
      </c>
      <c r="L1299" s="383">
        <v>-1076</v>
      </c>
    </row>
    <row r="1300" spans="2:12">
      <c r="B1300" s="1050"/>
      <c r="C1300" s="1050"/>
      <c r="D1300" s="382" t="s">
        <v>2684</v>
      </c>
      <c r="E1300" s="382" t="s">
        <v>2302</v>
      </c>
      <c r="F1300" s="382" t="s">
        <v>2342</v>
      </c>
      <c r="G1300" s="382" t="s">
        <v>2349</v>
      </c>
      <c r="H1300" s="383">
        <v>-2668</v>
      </c>
      <c r="I1300" s="1046">
        <v>195</v>
      </c>
      <c r="J1300" s="1047"/>
      <c r="K1300" s="383">
        <v>0</v>
      </c>
      <c r="L1300" s="383">
        <v>-2863</v>
      </c>
    </row>
    <row r="1301" spans="2:12">
      <c r="B1301" s="1050"/>
      <c r="C1301" s="1050"/>
      <c r="D1301" s="382" t="s">
        <v>2684</v>
      </c>
      <c r="E1301" s="382" t="s">
        <v>2302</v>
      </c>
      <c r="F1301" s="382" t="s">
        <v>2342</v>
      </c>
      <c r="G1301" s="382" t="s">
        <v>2350</v>
      </c>
      <c r="H1301" s="383">
        <v>-2668</v>
      </c>
      <c r="I1301" s="1046">
        <v>750</v>
      </c>
      <c r="J1301" s="1047"/>
      <c r="K1301" s="383">
        <v>300</v>
      </c>
      <c r="L1301" s="383">
        <v>-3118</v>
      </c>
    </row>
    <row r="1302" spans="2:12">
      <c r="B1302" s="1050"/>
      <c r="C1302" s="1050"/>
      <c r="D1302" s="382" t="s">
        <v>2684</v>
      </c>
      <c r="E1302" s="382" t="s">
        <v>2302</v>
      </c>
      <c r="F1302" s="382" t="s">
        <v>2342</v>
      </c>
      <c r="G1302" s="382" t="s">
        <v>2351</v>
      </c>
      <c r="H1302" s="383">
        <v>-2500</v>
      </c>
      <c r="I1302" s="1046">
        <v>75</v>
      </c>
      <c r="J1302" s="1047"/>
      <c r="K1302" s="383">
        <v>0</v>
      </c>
      <c r="L1302" s="383">
        <v>-2575</v>
      </c>
    </row>
    <row r="1303" spans="2:12">
      <c r="B1303" s="1050"/>
      <c r="C1303" s="1050"/>
      <c r="D1303" s="382" t="s">
        <v>2684</v>
      </c>
      <c r="E1303" s="382" t="s">
        <v>2302</v>
      </c>
      <c r="F1303" s="382" t="s">
        <v>2342</v>
      </c>
      <c r="G1303" s="382" t="s">
        <v>2353</v>
      </c>
      <c r="H1303" s="383">
        <v>-5158</v>
      </c>
      <c r="I1303" s="1046">
        <v>5556.4</v>
      </c>
      <c r="J1303" s="1047"/>
      <c r="K1303" s="383">
        <v>0</v>
      </c>
      <c r="L1303" s="383">
        <v>-10714.4</v>
      </c>
    </row>
    <row r="1304" spans="2:12">
      <c r="B1304" s="1050"/>
      <c r="C1304" s="1050"/>
      <c r="D1304" s="382" t="s">
        <v>2684</v>
      </c>
      <c r="E1304" s="382" t="s">
        <v>2302</v>
      </c>
      <c r="F1304" s="382" t="s">
        <v>2342</v>
      </c>
      <c r="G1304" s="382" t="s">
        <v>2355</v>
      </c>
      <c r="H1304" s="383">
        <v>-132226.06</v>
      </c>
      <c r="I1304" s="1046">
        <v>12063.58</v>
      </c>
      <c r="J1304" s="1047"/>
      <c r="K1304" s="383">
        <v>0</v>
      </c>
      <c r="L1304" s="383">
        <v>-144289.64000000001</v>
      </c>
    </row>
    <row r="1305" spans="2:12">
      <c r="B1305" s="1050"/>
      <c r="C1305" s="1050"/>
      <c r="D1305" s="382" t="s">
        <v>2685</v>
      </c>
      <c r="E1305" s="382" t="s">
        <v>2303</v>
      </c>
      <c r="F1305" s="382" t="s">
        <v>2342</v>
      </c>
      <c r="G1305" s="382" t="s">
        <v>2343</v>
      </c>
      <c r="H1305" s="383">
        <v>-1417</v>
      </c>
      <c r="I1305" s="1046">
        <v>0</v>
      </c>
      <c r="J1305" s="1047"/>
      <c r="K1305" s="383">
        <v>0</v>
      </c>
      <c r="L1305" s="383">
        <v>-1417</v>
      </c>
    </row>
    <row r="1306" spans="2:12">
      <c r="B1306" s="1050"/>
      <c r="C1306" s="1050"/>
      <c r="D1306" s="382" t="s">
        <v>2685</v>
      </c>
      <c r="E1306" s="382" t="s">
        <v>2303</v>
      </c>
      <c r="F1306" s="382" t="s">
        <v>2342</v>
      </c>
      <c r="G1306" s="382" t="s">
        <v>2345</v>
      </c>
      <c r="H1306" s="383">
        <v>-200</v>
      </c>
      <c r="I1306" s="1046">
        <v>0</v>
      </c>
      <c r="J1306" s="1047"/>
      <c r="K1306" s="383">
        <v>0</v>
      </c>
      <c r="L1306" s="383">
        <v>-200</v>
      </c>
    </row>
    <row r="1307" spans="2:12">
      <c r="B1307" s="1050"/>
      <c r="C1307" s="1050"/>
      <c r="D1307" s="382" t="s">
        <v>2685</v>
      </c>
      <c r="E1307" s="382" t="s">
        <v>2303</v>
      </c>
      <c r="F1307" s="382" t="s">
        <v>2342</v>
      </c>
      <c r="G1307" s="382" t="s">
        <v>2349</v>
      </c>
      <c r="H1307" s="383">
        <v>-150</v>
      </c>
      <c r="I1307" s="1046">
        <v>0</v>
      </c>
      <c r="J1307" s="1047"/>
      <c r="K1307" s="383">
        <v>0</v>
      </c>
      <c r="L1307" s="383">
        <v>-150</v>
      </c>
    </row>
    <row r="1308" spans="2:12">
      <c r="B1308" s="1050"/>
      <c r="C1308" s="1050"/>
      <c r="D1308" s="382" t="s">
        <v>2685</v>
      </c>
      <c r="E1308" s="382" t="s">
        <v>2303</v>
      </c>
      <c r="F1308" s="382" t="s">
        <v>2342</v>
      </c>
      <c r="G1308" s="382" t="s">
        <v>2352</v>
      </c>
      <c r="H1308" s="383">
        <v>-950</v>
      </c>
      <c r="I1308" s="1046">
        <v>550</v>
      </c>
      <c r="J1308" s="1047"/>
      <c r="K1308" s="383">
        <v>0</v>
      </c>
      <c r="L1308" s="383">
        <v>-1500</v>
      </c>
    </row>
    <row r="1309" spans="2:12">
      <c r="B1309" s="1050"/>
      <c r="C1309" s="1050"/>
      <c r="D1309" s="382" t="s">
        <v>2685</v>
      </c>
      <c r="E1309" s="382" t="s">
        <v>2303</v>
      </c>
      <c r="F1309" s="382" t="s">
        <v>2342</v>
      </c>
      <c r="G1309" s="382" t="s">
        <v>2354</v>
      </c>
      <c r="H1309" s="383">
        <v>0</v>
      </c>
      <c r="I1309" s="1046">
        <v>22.5</v>
      </c>
      <c r="J1309" s="1047"/>
      <c r="K1309" s="383">
        <v>0</v>
      </c>
      <c r="L1309" s="383">
        <v>-22.5</v>
      </c>
    </row>
    <row r="1310" spans="2:12">
      <c r="B1310" s="1050"/>
      <c r="C1310" s="1050"/>
      <c r="D1310" s="382" t="s">
        <v>2685</v>
      </c>
      <c r="E1310" s="382" t="s">
        <v>2303</v>
      </c>
      <c r="F1310" s="382" t="s">
        <v>2342</v>
      </c>
      <c r="G1310" s="382" t="s">
        <v>2355</v>
      </c>
      <c r="H1310" s="383">
        <v>-39634.26</v>
      </c>
      <c r="I1310" s="1046">
        <v>0</v>
      </c>
      <c r="J1310" s="1047"/>
      <c r="K1310" s="383">
        <v>0</v>
      </c>
      <c r="L1310" s="383">
        <v>-39634.26</v>
      </c>
    </row>
    <row r="1311" spans="2:12">
      <c r="B1311" s="1050"/>
      <c r="C1311" s="1051"/>
      <c r="D1311" s="359" t="s">
        <v>12</v>
      </c>
      <c r="E1311" s="359" t="s">
        <v>111</v>
      </c>
      <c r="F1311" s="359" t="s">
        <v>111</v>
      </c>
      <c r="G1311" s="359" t="s">
        <v>111</v>
      </c>
      <c r="H1311" s="384">
        <v>-192382.82</v>
      </c>
      <c r="I1311" s="1048">
        <v>22124.93</v>
      </c>
      <c r="J1311" s="1047"/>
      <c r="K1311" s="384">
        <v>300</v>
      </c>
      <c r="L1311" s="384">
        <v>-214207.75</v>
      </c>
    </row>
    <row r="1312" spans="2:12">
      <c r="B1312" s="1050"/>
      <c r="C1312" s="1049" t="s">
        <v>2686</v>
      </c>
      <c r="D1312" s="382" t="s">
        <v>2687</v>
      </c>
      <c r="E1312" s="382" t="s">
        <v>2304</v>
      </c>
      <c r="F1312" s="382" t="s">
        <v>2342</v>
      </c>
      <c r="G1312" s="382" t="s">
        <v>2343</v>
      </c>
      <c r="H1312" s="383">
        <v>-2000</v>
      </c>
      <c r="I1312" s="1046">
        <v>0</v>
      </c>
      <c r="J1312" s="1047"/>
      <c r="K1312" s="383">
        <v>0</v>
      </c>
      <c r="L1312" s="383">
        <v>-2000</v>
      </c>
    </row>
    <row r="1313" spans="2:12">
      <c r="B1313" s="1050"/>
      <c r="C1313" s="1050"/>
      <c r="D1313" s="382" t="s">
        <v>2687</v>
      </c>
      <c r="E1313" s="382" t="s">
        <v>2304</v>
      </c>
      <c r="F1313" s="382" t="s">
        <v>2342</v>
      </c>
      <c r="G1313" s="382" t="s">
        <v>2344</v>
      </c>
      <c r="H1313" s="383">
        <v>-3500</v>
      </c>
      <c r="I1313" s="1046">
        <v>0</v>
      </c>
      <c r="J1313" s="1047"/>
      <c r="K1313" s="383">
        <v>0</v>
      </c>
      <c r="L1313" s="383">
        <v>-3500</v>
      </c>
    </row>
    <row r="1314" spans="2:12">
      <c r="B1314" s="1050"/>
      <c r="C1314" s="1050"/>
      <c r="D1314" s="382" t="s">
        <v>2687</v>
      </c>
      <c r="E1314" s="382" t="s">
        <v>2304</v>
      </c>
      <c r="F1314" s="382" t="s">
        <v>2342</v>
      </c>
      <c r="G1314" s="382" t="s">
        <v>2345</v>
      </c>
      <c r="H1314" s="383">
        <v>-1500</v>
      </c>
      <c r="I1314" s="1046">
        <v>2000</v>
      </c>
      <c r="J1314" s="1047"/>
      <c r="K1314" s="383">
        <v>0</v>
      </c>
      <c r="L1314" s="383">
        <v>-3500</v>
      </c>
    </row>
    <row r="1315" spans="2:12">
      <c r="B1315" s="1050"/>
      <c r="C1315" s="1050"/>
      <c r="D1315" s="382" t="s">
        <v>2687</v>
      </c>
      <c r="E1315" s="382" t="s">
        <v>2304</v>
      </c>
      <c r="F1315" s="382" t="s">
        <v>2342</v>
      </c>
      <c r="G1315" s="382" t="s">
        <v>2346</v>
      </c>
      <c r="H1315" s="383">
        <v>0</v>
      </c>
      <c r="I1315" s="1046">
        <v>1000</v>
      </c>
      <c r="J1315" s="1047"/>
      <c r="K1315" s="383">
        <v>0</v>
      </c>
      <c r="L1315" s="383">
        <v>-1000</v>
      </c>
    </row>
    <row r="1316" spans="2:12">
      <c r="B1316" s="1050"/>
      <c r="C1316" s="1050"/>
      <c r="D1316" s="382" t="s">
        <v>2687</v>
      </c>
      <c r="E1316" s="382" t="s">
        <v>2304</v>
      </c>
      <c r="F1316" s="382" t="s">
        <v>2342</v>
      </c>
      <c r="G1316" s="382" t="s">
        <v>2347</v>
      </c>
      <c r="H1316" s="383">
        <v>-1000</v>
      </c>
      <c r="I1316" s="1046">
        <v>4000</v>
      </c>
      <c r="J1316" s="1047"/>
      <c r="K1316" s="383">
        <v>0</v>
      </c>
      <c r="L1316" s="383">
        <v>-5000</v>
      </c>
    </row>
    <row r="1317" spans="2:12">
      <c r="B1317" s="1050"/>
      <c r="C1317" s="1050"/>
      <c r="D1317" s="382" t="s">
        <v>2687</v>
      </c>
      <c r="E1317" s="382" t="s">
        <v>2304</v>
      </c>
      <c r="F1317" s="382" t="s">
        <v>2342</v>
      </c>
      <c r="G1317" s="382" t="s">
        <v>2348</v>
      </c>
      <c r="H1317" s="383">
        <v>-3000</v>
      </c>
      <c r="I1317" s="1046">
        <v>0</v>
      </c>
      <c r="J1317" s="1047"/>
      <c r="K1317" s="383">
        <v>0</v>
      </c>
      <c r="L1317" s="383">
        <v>-3000</v>
      </c>
    </row>
    <row r="1318" spans="2:12">
      <c r="B1318" s="1050"/>
      <c r="C1318" s="1050"/>
      <c r="D1318" s="382" t="s">
        <v>2687</v>
      </c>
      <c r="E1318" s="382" t="s">
        <v>2304</v>
      </c>
      <c r="F1318" s="382" t="s">
        <v>2342</v>
      </c>
      <c r="G1318" s="382" t="s">
        <v>2352</v>
      </c>
      <c r="H1318" s="383">
        <v>-2000</v>
      </c>
      <c r="I1318" s="1046">
        <v>0</v>
      </c>
      <c r="J1318" s="1047"/>
      <c r="K1318" s="383">
        <v>0</v>
      </c>
      <c r="L1318" s="383">
        <v>-2000</v>
      </c>
    </row>
    <row r="1319" spans="2:12">
      <c r="B1319" s="1050"/>
      <c r="C1319" s="1050"/>
      <c r="D1319" s="382" t="s">
        <v>2687</v>
      </c>
      <c r="E1319" s="382" t="s">
        <v>2304</v>
      </c>
      <c r="F1319" s="382" t="s">
        <v>2342</v>
      </c>
      <c r="G1319" s="382" t="s">
        <v>405</v>
      </c>
      <c r="H1319" s="383">
        <v>-1000</v>
      </c>
      <c r="I1319" s="1046">
        <v>0</v>
      </c>
      <c r="J1319" s="1047"/>
      <c r="K1319" s="383">
        <v>0</v>
      </c>
      <c r="L1319" s="383">
        <v>-1000</v>
      </c>
    </row>
    <row r="1320" spans="2:12">
      <c r="B1320" s="1050"/>
      <c r="C1320" s="1050"/>
      <c r="D1320" s="382" t="s">
        <v>2687</v>
      </c>
      <c r="E1320" s="382" t="s">
        <v>2304</v>
      </c>
      <c r="F1320" s="382" t="s">
        <v>2342</v>
      </c>
      <c r="G1320" s="382" t="s">
        <v>2354</v>
      </c>
      <c r="H1320" s="383">
        <v>-1000</v>
      </c>
      <c r="I1320" s="1046">
        <v>0</v>
      </c>
      <c r="J1320" s="1047"/>
      <c r="K1320" s="383">
        <v>0</v>
      </c>
      <c r="L1320" s="383">
        <v>-1000</v>
      </c>
    </row>
    <row r="1321" spans="2:12">
      <c r="B1321" s="1050"/>
      <c r="C1321" s="1050"/>
      <c r="D1321" s="382" t="s">
        <v>2687</v>
      </c>
      <c r="E1321" s="382" t="s">
        <v>2304</v>
      </c>
      <c r="F1321" s="382" t="s">
        <v>2342</v>
      </c>
      <c r="G1321" s="382" t="s">
        <v>2355</v>
      </c>
      <c r="H1321" s="383">
        <v>-172039</v>
      </c>
      <c r="I1321" s="1046">
        <v>6000</v>
      </c>
      <c r="J1321" s="1047"/>
      <c r="K1321" s="383">
        <v>0</v>
      </c>
      <c r="L1321" s="383">
        <v>-178039</v>
      </c>
    </row>
    <row r="1322" spans="2:12">
      <c r="B1322" s="1050"/>
      <c r="C1322" s="1050"/>
      <c r="D1322" s="382" t="s">
        <v>2688</v>
      </c>
      <c r="E1322" s="382" t="s">
        <v>2305</v>
      </c>
      <c r="F1322" s="382" t="s">
        <v>2342</v>
      </c>
      <c r="G1322" s="382" t="s">
        <v>2355</v>
      </c>
      <c r="H1322" s="383">
        <v>-145591.76999999999</v>
      </c>
      <c r="I1322" s="1046">
        <v>2900</v>
      </c>
      <c r="J1322" s="1047"/>
      <c r="K1322" s="383">
        <v>0</v>
      </c>
      <c r="L1322" s="383">
        <v>-148491.76999999999</v>
      </c>
    </row>
    <row r="1323" spans="2:12">
      <c r="B1323" s="1050"/>
      <c r="C1323" s="1051"/>
      <c r="D1323" s="359" t="s">
        <v>12</v>
      </c>
      <c r="E1323" s="359" t="s">
        <v>111</v>
      </c>
      <c r="F1323" s="359" t="s">
        <v>111</v>
      </c>
      <c r="G1323" s="359" t="s">
        <v>111</v>
      </c>
      <c r="H1323" s="384">
        <v>-332630.77</v>
      </c>
      <c r="I1323" s="1048">
        <v>15900</v>
      </c>
      <c r="J1323" s="1047"/>
      <c r="K1323" s="384">
        <v>0</v>
      </c>
      <c r="L1323" s="384">
        <v>-348530.77</v>
      </c>
    </row>
    <row r="1324" spans="2:12">
      <c r="B1324" s="1050"/>
      <c r="C1324" s="1049" t="s">
        <v>2689</v>
      </c>
      <c r="D1324" s="382" t="s">
        <v>2690</v>
      </c>
      <c r="E1324" s="382" t="s">
        <v>2306</v>
      </c>
      <c r="F1324" s="382" t="s">
        <v>2342</v>
      </c>
      <c r="G1324" s="382" t="s">
        <v>2343</v>
      </c>
      <c r="H1324" s="383">
        <v>-435.88</v>
      </c>
      <c r="I1324" s="1046">
        <v>217.94</v>
      </c>
      <c r="J1324" s="1047"/>
      <c r="K1324" s="383">
        <v>0</v>
      </c>
      <c r="L1324" s="383">
        <v>-653.82000000000005</v>
      </c>
    </row>
    <row r="1325" spans="2:12">
      <c r="B1325" s="1050"/>
      <c r="C1325" s="1050"/>
      <c r="D1325" s="382" t="s">
        <v>2690</v>
      </c>
      <c r="E1325" s="382" t="s">
        <v>2306</v>
      </c>
      <c r="F1325" s="382" t="s">
        <v>2342</v>
      </c>
      <c r="G1325" s="382" t="s">
        <v>2344</v>
      </c>
      <c r="H1325" s="383">
        <v>-435.88</v>
      </c>
      <c r="I1325" s="1046">
        <v>217.94</v>
      </c>
      <c r="J1325" s="1047"/>
      <c r="K1325" s="383">
        <v>0</v>
      </c>
      <c r="L1325" s="383">
        <v>-653.82000000000005</v>
      </c>
    </row>
    <row r="1326" spans="2:12">
      <c r="B1326" s="1050"/>
      <c r="C1326" s="1050"/>
      <c r="D1326" s="382" t="s">
        <v>2690</v>
      </c>
      <c r="E1326" s="382" t="s">
        <v>2306</v>
      </c>
      <c r="F1326" s="382" t="s">
        <v>2342</v>
      </c>
      <c r="G1326" s="382" t="s">
        <v>2345</v>
      </c>
      <c r="H1326" s="383">
        <v>-435.88</v>
      </c>
      <c r="I1326" s="1046">
        <v>217.94</v>
      </c>
      <c r="J1326" s="1047"/>
      <c r="K1326" s="383">
        <v>0</v>
      </c>
      <c r="L1326" s="383">
        <v>-653.82000000000005</v>
      </c>
    </row>
    <row r="1327" spans="2:12">
      <c r="B1327" s="1050"/>
      <c r="C1327" s="1050"/>
      <c r="D1327" s="382" t="s">
        <v>2690</v>
      </c>
      <c r="E1327" s="382" t="s">
        <v>2306</v>
      </c>
      <c r="F1327" s="382" t="s">
        <v>2342</v>
      </c>
      <c r="G1327" s="382" t="s">
        <v>2346</v>
      </c>
      <c r="H1327" s="383">
        <v>-435.88</v>
      </c>
      <c r="I1327" s="1046">
        <v>217.94</v>
      </c>
      <c r="J1327" s="1047"/>
      <c r="K1327" s="383">
        <v>0</v>
      </c>
      <c r="L1327" s="383">
        <v>-653.82000000000005</v>
      </c>
    </row>
    <row r="1328" spans="2:12">
      <c r="B1328" s="1050"/>
      <c r="C1328" s="1050"/>
      <c r="D1328" s="382" t="s">
        <v>2690</v>
      </c>
      <c r="E1328" s="382" t="s">
        <v>2306</v>
      </c>
      <c r="F1328" s="382" t="s">
        <v>2342</v>
      </c>
      <c r="G1328" s="382" t="s">
        <v>2347</v>
      </c>
      <c r="H1328" s="383">
        <v>-435.88</v>
      </c>
      <c r="I1328" s="1046">
        <v>217.94</v>
      </c>
      <c r="J1328" s="1047"/>
      <c r="K1328" s="383">
        <v>0</v>
      </c>
      <c r="L1328" s="383">
        <v>-653.82000000000005</v>
      </c>
    </row>
    <row r="1329" spans="2:12">
      <c r="B1329" s="1050"/>
      <c r="C1329" s="1050"/>
      <c r="D1329" s="382" t="s">
        <v>2690</v>
      </c>
      <c r="E1329" s="382" t="s">
        <v>2306</v>
      </c>
      <c r="F1329" s="382" t="s">
        <v>2342</v>
      </c>
      <c r="G1329" s="382" t="s">
        <v>2348</v>
      </c>
      <c r="H1329" s="383">
        <v>-435.88</v>
      </c>
      <c r="I1329" s="1046">
        <v>0</v>
      </c>
      <c r="J1329" s="1047"/>
      <c r="K1329" s="383">
        <v>0</v>
      </c>
      <c r="L1329" s="383">
        <v>-435.88</v>
      </c>
    </row>
    <row r="1330" spans="2:12">
      <c r="B1330" s="1050"/>
      <c r="C1330" s="1050"/>
      <c r="D1330" s="382" t="s">
        <v>2690</v>
      </c>
      <c r="E1330" s="382" t="s">
        <v>2306</v>
      </c>
      <c r="F1330" s="382" t="s">
        <v>2342</v>
      </c>
      <c r="G1330" s="382" t="s">
        <v>2349</v>
      </c>
      <c r="H1330" s="383">
        <v>-435.88</v>
      </c>
      <c r="I1330" s="1046">
        <v>217.94</v>
      </c>
      <c r="J1330" s="1047"/>
      <c r="K1330" s="383">
        <v>0</v>
      </c>
      <c r="L1330" s="383">
        <v>-653.82000000000005</v>
      </c>
    </row>
    <row r="1331" spans="2:12">
      <c r="B1331" s="1050"/>
      <c r="C1331" s="1050"/>
      <c r="D1331" s="382" t="s">
        <v>2690</v>
      </c>
      <c r="E1331" s="382" t="s">
        <v>2306</v>
      </c>
      <c r="F1331" s="382" t="s">
        <v>2342</v>
      </c>
      <c r="G1331" s="382" t="s">
        <v>2350</v>
      </c>
      <c r="H1331" s="383">
        <v>-311.33999999999997</v>
      </c>
      <c r="I1331" s="1046">
        <v>217.94</v>
      </c>
      <c r="J1331" s="1047"/>
      <c r="K1331" s="383">
        <v>0</v>
      </c>
      <c r="L1331" s="383">
        <v>-529.28</v>
      </c>
    </row>
    <row r="1332" spans="2:12">
      <c r="B1332" s="1050"/>
      <c r="C1332" s="1050"/>
      <c r="D1332" s="382" t="s">
        <v>2690</v>
      </c>
      <c r="E1332" s="382" t="s">
        <v>2306</v>
      </c>
      <c r="F1332" s="382" t="s">
        <v>2342</v>
      </c>
      <c r="G1332" s="382" t="s">
        <v>2351</v>
      </c>
      <c r="H1332" s="383">
        <v>-529.28</v>
      </c>
      <c r="I1332" s="1046">
        <v>311.33999999999997</v>
      </c>
      <c r="J1332" s="1047"/>
      <c r="K1332" s="383">
        <v>0</v>
      </c>
      <c r="L1332" s="383">
        <v>-840.62</v>
      </c>
    </row>
    <row r="1333" spans="2:12">
      <c r="B1333" s="1050"/>
      <c r="C1333" s="1050"/>
      <c r="D1333" s="382" t="s">
        <v>2690</v>
      </c>
      <c r="E1333" s="382" t="s">
        <v>2306</v>
      </c>
      <c r="F1333" s="382" t="s">
        <v>2342</v>
      </c>
      <c r="G1333" s="382" t="s">
        <v>2352</v>
      </c>
      <c r="H1333" s="383">
        <v>-435.88</v>
      </c>
      <c r="I1333" s="1046">
        <v>217.94</v>
      </c>
      <c r="J1333" s="1047"/>
      <c r="K1333" s="383">
        <v>0</v>
      </c>
      <c r="L1333" s="383">
        <v>-653.82000000000005</v>
      </c>
    </row>
    <row r="1334" spans="2:12">
      <c r="B1334" s="1050"/>
      <c r="C1334" s="1050"/>
      <c r="D1334" s="382" t="s">
        <v>2690</v>
      </c>
      <c r="E1334" s="382" t="s">
        <v>2306</v>
      </c>
      <c r="F1334" s="382" t="s">
        <v>2342</v>
      </c>
      <c r="G1334" s="382" t="s">
        <v>2353</v>
      </c>
      <c r="H1334" s="383">
        <v>-435.88</v>
      </c>
      <c r="I1334" s="1046">
        <v>217.94</v>
      </c>
      <c r="J1334" s="1047"/>
      <c r="K1334" s="383">
        <v>0</v>
      </c>
      <c r="L1334" s="383">
        <v>-653.82000000000005</v>
      </c>
    </row>
    <row r="1335" spans="2:12">
      <c r="B1335" s="1050"/>
      <c r="C1335" s="1050"/>
      <c r="D1335" s="382" t="s">
        <v>2690</v>
      </c>
      <c r="E1335" s="382" t="s">
        <v>2306</v>
      </c>
      <c r="F1335" s="382" t="s">
        <v>2342</v>
      </c>
      <c r="G1335" s="382" t="s">
        <v>405</v>
      </c>
      <c r="H1335" s="383">
        <v>-342.48</v>
      </c>
      <c r="I1335" s="1046">
        <v>217.94</v>
      </c>
      <c r="J1335" s="1047"/>
      <c r="K1335" s="383">
        <v>0</v>
      </c>
      <c r="L1335" s="383">
        <v>-560.41999999999996</v>
      </c>
    </row>
    <row r="1336" spans="2:12">
      <c r="B1336" s="1050"/>
      <c r="C1336" s="1050"/>
      <c r="D1336" s="382" t="s">
        <v>2690</v>
      </c>
      <c r="E1336" s="382" t="s">
        <v>2306</v>
      </c>
      <c r="F1336" s="382" t="s">
        <v>2342</v>
      </c>
      <c r="G1336" s="382" t="s">
        <v>2354</v>
      </c>
      <c r="H1336" s="383">
        <v>-124.54</v>
      </c>
      <c r="I1336" s="1046">
        <v>124.54</v>
      </c>
      <c r="J1336" s="1047"/>
      <c r="K1336" s="383">
        <v>0</v>
      </c>
      <c r="L1336" s="383">
        <v>-249.08</v>
      </c>
    </row>
    <row r="1337" spans="2:12">
      <c r="B1337" s="1050"/>
      <c r="C1337" s="1050"/>
      <c r="D1337" s="382" t="s">
        <v>2690</v>
      </c>
      <c r="E1337" s="382" t="s">
        <v>2306</v>
      </c>
      <c r="F1337" s="382" t="s">
        <v>2342</v>
      </c>
      <c r="G1337" s="382" t="s">
        <v>2355</v>
      </c>
      <c r="H1337" s="383">
        <v>-16894.53</v>
      </c>
      <c r="I1337" s="1046">
        <v>77.849999999999994</v>
      </c>
      <c r="J1337" s="1047"/>
      <c r="K1337" s="383">
        <v>0</v>
      </c>
      <c r="L1337" s="383">
        <v>-16972.38</v>
      </c>
    </row>
    <row r="1338" spans="2:12">
      <c r="B1338" s="1050"/>
      <c r="C1338" s="1050"/>
      <c r="D1338" s="382" t="s">
        <v>2691</v>
      </c>
      <c r="E1338" s="382" t="s">
        <v>2307</v>
      </c>
      <c r="F1338" s="382" t="s">
        <v>2342</v>
      </c>
      <c r="G1338" s="382" t="s">
        <v>2355</v>
      </c>
      <c r="H1338" s="383">
        <v>-5944.95</v>
      </c>
      <c r="I1338" s="1046">
        <v>870</v>
      </c>
      <c r="J1338" s="1047"/>
      <c r="K1338" s="383">
        <v>0</v>
      </c>
      <c r="L1338" s="383">
        <v>-6814.95</v>
      </c>
    </row>
    <row r="1339" spans="2:12">
      <c r="B1339" s="1050"/>
      <c r="C1339" s="1050"/>
      <c r="D1339" s="382" t="s">
        <v>2692</v>
      </c>
      <c r="E1339" s="382" t="s">
        <v>2308</v>
      </c>
      <c r="F1339" s="382" t="s">
        <v>2342</v>
      </c>
      <c r="G1339" s="382" t="s">
        <v>2355</v>
      </c>
      <c r="H1339" s="383">
        <v>-17094.95</v>
      </c>
      <c r="I1339" s="1046">
        <v>1687.92</v>
      </c>
      <c r="J1339" s="1047"/>
      <c r="K1339" s="383">
        <v>0</v>
      </c>
      <c r="L1339" s="383">
        <v>-18782.87</v>
      </c>
    </row>
    <row r="1340" spans="2:12">
      <c r="B1340" s="1050"/>
      <c r="C1340" s="1051"/>
      <c r="D1340" s="359" t="s">
        <v>12</v>
      </c>
      <c r="E1340" s="359" t="s">
        <v>111</v>
      </c>
      <c r="F1340" s="359" t="s">
        <v>111</v>
      </c>
      <c r="G1340" s="359" t="s">
        <v>111</v>
      </c>
      <c r="H1340" s="384">
        <v>-45164.99</v>
      </c>
      <c r="I1340" s="1048">
        <v>5251.05</v>
      </c>
      <c r="J1340" s="1047"/>
      <c r="K1340" s="384">
        <v>0</v>
      </c>
      <c r="L1340" s="384">
        <v>-50416.04</v>
      </c>
    </row>
    <row r="1341" spans="2:12">
      <c r="B1341" s="1050"/>
      <c r="C1341" s="1049" t="s">
        <v>2693</v>
      </c>
      <c r="D1341" s="382" t="s">
        <v>2694</v>
      </c>
      <c r="E1341" s="382" t="s">
        <v>2309</v>
      </c>
      <c r="F1341" s="382" t="s">
        <v>2342</v>
      </c>
      <c r="G1341" s="382" t="s">
        <v>2343</v>
      </c>
      <c r="H1341" s="383">
        <v>-2887.63</v>
      </c>
      <c r="I1341" s="1046">
        <v>2608.46</v>
      </c>
      <c r="J1341" s="1047"/>
      <c r="K1341" s="383">
        <v>0</v>
      </c>
      <c r="L1341" s="383">
        <v>-5496.09</v>
      </c>
    </row>
    <row r="1342" spans="2:12">
      <c r="B1342" s="1050"/>
      <c r="C1342" s="1050"/>
      <c r="D1342" s="382" t="s">
        <v>2694</v>
      </c>
      <c r="E1342" s="382" t="s">
        <v>2309</v>
      </c>
      <c r="F1342" s="382" t="s">
        <v>2342</v>
      </c>
      <c r="G1342" s="382" t="s">
        <v>2344</v>
      </c>
      <c r="H1342" s="383">
        <v>-4178.5</v>
      </c>
      <c r="I1342" s="1046">
        <v>3698.74</v>
      </c>
      <c r="J1342" s="1047"/>
      <c r="K1342" s="383">
        <v>0</v>
      </c>
      <c r="L1342" s="383">
        <v>-7877.24</v>
      </c>
    </row>
    <row r="1343" spans="2:12">
      <c r="B1343" s="1050"/>
      <c r="C1343" s="1050"/>
      <c r="D1343" s="382" t="s">
        <v>2694</v>
      </c>
      <c r="E1343" s="382" t="s">
        <v>2309</v>
      </c>
      <c r="F1343" s="382" t="s">
        <v>2342</v>
      </c>
      <c r="G1343" s="382" t="s">
        <v>2345</v>
      </c>
      <c r="H1343" s="383">
        <v>-4612.5</v>
      </c>
      <c r="I1343" s="1046">
        <v>2898.55</v>
      </c>
      <c r="J1343" s="1047"/>
      <c r="K1343" s="383">
        <v>0</v>
      </c>
      <c r="L1343" s="383">
        <v>-7511.05</v>
      </c>
    </row>
    <row r="1344" spans="2:12">
      <c r="B1344" s="1050"/>
      <c r="C1344" s="1050"/>
      <c r="D1344" s="382" t="s">
        <v>2694</v>
      </c>
      <c r="E1344" s="382" t="s">
        <v>2309</v>
      </c>
      <c r="F1344" s="382" t="s">
        <v>2342</v>
      </c>
      <c r="G1344" s="382" t="s">
        <v>2346</v>
      </c>
      <c r="H1344" s="383">
        <v>-1743</v>
      </c>
      <c r="I1344" s="1046">
        <v>1382.6</v>
      </c>
      <c r="J1344" s="1047"/>
      <c r="K1344" s="383">
        <v>584.79999999999995</v>
      </c>
      <c r="L1344" s="383">
        <v>-2540.8000000000002</v>
      </c>
    </row>
    <row r="1345" spans="2:12">
      <c r="B1345" s="1050"/>
      <c r="C1345" s="1050"/>
      <c r="D1345" s="382" t="s">
        <v>2694</v>
      </c>
      <c r="E1345" s="382" t="s">
        <v>2309</v>
      </c>
      <c r="F1345" s="382" t="s">
        <v>2342</v>
      </c>
      <c r="G1345" s="382" t="s">
        <v>2347</v>
      </c>
      <c r="H1345" s="383">
        <v>-4883</v>
      </c>
      <c r="I1345" s="1046">
        <v>1440.39</v>
      </c>
      <c r="J1345" s="1047"/>
      <c r="K1345" s="383">
        <v>0</v>
      </c>
      <c r="L1345" s="383">
        <v>-6323.39</v>
      </c>
    </row>
    <row r="1346" spans="2:12">
      <c r="B1346" s="1050"/>
      <c r="C1346" s="1050"/>
      <c r="D1346" s="382" t="s">
        <v>2694</v>
      </c>
      <c r="E1346" s="382" t="s">
        <v>2309</v>
      </c>
      <c r="F1346" s="382" t="s">
        <v>2342</v>
      </c>
      <c r="G1346" s="382" t="s">
        <v>2348</v>
      </c>
      <c r="H1346" s="383">
        <v>-2778.5</v>
      </c>
      <c r="I1346" s="1046">
        <v>3453.71</v>
      </c>
      <c r="J1346" s="1047"/>
      <c r="K1346" s="383">
        <v>0</v>
      </c>
      <c r="L1346" s="383">
        <v>-6232.21</v>
      </c>
    </row>
    <row r="1347" spans="2:12">
      <c r="B1347" s="1050"/>
      <c r="C1347" s="1050"/>
      <c r="D1347" s="382" t="s">
        <v>2694</v>
      </c>
      <c r="E1347" s="382" t="s">
        <v>2309</v>
      </c>
      <c r="F1347" s="382" t="s">
        <v>2342</v>
      </c>
      <c r="G1347" s="382" t="s">
        <v>2349</v>
      </c>
      <c r="H1347" s="383">
        <v>-3809.42</v>
      </c>
      <c r="I1347" s="1046">
        <v>4389.67</v>
      </c>
      <c r="J1347" s="1047"/>
      <c r="K1347" s="383">
        <v>0</v>
      </c>
      <c r="L1347" s="383">
        <v>-8199.09</v>
      </c>
    </row>
    <row r="1348" spans="2:12">
      <c r="B1348" s="1050"/>
      <c r="C1348" s="1050"/>
      <c r="D1348" s="382" t="s">
        <v>2694</v>
      </c>
      <c r="E1348" s="382" t="s">
        <v>2309</v>
      </c>
      <c r="F1348" s="382" t="s">
        <v>2342</v>
      </c>
      <c r="G1348" s="382" t="s">
        <v>2350</v>
      </c>
      <c r="H1348" s="383">
        <v>-14297.96</v>
      </c>
      <c r="I1348" s="1046">
        <v>1460.5</v>
      </c>
      <c r="J1348" s="1047"/>
      <c r="K1348" s="383">
        <v>0</v>
      </c>
      <c r="L1348" s="383">
        <v>-15758.46</v>
      </c>
    </row>
    <row r="1349" spans="2:12">
      <c r="B1349" s="1050"/>
      <c r="C1349" s="1050"/>
      <c r="D1349" s="382" t="s">
        <v>2694</v>
      </c>
      <c r="E1349" s="382" t="s">
        <v>2309</v>
      </c>
      <c r="F1349" s="382" t="s">
        <v>2342</v>
      </c>
      <c r="G1349" s="382" t="s">
        <v>2351</v>
      </c>
      <c r="H1349" s="383">
        <v>-1162.49</v>
      </c>
      <c r="I1349" s="1046">
        <v>2011.55</v>
      </c>
      <c r="J1349" s="1047"/>
      <c r="K1349" s="383">
        <v>0</v>
      </c>
      <c r="L1349" s="383">
        <v>-3174.04</v>
      </c>
    </row>
    <row r="1350" spans="2:12">
      <c r="B1350" s="1050"/>
      <c r="C1350" s="1050"/>
      <c r="D1350" s="382" t="s">
        <v>2694</v>
      </c>
      <c r="E1350" s="382" t="s">
        <v>2309</v>
      </c>
      <c r="F1350" s="382" t="s">
        <v>2342</v>
      </c>
      <c r="G1350" s="382" t="s">
        <v>2352</v>
      </c>
      <c r="H1350" s="383">
        <v>-2496.96</v>
      </c>
      <c r="I1350" s="1046">
        <v>3877.47</v>
      </c>
      <c r="J1350" s="1047"/>
      <c r="K1350" s="383">
        <v>0</v>
      </c>
      <c r="L1350" s="383">
        <v>-6374.43</v>
      </c>
    </row>
    <row r="1351" spans="2:12">
      <c r="B1351" s="1050"/>
      <c r="C1351" s="1050"/>
      <c r="D1351" s="382" t="s">
        <v>2694</v>
      </c>
      <c r="E1351" s="382" t="s">
        <v>2309</v>
      </c>
      <c r="F1351" s="382" t="s">
        <v>2342</v>
      </c>
      <c r="G1351" s="382" t="s">
        <v>2353</v>
      </c>
      <c r="H1351" s="383">
        <v>-3353.7</v>
      </c>
      <c r="I1351" s="1046">
        <v>4754.5</v>
      </c>
      <c r="J1351" s="1047"/>
      <c r="K1351" s="383">
        <v>0</v>
      </c>
      <c r="L1351" s="383">
        <v>-8108.2</v>
      </c>
    </row>
    <row r="1352" spans="2:12">
      <c r="B1352" s="1050"/>
      <c r="C1352" s="1050"/>
      <c r="D1352" s="382" t="s">
        <v>2694</v>
      </c>
      <c r="E1352" s="382" t="s">
        <v>2309</v>
      </c>
      <c r="F1352" s="382" t="s">
        <v>2342</v>
      </c>
      <c r="G1352" s="382" t="s">
        <v>405</v>
      </c>
      <c r="H1352" s="383">
        <v>0</v>
      </c>
      <c r="I1352" s="1046">
        <v>1376</v>
      </c>
      <c r="J1352" s="1047"/>
      <c r="K1352" s="383">
        <v>0</v>
      </c>
      <c r="L1352" s="383">
        <v>-1376</v>
      </c>
    </row>
    <row r="1353" spans="2:12">
      <c r="B1353" s="1050"/>
      <c r="C1353" s="1050"/>
      <c r="D1353" s="382" t="s">
        <v>2694</v>
      </c>
      <c r="E1353" s="382" t="s">
        <v>2309</v>
      </c>
      <c r="F1353" s="382" t="s">
        <v>2342</v>
      </c>
      <c r="G1353" s="382" t="s">
        <v>2354</v>
      </c>
      <c r="H1353" s="383">
        <v>-2701.5</v>
      </c>
      <c r="I1353" s="1046">
        <v>3048</v>
      </c>
      <c r="J1353" s="1047"/>
      <c r="K1353" s="383">
        <v>0</v>
      </c>
      <c r="L1353" s="383">
        <v>-5749.5</v>
      </c>
    </row>
    <row r="1354" spans="2:12">
      <c r="B1354" s="1050"/>
      <c r="C1354" s="1050"/>
      <c r="D1354" s="382" t="s">
        <v>2694</v>
      </c>
      <c r="E1354" s="382" t="s">
        <v>2309</v>
      </c>
      <c r="F1354" s="382" t="s">
        <v>2342</v>
      </c>
      <c r="G1354" s="382" t="s">
        <v>2355</v>
      </c>
      <c r="H1354" s="383">
        <v>-947489.77</v>
      </c>
      <c r="I1354" s="1046">
        <v>15520.05</v>
      </c>
      <c r="J1354" s="1047"/>
      <c r="K1354" s="383">
        <v>0</v>
      </c>
      <c r="L1354" s="383">
        <v>-963009.82</v>
      </c>
    </row>
    <row r="1355" spans="2:12">
      <c r="B1355" s="1050"/>
      <c r="C1355" s="1050"/>
      <c r="D1355" s="382" t="s">
        <v>2695</v>
      </c>
      <c r="E1355" s="382" t="s">
        <v>2310</v>
      </c>
      <c r="F1355" s="382" t="s">
        <v>2342</v>
      </c>
      <c r="G1355" s="382" t="s">
        <v>2343</v>
      </c>
      <c r="H1355" s="383">
        <v>-6240.62</v>
      </c>
      <c r="I1355" s="1046">
        <v>7286.54</v>
      </c>
      <c r="J1355" s="1047"/>
      <c r="K1355" s="383">
        <v>0</v>
      </c>
      <c r="L1355" s="383">
        <v>-13527.16</v>
      </c>
    </row>
    <row r="1356" spans="2:12">
      <c r="B1356" s="1050"/>
      <c r="C1356" s="1050"/>
      <c r="D1356" s="382" t="s">
        <v>2695</v>
      </c>
      <c r="E1356" s="382" t="s">
        <v>2310</v>
      </c>
      <c r="F1356" s="382" t="s">
        <v>2342</v>
      </c>
      <c r="G1356" s="382" t="s">
        <v>2344</v>
      </c>
      <c r="H1356" s="383">
        <v>-7830.62</v>
      </c>
      <c r="I1356" s="1046">
        <v>5636.54</v>
      </c>
      <c r="J1356" s="1047"/>
      <c r="K1356" s="383">
        <v>0</v>
      </c>
      <c r="L1356" s="383">
        <v>-13467.16</v>
      </c>
    </row>
    <row r="1357" spans="2:12">
      <c r="B1357" s="1050"/>
      <c r="C1357" s="1050"/>
      <c r="D1357" s="382" t="s">
        <v>2695</v>
      </c>
      <c r="E1357" s="382" t="s">
        <v>2310</v>
      </c>
      <c r="F1357" s="382" t="s">
        <v>2342</v>
      </c>
      <c r="G1357" s="382" t="s">
        <v>2345</v>
      </c>
      <c r="H1357" s="383">
        <v>-5377.62</v>
      </c>
      <c r="I1357" s="1046">
        <v>6611.54</v>
      </c>
      <c r="J1357" s="1047"/>
      <c r="K1357" s="383">
        <v>0</v>
      </c>
      <c r="L1357" s="383">
        <v>-11989.16</v>
      </c>
    </row>
    <row r="1358" spans="2:12">
      <c r="B1358" s="1050"/>
      <c r="C1358" s="1050"/>
      <c r="D1358" s="382" t="s">
        <v>2695</v>
      </c>
      <c r="E1358" s="382" t="s">
        <v>2310</v>
      </c>
      <c r="F1358" s="382" t="s">
        <v>2342</v>
      </c>
      <c r="G1358" s="382" t="s">
        <v>2346</v>
      </c>
      <c r="H1358" s="383">
        <v>-5405.62</v>
      </c>
      <c r="I1358" s="1046">
        <v>9866.5400000000009</v>
      </c>
      <c r="J1358" s="1047"/>
      <c r="K1358" s="383">
        <v>0</v>
      </c>
      <c r="L1358" s="383">
        <v>-15272.16</v>
      </c>
    </row>
    <row r="1359" spans="2:12">
      <c r="B1359" s="1050"/>
      <c r="C1359" s="1050"/>
      <c r="D1359" s="382" t="s">
        <v>2695</v>
      </c>
      <c r="E1359" s="382" t="s">
        <v>2310</v>
      </c>
      <c r="F1359" s="382" t="s">
        <v>2342</v>
      </c>
      <c r="G1359" s="382" t="s">
        <v>2347</v>
      </c>
      <c r="H1359" s="383">
        <v>-5765.62</v>
      </c>
      <c r="I1359" s="1046">
        <v>6911.54</v>
      </c>
      <c r="J1359" s="1047"/>
      <c r="K1359" s="383">
        <v>0</v>
      </c>
      <c r="L1359" s="383">
        <v>-12677.16</v>
      </c>
    </row>
    <row r="1360" spans="2:12">
      <c r="B1360" s="1050"/>
      <c r="C1360" s="1050"/>
      <c r="D1360" s="382" t="s">
        <v>2695</v>
      </c>
      <c r="E1360" s="382" t="s">
        <v>2310</v>
      </c>
      <c r="F1360" s="382" t="s">
        <v>2342</v>
      </c>
      <c r="G1360" s="382" t="s">
        <v>2348</v>
      </c>
      <c r="H1360" s="383">
        <v>-6505.62</v>
      </c>
      <c r="I1360" s="1046">
        <v>5281.54</v>
      </c>
      <c r="J1360" s="1047"/>
      <c r="K1360" s="383">
        <v>0</v>
      </c>
      <c r="L1360" s="383">
        <v>-11787.16</v>
      </c>
    </row>
    <row r="1361" spans="2:12">
      <c r="B1361" s="1050"/>
      <c r="C1361" s="1050"/>
      <c r="D1361" s="382" t="s">
        <v>2695</v>
      </c>
      <c r="E1361" s="382" t="s">
        <v>2310</v>
      </c>
      <c r="F1361" s="382" t="s">
        <v>2342</v>
      </c>
      <c r="G1361" s="382" t="s">
        <v>2349</v>
      </c>
      <c r="H1361" s="383">
        <v>-4115.62</v>
      </c>
      <c r="I1361" s="1046">
        <v>8811.5400000000009</v>
      </c>
      <c r="J1361" s="1047"/>
      <c r="K1361" s="383">
        <v>0</v>
      </c>
      <c r="L1361" s="383">
        <v>-12927.16</v>
      </c>
    </row>
    <row r="1362" spans="2:12">
      <c r="B1362" s="1050"/>
      <c r="C1362" s="1050"/>
      <c r="D1362" s="382" t="s">
        <v>2695</v>
      </c>
      <c r="E1362" s="382" t="s">
        <v>2310</v>
      </c>
      <c r="F1362" s="382" t="s">
        <v>2342</v>
      </c>
      <c r="G1362" s="382" t="s">
        <v>2350</v>
      </c>
      <c r="H1362" s="383">
        <v>-4795.62</v>
      </c>
      <c r="I1362" s="1046">
        <v>4461.54</v>
      </c>
      <c r="J1362" s="1047"/>
      <c r="K1362" s="383">
        <v>0</v>
      </c>
      <c r="L1362" s="383">
        <v>-9257.16</v>
      </c>
    </row>
    <row r="1363" spans="2:12">
      <c r="B1363" s="1050"/>
      <c r="C1363" s="1050"/>
      <c r="D1363" s="382" t="s">
        <v>2695</v>
      </c>
      <c r="E1363" s="382" t="s">
        <v>2310</v>
      </c>
      <c r="F1363" s="382" t="s">
        <v>2342</v>
      </c>
      <c r="G1363" s="382" t="s">
        <v>2351</v>
      </c>
      <c r="H1363" s="383">
        <v>-4255.62</v>
      </c>
      <c r="I1363" s="1046">
        <v>4601.54</v>
      </c>
      <c r="J1363" s="1047"/>
      <c r="K1363" s="383">
        <v>0</v>
      </c>
      <c r="L1363" s="383">
        <v>-8857.16</v>
      </c>
    </row>
    <row r="1364" spans="2:12">
      <c r="B1364" s="1050"/>
      <c r="C1364" s="1050"/>
      <c r="D1364" s="382" t="s">
        <v>2695</v>
      </c>
      <c r="E1364" s="382" t="s">
        <v>2310</v>
      </c>
      <c r="F1364" s="382" t="s">
        <v>2342</v>
      </c>
      <c r="G1364" s="382" t="s">
        <v>2352</v>
      </c>
      <c r="H1364" s="383">
        <v>-5940.62</v>
      </c>
      <c r="I1364" s="1046">
        <v>5786.54</v>
      </c>
      <c r="J1364" s="1047"/>
      <c r="K1364" s="383">
        <v>0</v>
      </c>
      <c r="L1364" s="383">
        <v>-11727.16</v>
      </c>
    </row>
    <row r="1365" spans="2:12">
      <c r="B1365" s="1050"/>
      <c r="C1365" s="1050"/>
      <c r="D1365" s="382" t="s">
        <v>2695</v>
      </c>
      <c r="E1365" s="382" t="s">
        <v>2310</v>
      </c>
      <c r="F1365" s="382" t="s">
        <v>2342</v>
      </c>
      <c r="G1365" s="382" t="s">
        <v>2353</v>
      </c>
      <c r="H1365" s="383">
        <v>-5937.62</v>
      </c>
      <c r="I1365" s="1046">
        <v>4461.54</v>
      </c>
      <c r="J1365" s="1047"/>
      <c r="K1365" s="383">
        <v>0</v>
      </c>
      <c r="L1365" s="383">
        <v>-10399.16</v>
      </c>
    </row>
    <row r="1366" spans="2:12">
      <c r="B1366" s="1050"/>
      <c r="C1366" s="1050"/>
      <c r="D1366" s="382" t="s">
        <v>2695</v>
      </c>
      <c r="E1366" s="382" t="s">
        <v>2310</v>
      </c>
      <c r="F1366" s="382" t="s">
        <v>2342</v>
      </c>
      <c r="G1366" s="382" t="s">
        <v>405</v>
      </c>
      <c r="H1366" s="383">
        <v>-4595.62</v>
      </c>
      <c r="I1366" s="1046">
        <v>5661.54</v>
      </c>
      <c r="J1366" s="1047"/>
      <c r="K1366" s="383">
        <v>0</v>
      </c>
      <c r="L1366" s="383">
        <v>-10257.16</v>
      </c>
    </row>
    <row r="1367" spans="2:12">
      <c r="B1367" s="1050"/>
      <c r="C1367" s="1050"/>
      <c r="D1367" s="382" t="s">
        <v>2695</v>
      </c>
      <c r="E1367" s="382" t="s">
        <v>2310</v>
      </c>
      <c r="F1367" s="382" t="s">
        <v>2342</v>
      </c>
      <c r="G1367" s="382" t="s">
        <v>2354</v>
      </c>
      <c r="H1367" s="383">
        <v>-4115.5600000000004</v>
      </c>
      <c r="I1367" s="1046">
        <v>5086.5200000000004</v>
      </c>
      <c r="J1367" s="1047"/>
      <c r="K1367" s="383">
        <v>0</v>
      </c>
      <c r="L1367" s="383">
        <v>-9202.08</v>
      </c>
    </row>
    <row r="1368" spans="2:12">
      <c r="B1368" s="1050"/>
      <c r="C1368" s="1050"/>
      <c r="D1368" s="382" t="s">
        <v>2695</v>
      </c>
      <c r="E1368" s="382" t="s">
        <v>2310</v>
      </c>
      <c r="F1368" s="382" t="s">
        <v>2342</v>
      </c>
      <c r="G1368" s="382" t="s">
        <v>2355</v>
      </c>
      <c r="H1368" s="383">
        <v>-101790.5</v>
      </c>
      <c r="I1368" s="1046">
        <v>0</v>
      </c>
      <c r="J1368" s="1047"/>
      <c r="K1368" s="383">
        <v>0</v>
      </c>
      <c r="L1368" s="383">
        <v>-101790.5</v>
      </c>
    </row>
    <row r="1369" spans="2:12">
      <c r="B1369" s="1050"/>
      <c r="C1369" s="1050"/>
      <c r="D1369" s="382" t="s">
        <v>2696</v>
      </c>
      <c r="E1369" s="382" t="s">
        <v>2311</v>
      </c>
      <c r="F1369" s="382" t="s">
        <v>2342</v>
      </c>
      <c r="G1369" s="382" t="s">
        <v>2355</v>
      </c>
      <c r="H1369" s="383">
        <v>-16860</v>
      </c>
      <c r="I1369" s="1046">
        <v>0</v>
      </c>
      <c r="J1369" s="1047"/>
      <c r="K1369" s="383">
        <v>0</v>
      </c>
      <c r="L1369" s="383">
        <v>-16860</v>
      </c>
    </row>
    <row r="1370" spans="2:12">
      <c r="B1370" s="1050"/>
      <c r="C1370" s="1051"/>
      <c r="D1370" s="359" t="s">
        <v>12</v>
      </c>
      <c r="E1370" s="359" t="s">
        <v>111</v>
      </c>
      <c r="F1370" s="359" t="s">
        <v>111</v>
      </c>
      <c r="G1370" s="359" t="s">
        <v>111</v>
      </c>
      <c r="H1370" s="384">
        <v>-1185927.43</v>
      </c>
      <c r="I1370" s="1048">
        <v>132385.19</v>
      </c>
      <c r="J1370" s="1047"/>
      <c r="K1370" s="384">
        <v>584.79999999999995</v>
      </c>
      <c r="L1370" s="384">
        <v>-1317727.82</v>
      </c>
    </row>
    <row r="1371" spans="2:12">
      <c r="B1371" s="1050"/>
      <c r="C1371" s="1049" t="s">
        <v>2697</v>
      </c>
      <c r="D1371" s="382" t="s">
        <v>2698</v>
      </c>
      <c r="E1371" s="382" t="s">
        <v>2312</v>
      </c>
      <c r="F1371" s="382" t="s">
        <v>2342</v>
      </c>
      <c r="G1371" s="382" t="s">
        <v>2343</v>
      </c>
      <c r="H1371" s="383">
        <v>0</v>
      </c>
      <c r="I1371" s="1046">
        <v>3740</v>
      </c>
      <c r="J1371" s="1047"/>
      <c r="K1371" s="383">
        <v>0</v>
      </c>
      <c r="L1371" s="383">
        <v>-3740</v>
      </c>
    </row>
    <row r="1372" spans="2:12">
      <c r="B1372" s="1050"/>
      <c r="C1372" s="1050"/>
      <c r="D1372" s="382" t="s">
        <v>2698</v>
      </c>
      <c r="E1372" s="382" t="s">
        <v>2312</v>
      </c>
      <c r="F1372" s="382" t="s">
        <v>2342</v>
      </c>
      <c r="G1372" s="382" t="s">
        <v>2344</v>
      </c>
      <c r="H1372" s="383">
        <v>0</v>
      </c>
      <c r="I1372" s="1046">
        <v>7800</v>
      </c>
      <c r="J1372" s="1047"/>
      <c r="K1372" s="383">
        <v>0</v>
      </c>
      <c r="L1372" s="383">
        <v>-7800</v>
      </c>
    </row>
    <row r="1373" spans="2:12">
      <c r="B1373" s="1050"/>
      <c r="C1373" s="1050"/>
      <c r="D1373" s="382" t="s">
        <v>2698</v>
      </c>
      <c r="E1373" s="382" t="s">
        <v>2312</v>
      </c>
      <c r="F1373" s="382" t="s">
        <v>2342</v>
      </c>
      <c r="G1373" s="382" t="s">
        <v>2355</v>
      </c>
      <c r="H1373" s="383">
        <v>-4002.4</v>
      </c>
      <c r="I1373" s="1046">
        <v>86350</v>
      </c>
      <c r="J1373" s="1047"/>
      <c r="K1373" s="383">
        <v>0</v>
      </c>
      <c r="L1373" s="383">
        <v>-90352.4</v>
      </c>
    </row>
    <row r="1374" spans="2:12">
      <c r="B1374" s="1050"/>
      <c r="C1374" s="1050"/>
      <c r="D1374" s="382" t="s">
        <v>2699</v>
      </c>
      <c r="E1374" s="382" t="s">
        <v>2313</v>
      </c>
      <c r="F1374" s="382" t="s">
        <v>2342</v>
      </c>
      <c r="G1374" s="382" t="s">
        <v>2343</v>
      </c>
      <c r="H1374" s="383">
        <v>-500</v>
      </c>
      <c r="I1374" s="1046">
        <v>4500</v>
      </c>
      <c r="J1374" s="1047"/>
      <c r="K1374" s="383">
        <v>0</v>
      </c>
      <c r="L1374" s="383">
        <v>-5000</v>
      </c>
    </row>
    <row r="1375" spans="2:12">
      <c r="B1375" s="1050"/>
      <c r="C1375" s="1050"/>
      <c r="D1375" s="382" t="s">
        <v>2699</v>
      </c>
      <c r="E1375" s="382" t="s">
        <v>2313</v>
      </c>
      <c r="F1375" s="382" t="s">
        <v>2342</v>
      </c>
      <c r="G1375" s="382" t="s">
        <v>2347</v>
      </c>
      <c r="H1375" s="383">
        <v>-2951</v>
      </c>
      <c r="I1375" s="1046">
        <v>0</v>
      </c>
      <c r="J1375" s="1047"/>
      <c r="K1375" s="383">
        <v>0</v>
      </c>
      <c r="L1375" s="383">
        <v>-2951</v>
      </c>
    </row>
    <row r="1376" spans="2:12">
      <c r="B1376" s="1050"/>
      <c r="C1376" s="1050"/>
      <c r="D1376" s="382" t="s">
        <v>2699</v>
      </c>
      <c r="E1376" s="382" t="s">
        <v>2313</v>
      </c>
      <c r="F1376" s="382" t="s">
        <v>2342</v>
      </c>
      <c r="G1376" s="382" t="s">
        <v>2355</v>
      </c>
      <c r="H1376" s="383">
        <v>-51181.8</v>
      </c>
      <c r="I1376" s="1046">
        <v>1111</v>
      </c>
      <c r="J1376" s="1047"/>
      <c r="K1376" s="383">
        <v>0</v>
      </c>
      <c r="L1376" s="383">
        <v>-52292.800000000003</v>
      </c>
    </row>
    <row r="1377" spans="2:12">
      <c r="B1377" s="1050"/>
      <c r="C1377" s="1051"/>
      <c r="D1377" s="359" t="s">
        <v>12</v>
      </c>
      <c r="E1377" s="359" t="s">
        <v>111</v>
      </c>
      <c r="F1377" s="359" t="s">
        <v>111</v>
      </c>
      <c r="G1377" s="359" t="s">
        <v>111</v>
      </c>
      <c r="H1377" s="384">
        <v>-58635.199999999997</v>
      </c>
      <c r="I1377" s="1048">
        <v>103501</v>
      </c>
      <c r="J1377" s="1047"/>
      <c r="K1377" s="384">
        <v>0</v>
      </c>
      <c r="L1377" s="384">
        <v>-162136.20000000001</v>
      </c>
    </row>
    <row r="1378" spans="2:12">
      <c r="B1378" s="1050"/>
      <c r="C1378" s="1049" t="s">
        <v>2700</v>
      </c>
      <c r="D1378" s="382" t="s">
        <v>2701</v>
      </c>
      <c r="E1378" s="382" t="s">
        <v>2314</v>
      </c>
      <c r="F1378" s="382" t="s">
        <v>2342</v>
      </c>
      <c r="G1378" s="382" t="s">
        <v>2343</v>
      </c>
      <c r="H1378" s="383">
        <v>-400.8</v>
      </c>
      <c r="I1378" s="1046">
        <v>400.8</v>
      </c>
      <c r="J1378" s="1047"/>
      <c r="K1378" s="383">
        <v>0</v>
      </c>
      <c r="L1378" s="383">
        <v>-801.6</v>
      </c>
    </row>
    <row r="1379" spans="2:12">
      <c r="B1379" s="1050"/>
      <c r="C1379" s="1050"/>
      <c r="D1379" s="382" t="s">
        <v>2701</v>
      </c>
      <c r="E1379" s="382" t="s">
        <v>2314</v>
      </c>
      <c r="F1379" s="382" t="s">
        <v>2342</v>
      </c>
      <c r="G1379" s="382" t="s">
        <v>2344</v>
      </c>
      <c r="H1379" s="383">
        <v>-300</v>
      </c>
      <c r="I1379" s="1046">
        <v>300</v>
      </c>
      <c r="J1379" s="1047"/>
      <c r="K1379" s="383">
        <v>0</v>
      </c>
      <c r="L1379" s="383">
        <v>-600</v>
      </c>
    </row>
    <row r="1380" spans="2:12">
      <c r="B1380" s="1050"/>
      <c r="C1380" s="1050"/>
      <c r="D1380" s="382" t="s">
        <v>2701</v>
      </c>
      <c r="E1380" s="382" t="s">
        <v>2314</v>
      </c>
      <c r="F1380" s="382" t="s">
        <v>2342</v>
      </c>
      <c r="G1380" s="382" t="s">
        <v>2345</v>
      </c>
      <c r="H1380" s="383">
        <v>-607.07000000000005</v>
      </c>
      <c r="I1380" s="1046">
        <v>607.07000000000005</v>
      </c>
      <c r="J1380" s="1047"/>
      <c r="K1380" s="383">
        <v>0</v>
      </c>
      <c r="L1380" s="383">
        <v>-1214.1400000000001</v>
      </c>
    </row>
    <row r="1381" spans="2:12">
      <c r="B1381" s="1050"/>
      <c r="C1381" s="1050"/>
      <c r="D1381" s="382" t="s">
        <v>2701</v>
      </c>
      <c r="E1381" s="382" t="s">
        <v>2314</v>
      </c>
      <c r="F1381" s="382" t="s">
        <v>2342</v>
      </c>
      <c r="G1381" s="382" t="s">
        <v>2346</v>
      </c>
      <c r="H1381" s="383">
        <v>-317.08</v>
      </c>
      <c r="I1381" s="1046">
        <v>317.08</v>
      </c>
      <c r="J1381" s="1047"/>
      <c r="K1381" s="383">
        <v>0</v>
      </c>
      <c r="L1381" s="383">
        <v>-634.16</v>
      </c>
    </row>
    <row r="1382" spans="2:12">
      <c r="B1382" s="1050"/>
      <c r="C1382" s="1050"/>
      <c r="D1382" s="382" t="s">
        <v>2701</v>
      </c>
      <c r="E1382" s="382" t="s">
        <v>2314</v>
      </c>
      <c r="F1382" s="382" t="s">
        <v>2342</v>
      </c>
      <c r="G1382" s="382" t="s">
        <v>2347</v>
      </c>
      <c r="H1382" s="383">
        <v>-225</v>
      </c>
      <c r="I1382" s="1046">
        <v>225</v>
      </c>
      <c r="J1382" s="1047"/>
      <c r="K1382" s="383">
        <v>0</v>
      </c>
      <c r="L1382" s="383">
        <v>-450</v>
      </c>
    </row>
    <row r="1383" spans="2:12">
      <c r="B1383" s="1050"/>
      <c r="C1383" s="1050"/>
      <c r="D1383" s="382" t="s">
        <v>2701</v>
      </c>
      <c r="E1383" s="382" t="s">
        <v>2314</v>
      </c>
      <c r="F1383" s="382" t="s">
        <v>2342</v>
      </c>
      <c r="G1383" s="382" t="s">
        <v>2348</v>
      </c>
      <c r="H1383" s="383">
        <v>-366.67</v>
      </c>
      <c r="I1383" s="1046">
        <v>366.67</v>
      </c>
      <c r="J1383" s="1047"/>
      <c r="K1383" s="383">
        <v>0</v>
      </c>
      <c r="L1383" s="383">
        <v>-733.34</v>
      </c>
    </row>
    <row r="1384" spans="2:12">
      <c r="B1384" s="1050"/>
      <c r="C1384" s="1050"/>
      <c r="D1384" s="382" t="s">
        <v>2701</v>
      </c>
      <c r="E1384" s="382" t="s">
        <v>2314</v>
      </c>
      <c r="F1384" s="382" t="s">
        <v>2342</v>
      </c>
      <c r="G1384" s="382" t="s">
        <v>2349</v>
      </c>
      <c r="H1384" s="383">
        <v>-400.83</v>
      </c>
      <c r="I1384" s="1046">
        <v>400.83</v>
      </c>
      <c r="J1384" s="1047"/>
      <c r="K1384" s="383">
        <v>0</v>
      </c>
      <c r="L1384" s="383">
        <v>-801.66</v>
      </c>
    </row>
    <row r="1385" spans="2:12">
      <c r="B1385" s="1050"/>
      <c r="C1385" s="1050"/>
      <c r="D1385" s="382" t="s">
        <v>2701</v>
      </c>
      <c r="E1385" s="382" t="s">
        <v>2314</v>
      </c>
      <c r="F1385" s="382" t="s">
        <v>2342</v>
      </c>
      <c r="G1385" s="382" t="s">
        <v>2350</v>
      </c>
      <c r="H1385" s="383">
        <v>-400.83</v>
      </c>
      <c r="I1385" s="1046">
        <v>400.83</v>
      </c>
      <c r="J1385" s="1047"/>
      <c r="K1385" s="383">
        <v>0</v>
      </c>
      <c r="L1385" s="383">
        <v>-801.66</v>
      </c>
    </row>
    <row r="1386" spans="2:12">
      <c r="B1386" s="1050"/>
      <c r="C1386" s="1050"/>
      <c r="D1386" s="382" t="s">
        <v>2701</v>
      </c>
      <c r="E1386" s="382" t="s">
        <v>2314</v>
      </c>
      <c r="F1386" s="382" t="s">
        <v>2342</v>
      </c>
      <c r="G1386" s="382" t="s">
        <v>2351</v>
      </c>
      <c r="H1386" s="383">
        <v>-438.75</v>
      </c>
      <c r="I1386" s="1046">
        <v>438.75</v>
      </c>
      <c r="J1386" s="1047"/>
      <c r="K1386" s="383">
        <v>0</v>
      </c>
      <c r="L1386" s="383">
        <v>-877.5</v>
      </c>
    </row>
    <row r="1387" spans="2:12">
      <c r="B1387" s="1050"/>
      <c r="C1387" s="1050"/>
      <c r="D1387" s="382" t="s">
        <v>2701</v>
      </c>
      <c r="E1387" s="382" t="s">
        <v>2314</v>
      </c>
      <c r="F1387" s="382" t="s">
        <v>2342</v>
      </c>
      <c r="G1387" s="382" t="s">
        <v>2352</v>
      </c>
      <c r="H1387" s="383">
        <v>-150.83000000000001</v>
      </c>
      <c r="I1387" s="1046">
        <v>150.83000000000001</v>
      </c>
      <c r="J1387" s="1047"/>
      <c r="K1387" s="383">
        <v>0</v>
      </c>
      <c r="L1387" s="383">
        <v>-301.66000000000003</v>
      </c>
    </row>
    <row r="1388" spans="2:12">
      <c r="B1388" s="1050"/>
      <c r="C1388" s="1050"/>
      <c r="D1388" s="382" t="s">
        <v>2701</v>
      </c>
      <c r="E1388" s="382" t="s">
        <v>2314</v>
      </c>
      <c r="F1388" s="382" t="s">
        <v>2342</v>
      </c>
      <c r="G1388" s="382" t="s">
        <v>2353</v>
      </c>
      <c r="H1388" s="383">
        <v>-400.83</v>
      </c>
      <c r="I1388" s="1046">
        <v>400.83</v>
      </c>
      <c r="J1388" s="1047"/>
      <c r="K1388" s="383">
        <v>0</v>
      </c>
      <c r="L1388" s="383">
        <v>-801.66</v>
      </c>
    </row>
    <row r="1389" spans="2:12">
      <c r="B1389" s="1050"/>
      <c r="C1389" s="1050"/>
      <c r="D1389" s="382" t="s">
        <v>2701</v>
      </c>
      <c r="E1389" s="382" t="s">
        <v>2314</v>
      </c>
      <c r="F1389" s="382" t="s">
        <v>2342</v>
      </c>
      <c r="G1389" s="382" t="s">
        <v>405</v>
      </c>
      <c r="H1389" s="383">
        <v>-300</v>
      </c>
      <c r="I1389" s="1046">
        <v>300</v>
      </c>
      <c r="J1389" s="1047"/>
      <c r="K1389" s="383">
        <v>0</v>
      </c>
      <c r="L1389" s="383">
        <v>-600</v>
      </c>
    </row>
    <row r="1390" spans="2:12">
      <c r="B1390" s="1050"/>
      <c r="C1390" s="1050"/>
      <c r="D1390" s="382" t="s">
        <v>2701</v>
      </c>
      <c r="E1390" s="382" t="s">
        <v>2314</v>
      </c>
      <c r="F1390" s="382" t="s">
        <v>2342</v>
      </c>
      <c r="G1390" s="382" t="s">
        <v>2354</v>
      </c>
      <c r="H1390" s="383">
        <v>-673.12</v>
      </c>
      <c r="I1390" s="1046">
        <v>673.12</v>
      </c>
      <c r="J1390" s="1047"/>
      <c r="K1390" s="383">
        <v>0</v>
      </c>
      <c r="L1390" s="383">
        <v>-1346.24</v>
      </c>
    </row>
    <row r="1391" spans="2:12">
      <c r="B1391" s="1050"/>
      <c r="C1391" s="1050"/>
      <c r="D1391" s="382" t="s">
        <v>2701</v>
      </c>
      <c r="E1391" s="382" t="s">
        <v>2314</v>
      </c>
      <c r="F1391" s="382" t="s">
        <v>2342</v>
      </c>
      <c r="G1391" s="382" t="s">
        <v>2355</v>
      </c>
      <c r="H1391" s="383">
        <v>-73749.820000000007</v>
      </c>
      <c r="I1391" s="1046">
        <v>2484.02</v>
      </c>
      <c r="J1391" s="1047"/>
      <c r="K1391" s="383">
        <v>50813.75</v>
      </c>
      <c r="L1391" s="383">
        <v>-25420.09</v>
      </c>
    </row>
    <row r="1392" spans="2:12">
      <c r="B1392" s="1050"/>
      <c r="C1392" s="1051"/>
      <c r="D1392" s="359" t="s">
        <v>12</v>
      </c>
      <c r="E1392" s="359" t="s">
        <v>111</v>
      </c>
      <c r="F1392" s="359" t="s">
        <v>111</v>
      </c>
      <c r="G1392" s="359" t="s">
        <v>111</v>
      </c>
      <c r="H1392" s="384">
        <v>-78731.63</v>
      </c>
      <c r="I1392" s="1048">
        <v>7465.83</v>
      </c>
      <c r="J1392" s="1047"/>
      <c r="K1392" s="384">
        <v>50813.75</v>
      </c>
      <c r="L1392" s="384">
        <v>-35383.71</v>
      </c>
    </row>
    <row r="1393" spans="2:14">
      <c r="B1393" s="1050"/>
      <c r="C1393" s="1049" t="s">
        <v>2702</v>
      </c>
      <c r="D1393" s="382" t="s">
        <v>2703</v>
      </c>
      <c r="E1393" s="382" t="s">
        <v>2315</v>
      </c>
      <c r="F1393" s="382" t="s">
        <v>2342</v>
      </c>
      <c r="G1393" s="382" t="s">
        <v>2355</v>
      </c>
      <c r="H1393" s="383">
        <v>-4669.9399999999996</v>
      </c>
      <c r="I1393" s="1046">
        <v>0</v>
      </c>
      <c r="J1393" s="1047"/>
      <c r="K1393" s="383">
        <v>0</v>
      </c>
      <c r="L1393" s="383">
        <v>-4669.9399999999996</v>
      </c>
      <c r="N1393" s="363"/>
    </row>
    <row r="1394" spans="2:14">
      <c r="B1394" s="1050"/>
      <c r="C1394" s="1050"/>
      <c r="D1394" s="382" t="s">
        <v>2704</v>
      </c>
      <c r="E1394" s="382" t="s">
        <v>2316</v>
      </c>
      <c r="F1394" s="382" t="s">
        <v>2342</v>
      </c>
      <c r="G1394" s="382" t="s">
        <v>2355</v>
      </c>
      <c r="H1394" s="383">
        <v>200</v>
      </c>
      <c r="I1394" s="1046">
        <v>480</v>
      </c>
      <c r="J1394" s="1047"/>
      <c r="K1394" s="383">
        <v>4319.12</v>
      </c>
      <c r="L1394" s="383">
        <v>4039.12</v>
      </c>
    </row>
    <row r="1395" spans="2:14">
      <c r="B1395" s="1050"/>
      <c r="C1395" s="1051"/>
      <c r="D1395" s="359" t="s">
        <v>12</v>
      </c>
      <c r="E1395" s="359" t="s">
        <v>111</v>
      </c>
      <c r="F1395" s="359" t="s">
        <v>111</v>
      </c>
      <c r="G1395" s="359" t="s">
        <v>111</v>
      </c>
      <c r="H1395" s="384">
        <v>-4469.9399999999996</v>
      </c>
      <c r="I1395" s="1048">
        <v>480</v>
      </c>
      <c r="J1395" s="1047"/>
      <c r="K1395" s="384">
        <v>4319.12</v>
      </c>
      <c r="L1395" s="384">
        <v>-630.82000000000005</v>
      </c>
    </row>
    <row r="1396" spans="2:14">
      <c r="B1396" s="1050"/>
      <c r="C1396" s="1049" t="s">
        <v>2705</v>
      </c>
      <c r="D1396" s="382" t="s">
        <v>2706</v>
      </c>
      <c r="E1396" s="382" t="s">
        <v>2317</v>
      </c>
      <c r="F1396" s="382" t="s">
        <v>2342</v>
      </c>
      <c r="G1396" s="382" t="s">
        <v>2343</v>
      </c>
      <c r="H1396" s="383">
        <v>-3834.48</v>
      </c>
      <c r="I1396" s="1046">
        <v>1945.34</v>
      </c>
      <c r="J1396" s="1047"/>
      <c r="K1396" s="383">
        <v>0</v>
      </c>
      <c r="L1396" s="383">
        <v>-5779.82</v>
      </c>
    </row>
    <row r="1397" spans="2:14">
      <c r="B1397" s="1050"/>
      <c r="C1397" s="1050"/>
      <c r="D1397" s="382" t="s">
        <v>2706</v>
      </c>
      <c r="E1397" s="382" t="s">
        <v>2317</v>
      </c>
      <c r="F1397" s="382" t="s">
        <v>2342</v>
      </c>
      <c r="G1397" s="382" t="s">
        <v>2344</v>
      </c>
      <c r="H1397" s="383">
        <v>-2228.98</v>
      </c>
      <c r="I1397" s="1046">
        <v>1114.49</v>
      </c>
      <c r="J1397" s="1047"/>
      <c r="K1397" s="383">
        <v>0</v>
      </c>
      <c r="L1397" s="383">
        <v>-3343.47</v>
      </c>
    </row>
    <row r="1398" spans="2:14">
      <c r="B1398" s="1050"/>
      <c r="C1398" s="1050"/>
      <c r="D1398" s="382" t="s">
        <v>2706</v>
      </c>
      <c r="E1398" s="382" t="s">
        <v>2317</v>
      </c>
      <c r="F1398" s="382" t="s">
        <v>2342</v>
      </c>
      <c r="G1398" s="382" t="s">
        <v>2345</v>
      </c>
      <c r="H1398" s="383">
        <v>-8604.0400000000009</v>
      </c>
      <c r="I1398" s="1046">
        <v>4302.0200000000004</v>
      </c>
      <c r="J1398" s="1047"/>
      <c r="K1398" s="383">
        <v>0</v>
      </c>
      <c r="L1398" s="383">
        <v>-12906.06</v>
      </c>
    </row>
    <row r="1399" spans="2:14">
      <c r="B1399" s="1050"/>
      <c r="C1399" s="1050"/>
      <c r="D1399" s="382" t="s">
        <v>2706</v>
      </c>
      <c r="E1399" s="382" t="s">
        <v>2317</v>
      </c>
      <c r="F1399" s="382" t="s">
        <v>2342</v>
      </c>
      <c r="G1399" s="382" t="s">
        <v>2346</v>
      </c>
      <c r="H1399" s="383">
        <v>-1445.38</v>
      </c>
      <c r="I1399" s="1046">
        <v>722.69</v>
      </c>
      <c r="J1399" s="1047"/>
      <c r="K1399" s="383">
        <v>0</v>
      </c>
      <c r="L1399" s="383">
        <v>-2168.0700000000002</v>
      </c>
    </row>
    <row r="1400" spans="2:14">
      <c r="B1400" s="1050"/>
      <c r="C1400" s="1050"/>
      <c r="D1400" s="382" t="s">
        <v>2706</v>
      </c>
      <c r="E1400" s="382" t="s">
        <v>2317</v>
      </c>
      <c r="F1400" s="382" t="s">
        <v>2342</v>
      </c>
      <c r="G1400" s="382" t="s">
        <v>2347</v>
      </c>
      <c r="H1400" s="383">
        <v>-7445.78</v>
      </c>
      <c r="I1400" s="1046">
        <v>3722.89</v>
      </c>
      <c r="J1400" s="1047"/>
      <c r="K1400" s="383">
        <v>0</v>
      </c>
      <c r="L1400" s="383">
        <v>-11168.67</v>
      </c>
    </row>
    <row r="1401" spans="2:14">
      <c r="B1401" s="1050"/>
      <c r="C1401" s="1050"/>
      <c r="D1401" s="382" t="s">
        <v>2706</v>
      </c>
      <c r="E1401" s="382" t="s">
        <v>2317</v>
      </c>
      <c r="F1401" s="382" t="s">
        <v>2342</v>
      </c>
      <c r="G1401" s="382" t="s">
        <v>2348</v>
      </c>
      <c r="H1401" s="383">
        <v>-4920.3599999999997</v>
      </c>
      <c r="I1401" s="1046">
        <v>2460.1799999999998</v>
      </c>
      <c r="J1401" s="1047"/>
      <c r="K1401" s="383">
        <v>0</v>
      </c>
      <c r="L1401" s="383">
        <v>-7380.54</v>
      </c>
    </row>
    <row r="1402" spans="2:14">
      <c r="B1402" s="1050"/>
      <c r="C1402" s="1050"/>
      <c r="D1402" s="382" t="s">
        <v>2706</v>
      </c>
      <c r="E1402" s="382" t="s">
        <v>2317</v>
      </c>
      <c r="F1402" s="382" t="s">
        <v>2342</v>
      </c>
      <c r="G1402" s="382" t="s">
        <v>2349</v>
      </c>
      <c r="H1402" s="383">
        <v>-6786.8</v>
      </c>
      <c r="I1402" s="1046">
        <v>3393.4</v>
      </c>
      <c r="J1402" s="1047"/>
      <c r="K1402" s="383">
        <v>0</v>
      </c>
      <c r="L1402" s="383">
        <v>-10180.200000000001</v>
      </c>
    </row>
    <row r="1403" spans="2:14">
      <c r="B1403" s="1050"/>
      <c r="C1403" s="1050"/>
      <c r="D1403" s="382" t="s">
        <v>2706</v>
      </c>
      <c r="E1403" s="382" t="s">
        <v>2317</v>
      </c>
      <c r="F1403" s="382" t="s">
        <v>2342</v>
      </c>
      <c r="G1403" s="382" t="s">
        <v>2350</v>
      </c>
      <c r="H1403" s="383">
        <v>-12012.5</v>
      </c>
      <c r="I1403" s="1046">
        <v>5665.16</v>
      </c>
      <c r="J1403" s="1047"/>
      <c r="K1403" s="383">
        <v>0</v>
      </c>
      <c r="L1403" s="383">
        <v>-17677.66</v>
      </c>
    </row>
    <row r="1404" spans="2:14">
      <c r="B1404" s="1050"/>
      <c r="C1404" s="1050"/>
      <c r="D1404" s="382" t="s">
        <v>2706</v>
      </c>
      <c r="E1404" s="382" t="s">
        <v>2317</v>
      </c>
      <c r="F1404" s="382" t="s">
        <v>2342</v>
      </c>
      <c r="G1404" s="382" t="s">
        <v>2351</v>
      </c>
      <c r="H1404" s="383">
        <v>-7387.74</v>
      </c>
      <c r="I1404" s="1046">
        <v>3693.87</v>
      </c>
      <c r="J1404" s="1047"/>
      <c r="K1404" s="383">
        <v>0</v>
      </c>
      <c r="L1404" s="383">
        <v>-11081.61</v>
      </c>
    </row>
    <row r="1405" spans="2:14">
      <c r="B1405" s="1050"/>
      <c r="C1405" s="1050"/>
      <c r="D1405" s="382" t="s">
        <v>2706</v>
      </c>
      <c r="E1405" s="382" t="s">
        <v>2317</v>
      </c>
      <c r="F1405" s="382" t="s">
        <v>2342</v>
      </c>
      <c r="G1405" s="382" t="s">
        <v>2352</v>
      </c>
      <c r="H1405" s="383">
        <v>-9665.52</v>
      </c>
      <c r="I1405" s="1046">
        <v>4832.76</v>
      </c>
      <c r="J1405" s="1047"/>
      <c r="K1405" s="383">
        <v>0</v>
      </c>
      <c r="L1405" s="383">
        <v>-14498.28</v>
      </c>
    </row>
    <row r="1406" spans="2:14">
      <c r="B1406" s="1050"/>
      <c r="C1406" s="1050"/>
      <c r="D1406" s="382" t="s">
        <v>2706</v>
      </c>
      <c r="E1406" s="382" t="s">
        <v>2317</v>
      </c>
      <c r="F1406" s="382" t="s">
        <v>2342</v>
      </c>
      <c r="G1406" s="382" t="s">
        <v>2353</v>
      </c>
      <c r="H1406" s="383">
        <v>-6562</v>
      </c>
      <c r="I1406" s="1046">
        <v>3281</v>
      </c>
      <c r="J1406" s="1047"/>
      <c r="K1406" s="383">
        <v>0</v>
      </c>
      <c r="L1406" s="383">
        <v>-9843</v>
      </c>
    </row>
    <row r="1407" spans="2:14">
      <c r="B1407" s="1050"/>
      <c r="C1407" s="1050"/>
      <c r="D1407" s="382" t="s">
        <v>2706</v>
      </c>
      <c r="E1407" s="382" t="s">
        <v>2317</v>
      </c>
      <c r="F1407" s="382" t="s">
        <v>2342</v>
      </c>
      <c r="G1407" s="382" t="s">
        <v>405</v>
      </c>
      <c r="H1407" s="383">
        <v>-3446.54</v>
      </c>
      <c r="I1407" s="1046">
        <v>1723.27</v>
      </c>
      <c r="J1407" s="1047"/>
      <c r="K1407" s="383">
        <v>0</v>
      </c>
      <c r="L1407" s="383">
        <v>-5169.8100000000004</v>
      </c>
    </row>
    <row r="1408" spans="2:14">
      <c r="B1408" s="1050"/>
      <c r="C1408" s="1050"/>
      <c r="D1408" s="382" t="s">
        <v>2706</v>
      </c>
      <c r="E1408" s="382" t="s">
        <v>2317</v>
      </c>
      <c r="F1408" s="382" t="s">
        <v>2342</v>
      </c>
      <c r="G1408" s="382" t="s">
        <v>2354</v>
      </c>
      <c r="H1408" s="383">
        <v>0</v>
      </c>
      <c r="I1408" s="1046">
        <v>48.94</v>
      </c>
      <c r="J1408" s="1047"/>
      <c r="K1408" s="383">
        <v>0</v>
      </c>
      <c r="L1408" s="383">
        <v>-48.94</v>
      </c>
    </row>
    <row r="1409" spans="2:12">
      <c r="B1409" s="1050"/>
      <c r="C1409" s="1050"/>
      <c r="D1409" s="382" t="s">
        <v>2706</v>
      </c>
      <c r="E1409" s="382" t="s">
        <v>2317</v>
      </c>
      <c r="F1409" s="382" t="s">
        <v>2342</v>
      </c>
      <c r="G1409" s="382" t="s">
        <v>2355</v>
      </c>
      <c r="H1409" s="383">
        <v>-53646.42</v>
      </c>
      <c r="I1409" s="1046">
        <v>29715.38</v>
      </c>
      <c r="J1409" s="1047"/>
      <c r="K1409" s="383">
        <v>0</v>
      </c>
      <c r="L1409" s="383">
        <v>-83361.8</v>
      </c>
    </row>
    <row r="1410" spans="2:12">
      <c r="B1410" s="1050"/>
      <c r="C1410" s="1050"/>
      <c r="D1410" s="382" t="s">
        <v>2707</v>
      </c>
      <c r="E1410" s="382" t="s">
        <v>2318</v>
      </c>
      <c r="F1410" s="382" t="s">
        <v>2342</v>
      </c>
      <c r="G1410" s="382" t="s">
        <v>2355</v>
      </c>
      <c r="H1410" s="383">
        <v>-528907.87</v>
      </c>
      <c r="I1410" s="1046">
        <v>0</v>
      </c>
      <c r="J1410" s="1047"/>
      <c r="K1410" s="383">
        <v>0</v>
      </c>
      <c r="L1410" s="383">
        <v>-528907.87</v>
      </c>
    </row>
    <row r="1411" spans="2:12">
      <c r="B1411" s="1050"/>
      <c r="C1411" s="1050"/>
      <c r="D1411" s="382" t="s">
        <v>2708</v>
      </c>
      <c r="E1411" s="382" t="s">
        <v>2319</v>
      </c>
      <c r="F1411" s="382" t="s">
        <v>2342</v>
      </c>
      <c r="G1411" s="382" t="s">
        <v>2343</v>
      </c>
      <c r="H1411" s="383">
        <v>-3699.88</v>
      </c>
      <c r="I1411" s="1046">
        <v>2622.82</v>
      </c>
      <c r="J1411" s="1047"/>
      <c r="K1411" s="383">
        <v>0</v>
      </c>
      <c r="L1411" s="383">
        <v>-6322.7</v>
      </c>
    </row>
    <row r="1412" spans="2:12">
      <c r="B1412" s="1050"/>
      <c r="C1412" s="1050"/>
      <c r="D1412" s="382" t="s">
        <v>2708</v>
      </c>
      <c r="E1412" s="382" t="s">
        <v>2319</v>
      </c>
      <c r="F1412" s="382" t="s">
        <v>2342</v>
      </c>
      <c r="G1412" s="382" t="s">
        <v>2344</v>
      </c>
      <c r="H1412" s="383">
        <v>-2394.86</v>
      </c>
      <c r="I1412" s="1046">
        <v>1197.43</v>
      </c>
      <c r="J1412" s="1047"/>
      <c r="K1412" s="383">
        <v>0</v>
      </c>
      <c r="L1412" s="383">
        <v>-3592.29</v>
      </c>
    </row>
    <row r="1413" spans="2:12">
      <c r="B1413" s="1050"/>
      <c r="C1413" s="1050"/>
      <c r="D1413" s="382" t="s">
        <v>2708</v>
      </c>
      <c r="E1413" s="382" t="s">
        <v>2319</v>
      </c>
      <c r="F1413" s="382" t="s">
        <v>2342</v>
      </c>
      <c r="G1413" s="382" t="s">
        <v>2345</v>
      </c>
      <c r="H1413" s="383">
        <v>-1608.34</v>
      </c>
      <c r="I1413" s="1046">
        <v>804.17</v>
      </c>
      <c r="J1413" s="1047"/>
      <c r="K1413" s="383">
        <v>0</v>
      </c>
      <c r="L1413" s="383">
        <v>-2412.5100000000002</v>
      </c>
    </row>
    <row r="1414" spans="2:12">
      <c r="B1414" s="1050"/>
      <c r="C1414" s="1050"/>
      <c r="D1414" s="382" t="s">
        <v>2708</v>
      </c>
      <c r="E1414" s="382" t="s">
        <v>2319</v>
      </c>
      <c r="F1414" s="382" t="s">
        <v>2342</v>
      </c>
      <c r="G1414" s="382" t="s">
        <v>2346</v>
      </c>
      <c r="H1414" s="383">
        <v>-709.8</v>
      </c>
      <c r="I1414" s="1046">
        <v>354.9</v>
      </c>
      <c r="J1414" s="1047"/>
      <c r="K1414" s="383">
        <v>0</v>
      </c>
      <c r="L1414" s="383">
        <v>-1064.7</v>
      </c>
    </row>
    <row r="1415" spans="2:12">
      <c r="B1415" s="1050"/>
      <c r="C1415" s="1050"/>
      <c r="D1415" s="382" t="s">
        <v>2708</v>
      </c>
      <c r="E1415" s="382" t="s">
        <v>2319</v>
      </c>
      <c r="F1415" s="382" t="s">
        <v>2342</v>
      </c>
      <c r="G1415" s="382" t="s">
        <v>2347</v>
      </c>
      <c r="H1415" s="383">
        <v>-4296.26</v>
      </c>
      <c r="I1415" s="1046">
        <v>2148.13</v>
      </c>
      <c r="J1415" s="1047"/>
      <c r="K1415" s="383">
        <v>0</v>
      </c>
      <c r="L1415" s="383">
        <v>-6444.39</v>
      </c>
    </row>
    <row r="1416" spans="2:12">
      <c r="B1416" s="1050"/>
      <c r="C1416" s="1050"/>
      <c r="D1416" s="382" t="s">
        <v>2708</v>
      </c>
      <c r="E1416" s="382" t="s">
        <v>2319</v>
      </c>
      <c r="F1416" s="382" t="s">
        <v>2342</v>
      </c>
      <c r="G1416" s="382" t="s">
        <v>2348</v>
      </c>
      <c r="H1416" s="383">
        <v>-2915.34</v>
      </c>
      <c r="I1416" s="1046">
        <v>1457.67</v>
      </c>
      <c r="J1416" s="1047"/>
      <c r="K1416" s="383">
        <v>0</v>
      </c>
      <c r="L1416" s="383">
        <v>-4373.01</v>
      </c>
    </row>
    <row r="1417" spans="2:12">
      <c r="B1417" s="1050"/>
      <c r="C1417" s="1050"/>
      <c r="D1417" s="382" t="s">
        <v>2708</v>
      </c>
      <c r="E1417" s="382" t="s">
        <v>2319</v>
      </c>
      <c r="F1417" s="382" t="s">
        <v>2342</v>
      </c>
      <c r="G1417" s="382" t="s">
        <v>2349</v>
      </c>
      <c r="H1417" s="383">
        <v>-2448.52</v>
      </c>
      <c r="I1417" s="1046">
        <v>1630.94</v>
      </c>
      <c r="J1417" s="1047"/>
      <c r="K1417" s="383">
        <v>0</v>
      </c>
      <c r="L1417" s="383">
        <v>-4079.46</v>
      </c>
    </row>
    <row r="1418" spans="2:12">
      <c r="B1418" s="1050"/>
      <c r="C1418" s="1050"/>
      <c r="D1418" s="382" t="s">
        <v>2708</v>
      </c>
      <c r="E1418" s="382" t="s">
        <v>2319</v>
      </c>
      <c r="F1418" s="382" t="s">
        <v>2342</v>
      </c>
      <c r="G1418" s="382" t="s">
        <v>2350</v>
      </c>
      <c r="H1418" s="383">
        <v>-5788.6</v>
      </c>
      <c r="I1418" s="1046">
        <v>3149.9</v>
      </c>
      <c r="J1418" s="1047"/>
      <c r="K1418" s="383">
        <v>0</v>
      </c>
      <c r="L1418" s="383">
        <v>-8938.5</v>
      </c>
    </row>
    <row r="1419" spans="2:12">
      <c r="B1419" s="1050"/>
      <c r="C1419" s="1050"/>
      <c r="D1419" s="382" t="s">
        <v>2708</v>
      </c>
      <c r="E1419" s="382" t="s">
        <v>2319</v>
      </c>
      <c r="F1419" s="382" t="s">
        <v>2342</v>
      </c>
      <c r="G1419" s="382" t="s">
        <v>2351</v>
      </c>
      <c r="H1419" s="383">
        <v>-2373.1999999999998</v>
      </c>
      <c r="I1419" s="1046">
        <v>1186.5999999999999</v>
      </c>
      <c r="J1419" s="1047"/>
      <c r="K1419" s="383">
        <v>0</v>
      </c>
      <c r="L1419" s="383">
        <v>-3559.8</v>
      </c>
    </row>
    <row r="1420" spans="2:12">
      <c r="B1420" s="1050"/>
      <c r="C1420" s="1050"/>
      <c r="D1420" s="382" t="s">
        <v>2708</v>
      </c>
      <c r="E1420" s="382" t="s">
        <v>2319</v>
      </c>
      <c r="F1420" s="382" t="s">
        <v>2342</v>
      </c>
      <c r="G1420" s="382" t="s">
        <v>2352</v>
      </c>
      <c r="H1420" s="383">
        <v>-3847.33</v>
      </c>
      <c r="I1420" s="1046">
        <v>1945.43</v>
      </c>
      <c r="J1420" s="1047"/>
      <c r="K1420" s="383">
        <v>0</v>
      </c>
      <c r="L1420" s="383">
        <v>-5792.76</v>
      </c>
    </row>
    <row r="1421" spans="2:12">
      <c r="B1421" s="1050"/>
      <c r="C1421" s="1050"/>
      <c r="D1421" s="382" t="s">
        <v>2708</v>
      </c>
      <c r="E1421" s="382" t="s">
        <v>2319</v>
      </c>
      <c r="F1421" s="382" t="s">
        <v>2342</v>
      </c>
      <c r="G1421" s="382" t="s">
        <v>2353</v>
      </c>
      <c r="H1421" s="383">
        <v>-4195.08</v>
      </c>
      <c r="I1421" s="1046">
        <v>2190.67</v>
      </c>
      <c r="J1421" s="1047"/>
      <c r="K1421" s="383">
        <v>0</v>
      </c>
      <c r="L1421" s="383">
        <v>-6385.75</v>
      </c>
    </row>
    <row r="1422" spans="2:12">
      <c r="B1422" s="1050"/>
      <c r="C1422" s="1050"/>
      <c r="D1422" s="382" t="s">
        <v>2708</v>
      </c>
      <c r="E1422" s="382" t="s">
        <v>2319</v>
      </c>
      <c r="F1422" s="382" t="s">
        <v>2342</v>
      </c>
      <c r="G1422" s="382" t="s">
        <v>405</v>
      </c>
      <c r="H1422" s="383">
        <v>-2754.3</v>
      </c>
      <c r="I1422" s="1046">
        <v>1377.15</v>
      </c>
      <c r="J1422" s="1047"/>
      <c r="K1422" s="383">
        <v>0</v>
      </c>
      <c r="L1422" s="383">
        <v>-4131.45</v>
      </c>
    </row>
    <row r="1423" spans="2:12">
      <c r="B1423" s="1050"/>
      <c r="C1423" s="1050"/>
      <c r="D1423" s="382" t="s">
        <v>2708</v>
      </c>
      <c r="E1423" s="382" t="s">
        <v>2319</v>
      </c>
      <c r="F1423" s="382" t="s">
        <v>2342</v>
      </c>
      <c r="G1423" s="382" t="s">
        <v>2355</v>
      </c>
      <c r="H1423" s="383">
        <v>-232676.83</v>
      </c>
      <c r="I1423" s="1046">
        <v>11002.74</v>
      </c>
      <c r="J1423" s="1047"/>
      <c r="K1423" s="383">
        <v>0</v>
      </c>
      <c r="L1423" s="383">
        <v>-243679.57</v>
      </c>
    </row>
    <row r="1424" spans="2:12">
      <c r="B1424" s="1050"/>
      <c r="C1424" s="1050"/>
      <c r="D1424" s="382" t="s">
        <v>2709</v>
      </c>
      <c r="E1424" s="382" t="s">
        <v>2320</v>
      </c>
      <c r="F1424" s="382" t="s">
        <v>2342</v>
      </c>
      <c r="G1424" s="382" t="s">
        <v>2343</v>
      </c>
      <c r="H1424" s="383">
        <v>-176.82</v>
      </c>
      <c r="I1424" s="1046">
        <v>1906.19</v>
      </c>
      <c r="J1424" s="1047"/>
      <c r="K1424" s="383">
        <v>0</v>
      </c>
      <c r="L1424" s="383">
        <v>-2083.0100000000002</v>
      </c>
    </row>
    <row r="1425" spans="2:12">
      <c r="B1425" s="1050"/>
      <c r="C1425" s="1050"/>
      <c r="D1425" s="382" t="s">
        <v>2709</v>
      </c>
      <c r="E1425" s="382" t="s">
        <v>2320</v>
      </c>
      <c r="F1425" s="382" t="s">
        <v>2342</v>
      </c>
      <c r="G1425" s="382" t="s">
        <v>2344</v>
      </c>
      <c r="H1425" s="383">
        <v>-2781.6</v>
      </c>
      <c r="I1425" s="1046">
        <v>1560.42</v>
      </c>
      <c r="J1425" s="1047"/>
      <c r="K1425" s="383">
        <v>0</v>
      </c>
      <c r="L1425" s="383">
        <v>-4342.0200000000004</v>
      </c>
    </row>
    <row r="1426" spans="2:12">
      <c r="B1426" s="1050"/>
      <c r="C1426" s="1050"/>
      <c r="D1426" s="382" t="s">
        <v>2709</v>
      </c>
      <c r="E1426" s="382" t="s">
        <v>2320</v>
      </c>
      <c r="F1426" s="382" t="s">
        <v>2342</v>
      </c>
      <c r="G1426" s="382" t="s">
        <v>2345</v>
      </c>
      <c r="H1426" s="383">
        <v>-2899.74</v>
      </c>
      <c r="I1426" s="1046">
        <v>1449.87</v>
      </c>
      <c r="J1426" s="1047"/>
      <c r="K1426" s="383">
        <v>0</v>
      </c>
      <c r="L1426" s="383">
        <v>-4349.6099999999997</v>
      </c>
    </row>
    <row r="1427" spans="2:12">
      <c r="B1427" s="1050"/>
      <c r="C1427" s="1050"/>
      <c r="D1427" s="382" t="s">
        <v>2709</v>
      </c>
      <c r="E1427" s="382" t="s">
        <v>2320</v>
      </c>
      <c r="F1427" s="382" t="s">
        <v>2342</v>
      </c>
      <c r="G1427" s="382" t="s">
        <v>2346</v>
      </c>
      <c r="H1427" s="383">
        <v>-2774.64</v>
      </c>
      <c r="I1427" s="1046">
        <v>1387.32</v>
      </c>
      <c r="J1427" s="1047"/>
      <c r="K1427" s="383">
        <v>0</v>
      </c>
      <c r="L1427" s="383">
        <v>-4161.96</v>
      </c>
    </row>
    <row r="1428" spans="2:12">
      <c r="B1428" s="1050"/>
      <c r="C1428" s="1050"/>
      <c r="D1428" s="382" t="s">
        <v>2709</v>
      </c>
      <c r="E1428" s="382" t="s">
        <v>2320</v>
      </c>
      <c r="F1428" s="382" t="s">
        <v>2342</v>
      </c>
      <c r="G1428" s="382" t="s">
        <v>2347</v>
      </c>
      <c r="H1428" s="383">
        <v>-8246.35</v>
      </c>
      <c r="I1428" s="1046">
        <v>4184.3500000000004</v>
      </c>
      <c r="J1428" s="1047"/>
      <c r="K1428" s="383">
        <v>0</v>
      </c>
      <c r="L1428" s="383">
        <v>-12430.7</v>
      </c>
    </row>
    <row r="1429" spans="2:12">
      <c r="B1429" s="1050"/>
      <c r="C1429" s="1050"/>
      <c r="D1429" s="382" t="s">
        <v>2709</v>
      </c>
      <c r="E1429" s="382" t="s">
        <v>2320</v>
      </c>
      <c r="F1429" s="382" t="s">
        <v>2342</v>
      </c>
      <c r="G1429" s="382" t="s">
        <v>2348</v>
      </c>
      <c r="H1429" s="383">
        <v>-4417.96</v>
      </c>
      <c r="I1429" s="1046">
        <v>2208.98</v>
      </c>
      <c r="J1429" s="1047"/>
      <c r="K1429" s="383">
        <v>0</v>
      </c>
      <c r="L1429" s="383">
        <v>-6626.94</v>
      </c>
    </row>
    <row r="1430" spans="2:12">
      <c r="B1430" s="1050"/>
      <c r="C1430" s="1050"/>
      <c r="D1430" s="382" t="s">
        <v>2709</v>
      </c>
      <c r="E1430" s="382" t="s">
        <v>2320</v>
      </c>
      <c r="F1430" s="382" t="s">
        <v>2342</v>
      </c>
      <c r="G1430" s="382" t="s">
        <v>2349</v>
      </c>
      <c r="H1430" s="383">
        <v>-1992.88</v>
      </c>
      <c r="I1430" s="1046">
        <v>996.44</v>
      </c>
      <c r="J1430" s="1047"/>
      <c r="K1430" s="383">
        <v>0</v>
      </c>
      <c r="L1430" s="383">
        <v>-2989.32</v>
      </c>
    </row>
    <row r="1431" spans="2:12">
      <c r="B1431" s="1050"/>
      <c r="C1431" s="1050"/>
      <c r="D1431" s="382" t="s">
        <v>2709</v>
      </c>
      <c r="E1431" s="382" t="s">
        <v>2320</v>
      </c>
      <c r="F1431" s="382" t="s">
        <v>2342</v>
      </c>
      <c r="G1431" s="382" t="s">
        <v>2350</v>
      </c>
      <c r="H1431" s="383">
        <v>-13062.26</v>
      </c>
      <c r="I1431" s="1046">
        <v>6531.13</v>
      </c>
      <c r="J1431" s="1047"/>
      <c r="K1431" s="383">
        <v>0</v>
      </c>
      <c r="L1431" s="383">
        <v>-19593.39</v>
      </c>
    </row>
    <row r="1432" spans="2:12">
      <c r="B1432" s="1050"/>
      <c r="C1432" s="1050"/>
      <c r="D1432" s="382" t="s">
        <v>2709</v>
      </c>
      <c r="E1432" s="382" t="s">
        <v>2320</v>
      </c>
      <c r="F1432" s="382" t="s">
        <v>2342</v>
      </c>
      <c r="G1432" s="382" t="s">
        <v>2351</v>
      </c>
      <c r="H1432" s="383">
        <v>-4063.46</v>
      </c>
      <c r="I1432" s="1046">
        <v>2031.73</v>
      </c>
      <c r="J1432" s="1047"/>
      <c r="K1432" s="383">
        <v>0</v>
      </c>
      <c r="L1432" s="383">
        <v>-6095.19</v>
      </c>
    </row>
    <row r="1433" spans="2:12">
      <c r="B1433" s="1050"/>
      <c r="C1433" s="1050"/>
      <c r="D1433" s="382" t="s">
        <v>2709</v>
      </c>
      <c r="E1433" s="382" t="s">
        <v>2320</v>
      </c>
      <c r="F1433" s="382" t="s">
        <v>2342</v>
      </c>
      <c r="G1433" s="382" t="s">
        <v>2352</v>
      </c>
      <c r="H1433" s="383">
        <v>-4419.96</v>
      </c>
      <c r="I1433" s="1046">
        <v>2209.98</v>
      </c>
      <c r="J1433" s="1047"/>
      <c r="K1433" s="383">
        <v>0</v>
      </c>
      <c r="L1433" s="383">
        <v>-6629.94</v>
      </c>
    </row>
    <row r="1434" spans="2:12">
      <c r="B1434" s="1050"/>
      <c r="C1434" s="1050"/>
      <c r="D1434" s="382" t="s">
        <v>2709</v>
      </c>
      <c r="E1434" s="382" t="s">
        <v>2320</v>
      </c>
      <c r="F1434" s="382" t="s">
        <v>2342</v>
      </c>
      <c r="G1434" s="382" t="s">
        <v>2353</v>
      </c>
      <c r="H1434" s="383">
        <v>-4738.12</v>
      </c>
      <c r="I1434" s="1046">
        <v>2369.06</v>
      </c>
      <c r="J1434" s="1047"/>
      <c r="K1434" s="383">
        <v>0</v>
      </c>
      <c r="L1434" s="383">
        <v>-7107.18</v>
      </c>
    </row>
    <row r="1435" spans="2:12">
      <c r="B1435" s="1050"/>
      <c r="C1435" s="1050"/>
      <c r="D1435" s="382" t="s">
        <v>2709</v>
      </c>
      <c r="E1435" s="382" t="s">
        <v>2320</v>
      </c>
      <c r="F1435" s="382" t="s">
        <v>2342</v>
      </c>
      <c r="G1435" s="382" t="s">
        <v>405</v>
      </c>
      <c r="H1435" s="383">
        <v>-5565.16</v>
      </c>
      <c r="I1435" s="1046">
        <v>2782.58</v>
      </c>
      <c r="J1435" s="1047"/>
      <c r="K1435" s="383">
        <v>0</v>
      </c>
      <c r="L1435" s="383">
        <v>-8347.74</v>
      </c>
    </row>
    <row r="1436" spans="2:12">
      <c r="B1436" s="1050"/>
      <c r="C1436" s="1050"/>
      <c r="D1436" s="382" t="s">
        <v>2709</v>
      </c>
      <c r="E1436" s="382" t="s">
        <v>2320</v>
      </c>
      <c r="F1436" s="382" t="s">
        <v>2342</v>
      </c>
      <c r="G1436" s="382" t="s">
        <v>2355</v>
      </c>
      <c r="H1436" s="383">
        <v>-306034.69</v>
      </c>
      <c r="I1436" s="1046">
        <v>6594.55</v>
      </c>
      <c r="J1436" s="1047"/>
      <c r="K1436" s="383">
        <v>0</v>
      </c>
      <c r="L1436" s="383">
        <v>-312629.24</v>
      </c>
    </row>
    <row r="1437" spans="2:12">
      <c r="B1437" s="1050"/>
      <c r="C1437" s="1050"/>
      <c r="D1437" s="382" t="s">
        <v>2710</v>
      </c>
      <c r="E1437" s="382" t="s">
        <v>2321</v>
      </c>
      <c r="F1437" s="382" t="s">
        <v>2342</v>
      </c>
      <c r="G1437" s="382" t="s">
        <v>2355</v>
      </c>
      <c r="H1437" s="383">
        <v>-71849.56</v>
      </c>
      <c r="I1437" s="1046">
        <v>35219.19</v>
      </c>
      <c r="J1437" s="1047"/>
      <c r="K1437" s="383">
        <v>13333</v>
      </c>
      <c r="L1437" s="383">
        <v>-93735.75</v>
      </c>
    </row>
    <row r="1438" spans="2:12">
      <c r="B1438" s="1050"/>
      <c r="C1438" s="1050"/>
      <c r="D1438" s="382" t="s">
        <v>2711</v>
      </c>
      <c r="E1438" s="382" t="s">
        <v>2322</v>
      </c>
      <c r="F1438" s="382" t="s">
        <v>2342</v>
      </c>
      <c r="G1438" s="382" t="s">
        <v>2343</v>
      </c>
      <c r="H1438" s="383">
        <v>-446.51</v>
      </c>
      <c r="I1438" s="1046">
        <v>191.16</v>
      </c>
      <c r="J1438" s="1047"/>
      <c r="K1438" s="383">
        <v>0</v>
      </c>
      <c r="L1438" s="383">
        <v>-637.66999999999996</v>
      </c>
    </row>
    <row r="1439" spans="2:12">
      <c r="B1439" s="1050"/>
      <c r="C1439" s="1050"/>
      <c r="D1439" s="382" t="s">
        <v>2711</v>
      </c>
      <c r="E1439" s="382" t="s">
        <v>2322</v>
      </c>
      <c r="F1439" s="382" t="s">
        <v>2342</v>
      </c>
      <c r="G1439" s="382" t="s">
        <v>2344</v>
      </c>
      <c r="H1439" s="383">
        <v>-355.84</v>
      </c>
      <c r="I1439" s="1046">
        <v>177.92</v>
      </c>
      <c r="J1439" s="1047"/>
      <c r="K1439" s="383">
        <v>0</v>
      </c>
      <c r="L1439" s="383">
        <v>-533.76</v>
      </c>
    </row>
    <row r="1440" spans="2:12">
      <c r="B1440" s="1050"/>
      <c r="C1440" s="1050"/>
      <c r="D1440" s="382" t="s">
        <v>2711</v>
      </c>
      <c r="E1440" s="382" t="s">
        <v>2322</v>
      </c>
      <c r="F1440" s="382" t="s">
        <v>2342</v>
      </c>
      <c r="G1440" s="382" t="s">
        <v>2345</v>
      </c>
      <c r="H1440" s="383">
        <v>-1087.94</v>
      </c>
      <c r="I1440" s="1046">
        <v>543.97</v>
      </c>
      <c r="J1440" s="1047"/>
      <c r="K1440" s="383">
        <v>0</v>
      </c>
      <c r="L1440" s="383">
        <v>-1631.91</v>
      </c>
    </row>
    <row r="1441" spans="2:12">
      <c r="B1441" s="1050"/>
      <c r="C1441" s="1050"/>
      <c r="D1441" s="382" t="s">
        <v>2711</v>
      </c>
      <c r="E1441" s="382" t="s">
        <v>2322</v>
      </c>
      <c r="F1441" s="382" t="s">
        <v>2342</v>
      </c>
      <c r="G1441" s="382" t="s">
        <v>2346</v>
      </c>
      <c r="H1441" s="383">
        <v>-295.22000000000003</v>
      </c>
      <c r="I1441" s="1046">
        <v>147.61000000000001</v>
      </c>
      <c r="J1441" s="1047"/>
      <c r="K1441" s="383">
        <v>0</v>
      </c>
      <c r="L1441" s="383">
        <v>-442.83</v>
      </c>
    </row>
    <row r="1442" spans="2:12">
      <c r="B1442" s="1050"/>
      <c r="C1442" s="1050"/>
      <c r="D1442" s="382" t="s">
        <v>2711</v>
      </c>
      <c r="E1442" s="382" t="s">
        <v>2322</v>
      </c>
      <c r="F1442" s="382" t="s">
        <v>2342</v>
      </c>
      <c r="G1442" s="382" t="s">
        <v>2347</v>
      </c>
      <c r="H1442" s="383">
        <v>-756.96</v>
      </c>
      <c r="I1442" s="1046">
        <v>378.48</v>
      </c>
      <c r="J1442" s="1047"/>
      <c r="K1442" s="383">
        <v>0</v>
      </c>
      <c r="L1442" s="383">
        <v>-1135.44</v>
      </c>
    </row>
    <row r="1443" spans="2:12">
      <c r="B1443" s="1050"/>
      <c r="C1443" s="1050"/>
      <c r="D1443" s="382" t="s">
        <v>2711</v>
      </c>
      <c r="E1443" s="382" t="s">
        <v>2322</v>
      </c>
      <c r="F1443" s="382" t="s">
        <v>2342</v>
      </c>
      <c r="G1443" s="382" t="s">
        <v>2348</v>
      </c>
      <c r="H1443" s="383">
        <v>-730.39</v>
      </c>
      <c r="I1443" s="1046">
        <v>347.28</v>
      </c>
      <c r="J1443" s="1047"/>
      <c r="K1443" s="383">
        <v>0</v>
      </c>
      <c r="L1443" s="383">
        <v>-1077.67</v>
      </c>
    </row>
    <row r="1444" spans="2:12">
      <c r="B1444" s="1050"/>
      <c r="C1444" s="1050"/>
      <c r="D1444" s="382" t="s">
        <v>2711</v>
      </c>
      <c r="E1444" s="382" t="s">
        <v>2322</v>
      </c>
      <c r="F1444" s="382" t="s">
        <v>2342</v>
      </c>
      <c r="G1444" s="382" t="s">
        <v>2349</v>
      </c>
      <c r="H1444" s="383">
        <v>-154.06</v>
      </c>
      <c r="I1444" s="1046">
        <v>77.03</v>
      </c>
      <c r="J1444" s="1047"/>
      <c r="K1444" s="383">
        <v>0</v>
      </c>
      <c r="L1444" s="383">
        <v>-231.09</v>
      </c>
    </row>
    <row r="1445" spans="2:12">
      <c r="B1445" s="1050"/>
      <c r="C1445" s="1050"/>
      <c r="D1445" s="382" t="s">
        <v>2711</v>
      </c>
      <c r="E1445" s="382" t="s">
        <v>2322</v>
      </c>
      <c r="F1445" s="382" t="s">
        <v>2342</v>
      </c>
      <c r="G1445" s="382" t="s">
        <v>2350</v>
      </c>
      <c r="H1445" s="383">
        <v>-641.28</v>
      </c>
      <c r="I1445" s="1046">
        <v>320.64</v>
      </c>
      <c r="J1445" s="1047"/>
      <c r="K1445" s="383">
        <v>0</v>
      </c>
      <c r="L1445" s="383">
        <v>-961.92</v>
      </c>
    </row>
    <row r="1446" spans="2:12">
      <c r="B1446" s="1050"/>
      <c r="C1446" s="1050"/>
      <c r="D1446" s="382" t="s">
        <v>2711</v>
      </c>
      <c r="E1446" s="382" t="s">
        <v>2322</v>
      </c>
      <c r="F1446" s="382" t="s">
        <v>2342</v>
      </c>
      <c r="G1446" s="382" t="s">
        <v>2351</v>
      </c>
      <c r="H1446" s="383">
        <v>-1880.76</v>
      </c>
      <c r="I1446" s="1046">
        <v>214.6</v>
      </c>
      <c r="J1446" s="1047"/>
      <c r="K1446" s="383">
        <v>0</v>
      </c>
      <c r="L1446" s="383">
        <v>-2095.36</v>
      </c>
    </row>
    <row r="1447" spans="2:12">
      <c r="B1447" s="1050"/>
      <c r="C1447" s="1050"/>
      <c r="D1447" s="382" t="s">
        <v>2711</v>
      </c>
      <c r="E1447" s="382" t="s">
        <v>2322</v>
      </c>
      <c r="F1447" s="382" t="s">
        <v>2342</v>
      </c>
      <c r="G1447" s="382" t="s">
        <v>2352</v>
      </c>
      <c r="H1447" s="383">
        <v>-1682.38</v>
      </c>
      <c r="I1447" s="1046">
        <v>841.19</v>
      </c>
      <c r="J1447" s="1047"/>
      <c r="K1447" s="383">
        <v>0</v>
      </c>
      <c r="L1447" s="383">
        <v>-2523.5700000000002</v>
      </c>
    </row>
    <row r="1448" spans="2:12">
      <c r="B1448" s="1050"/>
      <c r="C1448" s="1050"/>
      <c r="D1448" s="382" t="s">
        <v>2711</v>
      </c>
      <c r="E1448" s="382" t="s">
        <v>2322</v>
      </c>
      <c r="F1448" s="382" t="s">
        <v>2342</v>
      </c>
      <c r="G1448" s="382" t="s">
        <v>2353</v>
      </c>
      <c r="H1448" s="383">
        <v>-1338.96</v>
      </c>
      <c r="I1448" s="1046">
        <v>669.48</v>
      </c>
      <c r="J1448" s="1047"/>
      <c r="K1448" s="383">
        <v>0</v>
      </c>
      <c r="L1448" s="383">
        <v>-2008.44</v>
      </c>
    </row>
    <row r="1449" spans="2:12">
      <c r="B1449" s="1050"/>
      <c r="C1449" s="1050"/>
      <c r="D1449" s="382" t="s">
        <v>2711</v>
      </c>
      <c r="E1449" s="382" t="s">
        <v>2322</v>
      </c>
      <c r="F1449" s="382" t="s">
        <v>2342</v>
      </c>
      <c r="G1449" s="382" t="s">
        <v>405</v>
      </c>
      <c r="H1449" s="383">
        <v>-23.88</v>
      </c>
      <c r="I1449" s="1046">
        <v>11.94</v>
      </c>
      <c r="J1449" s="1047"/>
      <c r="K1449" s="383">
        <v>0</v>
      </c>
      <c r="L1449" s="383">
        <v>-35.82</v>
      </c>
    </row>
    <row r="1450" spans="2:12">
      <c r="B1450" s="1050"/>
      <c r="C1450" s="1050"/>
      <c r="D1450" s="382" t="s">
        <v>2711</v>
      </c>
      <c r="E1450" s="382" t="s">
        <v>2322</v>
      </c>
      <c r="F1450" s="382" t="s">
        <v>2342</v>
      </c>
      <c r="G1450" s="382" t="s">
        <v>2355</v>
      </c>
      <c r="H1450" s="383">
        <v>-105351.42</v>
      </c>
      <c r="I1450" s="1046">
        <v>4160.74</v>
      </c>
      <c r="J1450" s="1047"/>
      <c r="K1450" s="383">
        <v>0</v>
      </c>
      <c r="L1450" s="383">
        <v>-109512.16</v>
      </c>
    </row>
    <row r="1451" spans="2:12">
      <c r="B1451" s="1050"/>
      <c r="C1451" s="1051"/>
      <c r="D1451" s="359" t="s">
        <v>12</v>
      </c>
      <c r="E1451" s="359" t="s">
        <v>111</v>
      </c>
      <c r="F1451" s="359" t="s">
        <v>111</v>
      </c>
      <c r="G1451" s="359" t="s">
        <v>111</v>
      </c>
      <c r="H1451" s="384">
        <v>-1474371.55</v>
      </c>
      <c r="I1451" s="1048">
        <v>177203.77</v>
      </c>
      <c r="J1451" s="1047"/>
      <c r="K1451" s="384">
        <v>13333</v>
      </c>
      <c r="L1451" s="384">
        <v>-1638242.32</v>
      </c>
    </row>
    <row r="1452" spans="2:12">
      <c r="B1452" s="1050"/>
      <c r="C1452" s="1049" t="s">
        <v>2712</v>
      </c>
      <c r="D1452" s="382" t="s">
        <v>2713</v>
      </c>
      <c r="E1452" s="382" t="s">
        <v>2323</v>
      </c>
      <c r="F1452" s="382" t="s">
        <v>2342</v>
      </c>
      <c r="G1452" s="382" t="s">
        <v>2355</v>
      </c>
      <c r="H1452" s="383">
        <v>-126124.38</v>
      </c>
      <c r="I1452" s="1046">
        <v>0</v>
      </c>
      <c r="J1452" s="1047"/>
      <c r="K1452" s="383">
        <f>126124.38+697856</f>
        <v>823980.38</v>
      </c>
      <c r="L1452" s="383">
        <f>H1452+K1452-I1452</f>
        <v>697856</v>
      </c>
    </row>
    <row r="1453" spans="2:12">
      <c r="B1453" s="1050"/>
      <c r="C1453" s="1051"/>
      <c r="D1453" s="359" t="s">
        <v>12</v>
      </c>
      <c r="E1453" s="359" t="s">
        <v>111</v>
      </c>
      <c r="F1453" s="359" t="s">
        <v>111</v>
      </c>
      <c r="G1453" s="359" t="s">
        <v>111</v>
      </c>
      <c r="H1453" s="384">
        <f>H1452</f>
        <v>-126124.38</v>
      </c>
      <c r="I1453" s="1048">
        <f>I1452</f>
        <v>0</v>
      </c>
      <c r="J1453" s="1047"/>
      <c r="K1453" s="384">
        <f>K1452</f>
        <v>823980.38</v>
      </c>
      <c r="L1453" s="384">
        <f>L1452</f>
        <v>697856</v>
      </c>
    </row>
    <row r="1454" spans="2:12">
      <c r="B1454" s="1050"/>
      <c r="C1454" s="1049" t="s">
        <v>2714</v>
      </c>
      <c r="D1454" s="382" t="s">
        <v>2715</v>
      </c>
      <c r="E1454" s="382" t="s">
        <v>2324</v>
      </c>
      <c r="F1454" s="382" t="s">
        <v>2342</v>
      </c>
      <c r="G1454" s="382" t="s">
        <v>2355</v>
      </c>
      <c r="H1454" s="383">
        <v>-1551750.34</v>
      </c>
      <c r="I1454" s="1046">
        <f>452332.57</f>
        <v>452332.57</v>
      </c>
      <c r="J1454" s="1047"/>
      <c r="K1454" s="383">
        <v>83772</v>
      </c>
      <c r="L1454" s="383">
        <f>H1454+K1454-I1454</f>
        <v>-1920310.9100000001</v>
      </c>
    </row>
    <row r="1455" spans="2:12">
      <c r="B1455" s="1050"/>
      <c r="C1455" s="1050"/>
      <c r="D1455" s="382" t="s">
        <v>2716</v>
      </c>
      <c r="E1455" s="382" t="s">
        <v>2325</v>
      </c>
      <c r="F1455" s="382" t="s">
        <v>2342</v>
      </c>
      <c r="G1455" s="382" t="s">
        <v>2355</v>
      </c>
      <c r="H1455" s="383">
        <v>-296690.7</v>
      </c>
      <c r="I1455" s="1046">
        <v>0</v>
      </c>
      <c r="J1455" s="1047"/>
      <c r="K1455" s="383">
        <v>0</v>
      </c>
      <c r="L1455" s="383">
        <v>-296690.7</v>
      </c>
    </row>
    <row r="1456" spans="2:12">
      <c r="B1456" s="1050"/>
      <c r="C1456" s="1051"/>
      <c r="D1456" s="359" t="s">
        <v>12</v>
      </c>
      <c r="E1456" s="359" t="s">
        <v>111</v>
      </c>
      <c r="F1456" s="359" t="s">
        <v>111</v>
      </c>
      <c r="G1456" s="359" t="s">
        <v>111</v>
      </c>
      <c r="H1456" s="384">
        <f>SUM(H1454:H1455)</f>
        <v>-1848441.04</v>
      </c>
      <c r="I1456" s="1048">
        <f>SUM(I1454:I1455)</f>
        <v>452332.57</v>
      </c>
      <c r="J1456" s="1047">
        <f>SUM(J1454:J1455)</f>
        <v>0</v>
      </c>
      <c r="K1456" s="384">
        <f>SUM(K1454:K1455)</f>
        <v>83772</v>
      </c>
      <c r="L1456" s="384">
        <f>SUM(L1454:L1455)</f>
        <v>-2217001.6100000003</v>
      </c>
    </row>
    <row r="1457" spans="2:12">
      <c r="B1457" s="1051"/>
      <c r="C1457" s="360" t="s">
        <v>12</v>
      </c>
      <c r="D1457" s="360" t="s">
        <v>111</v>
      </c>
      <c r="E1457" s="360" t="s">
        <v>111</v>
      </c>
      <c r="F1457" s="360" t="s">
        <v>111</v>
      </c>
      <c r="G1457" s="360" t="s">
        <v>111</v>
      </c>
      <c r="H1457" s="385">
        <v>-71634331.329999998</v>
      </c>
      <c r="I1457" s="1055">
        <v>30102909.48</v>
      </c>
      <c r="J1457" s="1047"/>
      <c r="K1457" s="385">
        <v>22619596.940000001</v>
      </c>
      <c r="L1457" s="385">
        <v>-79117643.870000005</v>
      </c>
    </row>
    <row r="1458" spans="2:12">
      <c r="B1458" s="1049" t="s">
        <v>2717</v>
      </c>
      <c r="C1458" s="1049" t="s">
        <v>2718</v>
      </c>
      <c r="D1458" s="382" t="s">
        <v>2719</v>
      </c>
      <c r="E1458" s="382" t="s">
        <v>2720</v>
      </c>
      <c r="F1458" s="382" t="s">
        <v>2342</v>
      </c>
      <c r="G1458" s="382" t="s">
        <v>2355</v>
      </c>
      <c r="H1458" s="383">
        <v>208515.9</v>
      </c>
      <c r="I1458" s="1046">
        <v>241.89</v>
      </c>
      <c r="J1458" s="1047"/>
      <c r="K1458" s="383">
        <v>34098.97</v>
      </c>
      <c r="L1458" s="383">
        <v>242372.98</v>
      </c>
    </row>
    <row r="1459" spans="2:12">
      <c r="B1459" s="1050"/>
      <c r="C1459" s="1051"/>
      <c r="D1459" s="359" t="s">
        <v>12</v>
      </c>
      <c r="E1459" s="359" t="s">
        <v>111</v>
      </c>
      <c r="F1459" s="359" t="s">
        <v>111</v>
      </c>
      <c r="G1459" s="359" t="s">
        <v>111</v>
      </c>
      <c r="H1459" s="384">
        <v>208515.9</v>
      </c>
      <c r="I1459" s="1048">
        <v>241.89</v>
      </c>
      <c r="J1459" s="1047"/>
      <c r="K1459" s="384">
        <v>34098.97</v>
      </c>
      <c r="L1459" s="384">
        <v>242372.98</v>
      </c>
    </row>
    <row r="1460" spans="2:12">
      <c r="B1460" s="1050"/>
      <c r="C1460" s="1049" t="s">
        <v>2721</v>
      </c>
      <c r="D1460" s="382" t="s">
        <v>2722</v>
      </c>
      <c r="E1460" s="382" t="s">
        <v>2181</v>
      </c>
      <c r="F1460" s="382" t="s">
        <v>2342</v>
      </c>
      <c r="G1460" s="382" t="s">
        <v>2343</v>
      </c>
      <c r="H1460" s="383">
        <v>177271.03</v>
      </c>
      <c r="I1460" s="1046">
        <v>1350.41</v>
      </c>
      <c r="J1460" s="1047"/>
      <c r="K1460" s="383">
        <v>106008.56</v>
      </c>
      <c r="L1460" s="383">
        <v>281929.18</v>
      </c>
    </row>
    <row r="1461" spans="2:12">
      <c r="B1461" s="1050"/>
      <c r="C1461" s="1050"/>
      <c r="D1461" s="382" t="s">
        <v>2722</v>
      </c>
      <c r="E1461" s="382" t="s">
        <v>2181</v>
      </c>
      <c r="F1461" s="382" t="s">
        <v>2342</v>
      </c>
      <c r="G1461" s="382" t="s">
        <v>2344</v>
      </c>
      <c r="H1461" s="383">
        <v>117579.14</v>
      </c>
      <c r="I1461" s="1046">
        <v>1342.41</v>
      </c>
      <c r="J1461" s="1047"/>
      <c r="K1461" s="383">
        <v>60079.05</v>
      </c>
      <c r="L1461" s="383">
        <v>176315.78</v>
      </c>
    </row>
    <row r="1462" spans="2:12">
      <c r="B1462" s="1050"/>
      <c r="C1462" s="1050"/>
      <c r="D1462" s="382" t="s">
        <v>2722</v>
      </c>
      <c r="E1462" s="382" t="s">
        <v>2181</v>
      </c>
      <c r="F1462" s="382" t="s">
        <v>2342</v>
      </c>
      <c r="G1462" s="382" t="s">
        <v>2345</v>
      </c>
      <c r="H1462" s="383">
        <v>88456.63</v>
      </c>
      <c r="I1462" s="1046">
        <v>1148.19</v>
      </c>
      <c r="J1462" s="1047"/>
      <c r="K1462" s="383">
        <v>40721.379999999997</v>
      </c>
      <c r="L1462" s="383">
        <v>128029.82</v>
      </c>
    </row>
    <row r="1463" spans="2:12">
      <c r="B1463" s="1050"/>
      <c r="C1463" s="1050"/>
      <c r="D1463" s="382" t="s">
        <v>2722</v>
      </c>
      <c r="E1463" s="382" t="s">
        <v>2181</v>
      </c>
      <c r="F1463" s="382" t="s">
        <v>2342</v>
      </c>
      <c r="G1463" s="382" t="s">
        <v>2346</v>
      </c>
      <c r="H1463" s="383">
        <v>54901.58</v>
      </c>
      <c r="I1463" s="1046">
        <v>468.31</v>
      </c>
      <c r="J1463" s="1047"/>
      <c r="K1463" s="383">
        <v>32444.03</v>
      </c>
      <c r="L1463" s="383">
        <v>86877.3</v>
      </c>
    </row>
    <row r="1464" spans="2:12">
      <c r="B1464" s="1050"/>
      <c r="C1464" s="1050"/>
      <c r="D1464" s="382" t="s">
        <v>2722</v>
      </c>
      <c r="E1464" s="382" t="s">
        <v>2181</v>
      </c>
      <c r="F1464" s="382" t="s">
        <v>2342</v>
      </c>
      <c r="G1464" s="382" t="s">
        <v>2347</v>
      </c>
      <c r="H1464" s="383">
        <v>136667.14000000001</v>
      </c>
      <c r="I1464" s="1046">
        <v>13456.64</v>
      </c>
      <c r="J1464" s="1047"/>
      <c r="K1464" s="383">
        <v>88477.89</v>
      </c>
      <c r="L1464" s="383">
        <v>211688.39</v>
      </c>
    </row>
    <row r="1465" spans="2:12">
      <c r="B1465" s="1050"/>
      <c r="C1465" s="1050"/>
      <c r="D1465" s="382" t="s">
        <v>2722</v>
      </c>
      <c r="E1465" s="382" t="s">
        <v>2181</v>
      </c>
      <c r="F1465" s="382" t="s">
        <v>2342</v>
      </c>
      <c r="G1465" s="382" t="s">
        <v>2348</v>
      </c>
      <c r="H1465" s="383">
        <v>165439.79</v>
      </c>
      <c r="I1465" s="1046">
        <v>11164.15</v>
      </c>
      <c r="J1465" s="1047"/>
      <c r="K1465" s="383">
        <v>108108.51</v>
      </c>
      <c r="L1465" s="383">
        <v>262384.15000000002</v>
      </c>
    </row>
    <row r="1466" spans="2:12">
      <c r="B1466" s="1050"/>
      <c r="C1466" s="1050"/>
      <c r="D1466" s="382" t="s">
        <v>2722</v>
      </c>
      <c r="E1466" s="382" t="s">
        <v>2181</v>
      </c>
      <c r="F1466" s="382" t="s">
        <v>2342</v>
      </c>
      <c r="G1466" s="382" t="s">
        <v>2349</v>
      </c>
      <c r="H1466" s="383">
        <v>169653.97</v>
      </c>
      <c r="I1466" s="1046">
        <v>3628.01</v>
      </c>
      <c r="J1466" s="1047"/>
      <c r="K1466" s="383">
        <v>101617.17</v>
      </c>
      <c r="L1466" s="383">
        <v>267643.13</v>
      </c>
    </row>
    <row r="1467" spans="2:12">
      <c r="B1467" s="1050"/>
      <c r="C1467" s="1050"/>
      <c r="D1467" s="382" t="s">
        <v>2722</v>
      </c>
      <c r="E1467" s="382" t="s">
        <v>2181</v>
      </c>
      <c r="F1467" s="382" t="s">
        <v>2342</v>
      </c>
      <c r="G1467" s="382" t="s">
        <v>2350</v>
      </c>
      <c r="H1467" s="383">
        <v>111952.23</v>
      </c>
      <c r="I1467" s="1046">
        <v>492.48</v>
      </c>
      <c r="J1467" s="1047"/>
      <c r="K1467" s="383">
        <v>64114.04</v>
      </c>
      <c r="L1467" s="383">
        <v>175573.79</v>
      </c>
    </row>
    <row r="1468" spans="2:12">
      <c r="B1468" s="1050"/>
      <c r="C1468" s="1050"/>
      <c r="D1468" s="382" t="s">
        <v>2722</v>
      </c>
      <c r="E1468" s="382" t="s">
        <v>2181</v>
      </c>
      <c r="F1468" s="382" t="s">
        <v>2342</v>
      </c>
      <c r="G1468" s="382" t="s">
        <v>2351</v>
      </c>
      <c r="H1468" s="383">
        <v>20847.89</v>
      </c>
      <c r="I1468" s="1046">
        <v>649.37</v>
      </c>
      <c r="J1468" s="1047"/>
      <c r="K1468" s="383">
        <v>12871.94</v>
      </c>
      <c r="L1468" s="383">
        <v>33070.46</v>
      </c>
    </row>
    <row r="1469" spans="2:12">
      <c r="B1469" s="1050"/>
      <c r="C1469" s="1050"/>
      <c r="D1469" s="382" t="s">
        <v>2722</v>
      </c>
      <c r="E1469" s="382" t="s">
        <v>2181</v>
      </c>
      <c r="F1469" s="382" t="s">
        <v>2342</v>
      </c>
      <c r="G1469" s="382" t="s">
        <v>2352</v>
      </c>
      <c r="H1469" s="383">
        <v>74468.77</v>
      </c>
      <c r="I1469" s="1046">
        <v>1488.28</v>
      </c>
      <c r="J1469" s="1047"/>
      <c r="K1469" s="383">
        <v>42616.66</v>
      </c>
      <c r="L1469" s="383">
        <v>115597.15</v>
      </c>
    </row>
    <row r="1470" spans="2:12">
      <c r="B1470" s="1050"/>
      <c r="C1470" s="1050"/>
      <c r="D1470" s="382" t="s">
        <v>2722</v>
      </c>
      <c r="E1470" s="382" t="s">
        <v>2181</v>
      </c>
      <c r="F1470" s="382" t="s">
        <v>2342</v>
      </c>
      <c r="G1470" s="382" t="s">
        <v>2353</v>
      </c>
      <c r="H1470" s="383">
        <v>124040.27</v>
      </c>
      <c r="I1470" s="1046">
        <v>977.89</v>
      </c>
      <c r="J1470" s="1047"/>
      <c r="K1470" s="383">
        <v>70875.94</v>
      </c>
      <c r="L1470" s="383">
        <v>193938.32</v>
      </c>
    </row>
    <row r="1471" spans="2:12">
      <c r="B1471" s="1050"/>
      <c r="C1471" s="1050"/>
      <c r="D1471" s="382" t="s">
        <v>2722</v>
      </c>
      <c r="E1471" s="382" t="s">
        <v>2181</v>
      </c>
      <c r="F1471" s="382" t="s">
        <v>2342</v>
      </c>
      <c r="G1471" s="382" t="s">
        <v>405</v>
      </c>
      <c r="H1471" s="383">
        <v>98442.03</v>
      </c>
      <c r="I1471" s="1046">
        <v>1124.53</v>
      </c>
      <c r="J1471" s="1047"/>
      <c r="K1471" s="383">
        <v>64649.59</v>
      </c>
      <c r="L1471" s="383">
        <v>161967.09</v>
      </c>
    </row>
    <row r="1472" spans="2:12">
      <c r="B1472" s="1050"/>
      <c r="C1472" s="1050"/>
      <c r="D1472" s="382" t="s">
        <v>2722</v>
      </c>
      <c r="E1472" s="382" t="s">
        <v>2181</v>
      </c>
      <c r="F1472" s="382" t="s">
        <v>2342</v>
      </c>
      <c r="G1472" s="382" t="s">
        <v>2354</v>
      </c>
      <c r="H1472" s="383">
        <v>0</v>
      </c>
      <c r="I1472" s="1046">
        <v>0.28999999999999998</v>
      </c>
      <c r="J1472" s="1047"/>
      <c r="K1472" s="383">
        <v>17228.84</v>
      </c>
      <c r="L1472" s="383">
        <v>17228.55</v>
      </c>
    </row>
    <row r="1473" spans="2:12">
      <c r="B1473" s="1050"/>
      <c r="C1473" s="1050"/>
      <c r="D1473" s="382" t="s">
        <v>2722</v>
      </c>
      <c r="E1473" s="382" t="s">
        <v>2181</v>
      </c>
      <c r="F1473" s="382" t="s">
        <v>2342</v>
      </c>
      <c r="G1473" s="382" t="s">
        <v>2355</v>
      </c>
      <c r="H1473" s="383">
        <v>6783258.4500000002</v>
      </c>
      <c r="I1473" s="1046">
        <v>0</v>
      </c>
      <c r="J1473" s="1047"/>
      <c r="K1473" s="383">
        <v>0</v>
      </c>
      <c r="L1473" s="383">
        <v>6783258.4500000002</v>
      </c>
    </row>
    <row r="1474" spans="2:12">
      <c r="B1474" s="1050"/>
      <c r="C1474" s="1050"/>
      <c r="D1474" s="382" t="s">
        <v>2723</v>
      </c>
      <c r="E1474" s="382" t="s">
        <v>2724</v>
      </c>
      <c r="F1474" s="382" t="s">
        <v>2342</v>
      </c>
      <c r="G1474" s="382" t="s">
        <v>2353</v>
      </c>
      <c r="H1474" s="383">
        <v>8165.33</v>
      </c>
      <c r="I1474" s="1046">
        <v>1.18</v>
      </c>
      <c r="J1474" s="1047"/>
      <c r="K1474" s="383">
        <v>10129.049999999999</v>
      </c>
      <c r="L1474" s="383">
        <v>18293.2</v>
      </c>
    </row>
    <row r="1475" spans="2:12">
      <c r="B1475" s="1050"/>
      <c r="C1475" s="1050"/>
      <c r="D1475" s="382" t="s">
        <v>2725</v>
      </c>
      <c r="E1475" s="382" t="s">
        <v>2726</v>
      </c>
      <c r="F1475" s="382" t="s">
        <v>2342</v>
      </c>
      <c r="G1475" s="382" t="s">
        <v>2343</v>
      </c>
      <c r="H1475" s="383">
        <v>63654.12</v>
      </c>
      <c r="I1475" s="1046">
        <v>624.37</v>
      </c>
      <c r="J1475" s="1047"/>
      <c r="K1475" s="383">
        <v>40750.06</v>
      </c>
      <c r="L1475" s="383">
        <v>103779.81</v>
      </c>
    </row>
    <row r="1476" spans="2:12">
      <c r="B1476" s="1050"/>
      <c r="C1476" s="1050"/>
      <c r="D1476" s="382" t="s">
        <v>2725</v>
      </c>
      <c r="E1476" s="382" t="s">
        <v>2726</v>
      </c>
      <c r="F1476" s="382" t="s">
        <v>2342</v>
      </c>
      <c r="G1476" s="382" t="s">
        <v>2344</v>
      </c>
      <c r="H1476" s="383">
        <v>101969.55</v>
      </c>
      <c r="I1476" s="1046">
        <v>1060.3699999999999</v>
      </c>
      <c r="J1476" s="1047"/>
      <c r="K1476" s="383">
        <v>57226.37</v>
      </c>
      <c r="L1476" s="383">
        <v>158135.54999999999</v>
      </c>
    </row>
    <row r="1477" spans="2:12">
      <c r="B1477" s="1050"/>
      <c r="C1477" s="1050"/>
      <c r="D1477" s="382" t="s">
        <v>2725</v>
      </c>
      <c r="E1477" s="382" t="s">
        <v>2726</v>
      </c>
      <c r="F1477" s="382" t="s">
        <v>2342</v>
      </c>
      <c r="G1477" s="382" t="s">
        <v>2345</v>
      </c>
      <c r="H1477" s="383">
        <v>99632.49</v>
      </c>
      <c r="I1477" s="1046">
        <v>1240.1400000000001</v>
      </c>
      <c r="J1477" s="1047"/>
      <c r="K1477" s="383">
        <v>58332.14</v>
      </c>
      <c r="L1477" s="383">
        <v>156724.49</v>
      </c>
    </row>
    <row r="1478" spans="2:12">
      <c r="B1478" s="1050"/>
      <c r="C1478" s="1050"/>
      <c r="D1478" s="382" t="s">
        <v>2725</v>
      </c>
      <c r="E1478" s="382" t="s">
        <v>2726</v>
      </c>
      <c r="F1478" s="382" t="s">
        <v>2342</v>
      </c>
      <c r="G1478" s="382" t="s">
        <v>2346</v>
      </c>
      <c r="H1478" s="383">
        <v>44549.11</v>
      </c>
      <c r="I1478" s="1046">
        <v>379.85</v>
      </c>
      <c r="J1478" s="1047"/>
      <c r="K1478" s="383">
        <v>24312.61</v>
      </c>
      <c r="L1478" s="383">
        <v>68481.87</v>
      </c>
    </row>
    <row r="1479" spans="2:12">
      <c r="B1479" s="1050"/>
      <c r="C1479" s="1050"/>
      <c r="D1479" s="382" t="s">
        <v>2725</v>
      </c>
      <c r="E1479" s="382" t="s">
        <v>2726</v>
      </c>
      <c r="F1479" s="382" t="s">
        <v>2342</v>
      </c>
      <c r="G1479" s="382" t="s">
        <v>2347</v>
      </c>
      <c r="H1479" s="383">
        <v>190284.86</v>
      </c>
      <c r="I1479" s="1046">
        <v>3438.05</v>
      </c>
      <c r="J1479" s="1047"/>
      <c r="K1479" s="383">
        <v>116803.77</v>
      </c>
      <c r="L1479" s="383">
        <v>303650.58</v>
      </c>
    </row>
    <row r="1480" spans="2:12">
      <c r="B1480" s="1050"/>
      <c r="C1480" s="1050"/>
      <c r="D1480" s="382" t="s">
        <v>2725</v>
      </c>
      <c r="E1480" s="382" t="s">
        <v>2726</v>
      </c>
      <c r="F1480" s="382" t="s">
        <v>2342</v>
      </c>
      <c r="G1480" s="382" t="s">
        <v>2348</v>
      </c>
      <c r="H1480" s="383">
        <v>124958.71</v>
      </c>
      <c r="I1480" s="1046">
        <v>1000.57</v>
      </c>
      <c r="J1480" s="1047"/>
      <c r="K1480" s="383">
        <v>67956.66</v>
      </c>
      <c r="L1480" s="383">
        <v>191914.8</v>
      </c>
    </row>
    <row r="1481" spans="2:12">
      <c r="B1481" s="1050"/>
      <c r="C1481" s="1050"/>
      <c r="D1481" s="382" t="s">
        <v>2725</v>
      </c>
      <c r="E1481" s="382" t="s">
        <v>2726</v>
      </c>
      <c r="F1481" s="382" t="s">
        <v>2342</v>
      </c>
      <c r="G1481" s="382" t="s">
        <v>2349</v>
      </c>
      <c r="H1481" s="383">
        <v>135467.6</v>
      </c>
      <c r="I1481" s="1046">
        <v>985.73</v>
      </c>
      <c r="J1481" s="1047"/>
      <c r="K1481" s="383">
        <v>73186.97</v>
      </c>
      <c r="L1481" s="383">
        <v>207668.84</v>
      </c>
    </row>
    <row r="1482" spans="2:12">
      <c r="B1482" s="1050"/>
      <c r="C1482" s="1050"/>
      <c r="D1482" s="382" t="s">
        <v>2725</v>
      </c>
      <c r="E1482" s="382" t="s">
        <v>2726</v>
      </c>
      <c r="F1482" s="382" t="s">
        <v>2342</v>
      </c>
      <c r="G1482" s="382" t="s">
        <v>2350</v>
      </c>
      <c r="H1482" s="383">
        <v>228093.66</v>
      </c>
      <c r="I1482" s="1046">
        <v>1449.15</v>
      </c>
      <c r="J1482" s="1047"/>
      <c r="K1482" s="383">
        <v>137450.79</v>
      </c>
      <c r="L1482" s="383">
        <v>364095.3</v>
      </c>
    </row>
    <row r="1483" spans="2:12">
      <c r="B1483" s="1050"/>
      <c r="C1483" s="1050"/>
      <c r="D1483" s="382" t="s">
        <v>2725</v>
      </c>
      <c r="E1483" s="382" t="s">
        <v>2726</v>
      </c>
      <c r="F1483" s="382" t="s">
        <v>2342</v>
      </c>
      <c r="G1483" s="382" t="s">
        <v>2351</v>
      </c>
      <c r="H1483" s="383">
        <v>104339.86</v>
      </c>
      <c r="I1483" s="1046">
        <v>2298.58</v>
      </c>
      <c r="J1483" s="1047"/>
      <c r="K1483" s="383">
        <v>56046.36</v>
      </c>
      <c r="L1483" s="383">
        <v>158087.64000000001</v>
      </c>
    </row>
    <row r="1484" spans="2:12">
      <c r="B1484" s="1050"/>
      <c r="C1484" s="1050"/>
      <c r="D1484" s="382" t="s">
        <v>2725</v>
      </c>
      <c r="E1484" s="382" t="s">
        <v>2726</v>
      </c>
      <c r="F1484" s="382" t="s">
        <v>2342</v>
      </c>
      <c r="G1484" s="382" t="s">
        <v>2352</v>
      </c>
      <c r="H1484" s="383">
        <v>73621.399999999994</v>
      </c>
      <c r="I1484" s="1046">
        <v>247.3</v>
      </c>
      <c r="J1484" s="1047"/>
      <c r="K1484" s="383">
        <v>42469.38</v>
      </c>
      <c r="L1484" s="383">
        <v>115843.48</v>
      </c>
    </row>
    <row r="1485" spans="2:12">
      <c r="B1485" s="1050"/>
      <c r="C1485" s="1050"/>
      <c r="D1485" s="382" t="s">
        <v>2725</v>
      </c>
      <c r="E1485" s="382" t="s">
        <v>2726</v>
      </c>
      <c r="F1485" s="382" t="s">
        <v>2342</v>
      </c>
      <c r="G1485" s="382" t="s">
        <v>2353</v>
      </c>
      <c r="H1485" s="383">
        <v>137802.5</v>
      </c>
      <c r="I1485" s="1046">
        <v>567.09</v>
      </c>
      <c r="J1485" s="1047"/>
      <c r="K1485" s="383">
        <v>82097.73</v>
      </c>
      <c r="L1485" s="383">
        <v>219333.14</v>
      </c>
    </row>
    <row r="1486" spans="2:12">
      <c r="B1486" s="1050"/>
      <c r="C1486" s="1050"/>
      <c r="D1486" s="382" t="s">
        <v>2725</v>
      </c>
      <c r="E1486" s="382" t="s">
        <v>2726</v>
      </c>
      <c r="F1486" s="382" t="s">
        <v>2342</v>
      </c>
      <c r="G1486" s="382" t="s">
        <v>405</v>
      </c>
      <c r="H1486" s="383">
        <v>57915.99</v>
      </c>
      <c r="I1486" s="1046">
        <v>769.09</v>
      </c>
      <c r="J1486" s="1047"/>
      <c r="K1486" s="383">
        <v>35556.9</v>
      </c>
      <c r="L1486" s="383">
        <v>92703.8</v>
      </c>
    </row>
    <row r="1487" spans="2:12">
      <c r="B1487" s="1050"/>
      <c r="C1487" s="1050"/>
      <c r="D1487" s="382" t="s">
        <v>2725</v>
      </c>
      <c r="E1487" s="382" t="s">
        <v>2726</v>
      </c>
      <c r="F1487" s="382" t="s">
        <v>2342</v>
      </c>
      <c r="G1487" s="382" t="s">
        <v>2354</v>
      </c>
      <c r="H1487" s="383">
        <v>0</v>
      </c>
      <c r="I1487" s="1046">
        <v>0.24</v>
      </c>
      <c r="J1487" s="1047"/>
      <c r="K1487" s="383">
        <v>15665.61</v>
      </c>
      <c r="L1487" s="383">
        <v>15665.37</v>
      </c>
    </row>
    <row r="1488" spans="2:12">
      <c r="B1488" s="1050"/>
      <c r="C1488" s="1050"/>
      <c r="D1488" s="382" t="s">
        <v>2725</v>
      </c>
      <c r="E1488" s="382" t="s">
        <v>2726</v>
      </c>
      <c r="F1488" s="382" t="s">
        <v>2342</v>
      </c>
      <c r="G1488" s="382" t="s">
        <v>2355</v>
      </c>
      <c r="H1488" s="383">
        <v>6707775.8200000003</v>
      </c>
      <c r="I1488" s="1046">
        <v>0</v>
      </c>
      <c r="J1488" s="1047"/>
      <c r="K1488" s="383">
        <v>0</v>
      </c>
      <c r="L1488" s="383">
        <v>6707775.8200000003</v>
      </c>
    </row>
    <row r="1489" spans="2:12">
      <c r="B1489" s="1050"/>
      <c r="C1489" s="1050"/>
      <c r="D1489" s="382" t="s">
        <v>2727</v>
      </c>
      <c r="E1489" s="382" t="s">
        <v>2728</v>
      </c>
      <c r="F1489" s="382" t="s">
        <v>2342</v>
      </c>
      <c r="G1489" s="382" t="s">
        <v>2343</v>
      </c>
      <c r="H1489" s="383">
        <v>56214.53</v>
      </c>
      <c r="I1489" s="1046">
        <v>3186.49</v>
      </c>
      <c r="J1489" s="1047"/>
      <c r="K1489" s="383">
        <v>42679.81</v>
      </c>
      <c r="L1489" s="383">
        <v>95707.85</v>
      </c>
    </row>
    <row r="1490" spans="2:12">
      <c r="B1490" s="1050"/>
      <c r="C1490" s="1050"/>
      <c r="D1490" s="382" t="s">
        <v>2727</v>
      </c>
      <c r="E1490" s="382" t="s">
        <v>2728</v>
      </c>
      <c r="F1490" s="382" t="s">
        <v>2342</v>
      </c>
      <c r="G1490" s="382" t="s">
        <v>2344</v>
      </c>
      <c r="H1490" s="383">
        <v>115865.49</v>
      </c>
      <c r="I1490" s="1046">
        <v>645.33000000000004</v>
      </c>
      <c r="J1490" s="1047"/>
      <c r="K1490" s="383">
        <v>67039.460000000006</v>
      </c>
      <c r="L1490" s="383">
        <v>182259.62</v>
      </c>
    </row>
    <row r="1491" spans="2:12">
      <c r="B1491" s="1050"/>
      <c r="C1491" s="1050"/>
      <c r="D1491" s="382" t="s">
        <v>2727</v>
      </c>
      <c r="E1491" s="382" t="s">
        <v>2728</v>
      </c>
      <c r="F1491" s="382" t="s">
        <v>2342</v>
      </c>
      <c r="G1491" s="382" t="s">
        <v>2345</v>
      </c>
      <c r="H1491" s="383">
        <v>44260.27</v>
      </c>
      <c r="I1491" s="1046">
        <v>518.76</v>
      </c>
      <c r="J1491" s="1047"/>
      <c r="K1491" s="383">
        <v>27983.14</v>
      </c>
      <c r="L1491" s="383">
        <v>71724.649999999994</v>
      </c>
    </row>
    <row r="1492" spans="2:12">
      <c r="B1492" s="1050"/>
      <c r="C1492" s="1050"/>
      <c r="D1492" s="382" t="s">
        <v>2727</v>
      </c>
      <c r="E1492" s="382" t="s">
        <v>2728</v>
      </c>
      <c r="F1492" s="382" t="s">
        <v>2342</v>
      </c>
      <c r="G1492" s="382" t="s">
        <v>2346</v>
      </c>
      <c r="H1492" s="383">
        <v>71067.320000000007</v>
      </c>
      <c r="I1492" s="1046">
        <v>527.6</v>
      </c>
      <c r="J1492" s="1047"/>
      <c r="K1492" s="383">
        <v>48860.04</v>
      </c>
      <c r="L1492" s="383">
        <v>119399.76</v>
      </c>
    </row>
    <row r="1493" spans="2:12">
      <c r="B1493" s="1050"/>
      <c r="C1493" s="1050"/>
      <c r="D1493" s="382" t="s">
        <v>2727</v>
      </c>
      <c r="E1493" s="382" t="s">
        <v>2728</v>
      </c>
      <c r="F1493" s="382" t="s">
        <v>2342</v>
      </c>
      <c r="G1493" s="382" t="s">
        <v>2347</v>
      </c>
      <c r="H1493" s="383">
        <v>155087.73000000001</v>
      </c>
      <c r="I1493" s="1046">
        <v>2187.1799999999998</v>
      </c>
      <c r="J1493" s="1047"/>
      <c r="K1493" s="383">
        <v>99179.21</v>
      </c>
      <c r="L1493" s="383">
        <v>252079.76</v>
      </c>
    </row>
    <row r="1494" spans="2:12">
      <c r="B1494" s="1050"/>
      <c r="C1494" s="1050"/>
      <c r="D1494" s="382" t="s">
        <v>2727</v>
      </c>
      <c r="E1494" s="382" t="s">
        <v>2728</v>
      </c>
      <c r="F1494" s="382" t="s">
        <v>2342</v>
      </c>
      <c r="G1494" s="382" t="s">
        <v>2348</v>
      </c>
      <c r="H1494" s="383">
        <v>80241.38</v>
      </c>
      <c r="I1494" s="1046">
        <v>2830.55</v>
      </c>
      <c r="J1494" s="1047"/>
      <c r="K1494" s="383">
        <v>53837.04</v>
      </c>
      <c r="L1494" s="383">
        <v>131247.87</v>
      </c>
    </row>
    <row r="1495" spans="2:12">
      <c r="B1495" s="1050"/>
      <c r="C1495" s="1050"/>
      <c r="D1495" s="382" t="s">
        <v>2727</v>
      </c>
      <c r="E1495" s="382" t="s">
        <v>2728</v>
      </c>
      <c r="F1495" s="382" t="s">
        <v>2342</v>
      </c>
      <c r="G1495" s="382" t="s">
        <v>2349</v>
      </c>
      <c r="H1495" s="383">
        <v>201087.74</v>
      </c>
      <c r="I1495" s="1046">
        <v>3661.79</v>
      </c>
      <c r="J1495" s="1047"/>
      <c r="K1495" s="383">
        <v>131806.39000000001</v>
      </c>
      <c r="L1495" s="383">
        <v>329232.34000000003</v>
      </c>
    </row>
    <row r="1496" spans="2:12">
      <c r="B1496" s="1050"/>
      <c r="C1496" s="1050"/>
      <c r="D1496" s="382" t="s">
        <v>2727</v>
      </c>
      <c r="E1496" s="382" t="s">
        <v>2728</v>
      </c>
      <c r="F1496" s="382" t="s">
        <v>2342</v>
      </c>
      <c r="G1496" s="382" t="s">
        <v>2350</v>
      </c>
      <c r="H1496" s="383">
        <v>87092.7</v>
      </c>
      <c r="I1496" s="1046">
        <v>459.4</v>
      </c>
      <c r="J1496" s="1047"/>
      <c r="K1496" s="383">
        <v>56616.58</v>
      </c>
      <c r="L1496" s="383">
        <v>143249.88</v>
      </c>
    </row>
    <row r="1497" spans="2:12">
      <c r="B1497" s="1050"/>
      <c r="C1497" s="1050"/>
      <c r="D1497" s="382" t="s">
        <v>2727</v>
      </c>
      <c r="E1497" s="382" t="s">
        <v>2728</v>
      </c>
      <c r="F1497" s="382" t="s">
        <v>2342</v>
      </c>
      <c r="G1497" s="382" t="s">
        <v>2351</v>
      </c>
      <c r="H1497" s="383">
        <v>92772.82</v>
      </c>
      <c r="I1497" s="1046">
        <v>549.1</v>
      </c>
      <c r="J1497" s="1047"/>
      <c r="K1497" s="383">
        <v>58165.23</v>
      </c>
      <c r="L1497" s="383">
        <v>150388.95000000001</v>
      </c>
    </row>
    <row r="1498" spans="2:12">
      <c r="B1498" s="1050"/>
      <c r="C1498" s="1050"/>
      <c r="D1498" s="382" t="s">
        <v>2727</v>
      </c>
      <c r="E1498" s="382" t="s">
        <v>2728</v>
      </c>
      <c r="F1498" s="382" t="s">
        <v>2342</v>
      </c>
      <c r="G1498" s="382" t="s">
        <v>2352</v>
      </c>
      <c r="H1498" s="383">
        <v>101874.06</v>
      </c>
      <c r="I1498" s="1046">
        <v>456.38</v>
      </c>
      <c r="J1498" s="1047"/>
      <c r="K1498" s="383">
        <v>65844.649999999994</v>
      </c>
      <c r="L1498" s="383">
        <v>167262.32999999999</v>
      </c>
    </row>
    <row r="1499" spans="2:12">
      <c r="B1499" s="1050"/>
      <c r="C1499" s="1050"/>
      <c r="D1499" s="382" t="s">
        <v>2727</v>
      </c>
      <c r="E1499" s="382" t="s">
        <v>2728</v>
      </c>
      <c r="F1499" s="382" t="s">
        <v>2342</v>
      </c>
      <c r="G1499" s="382" t="s">
        <v>2353</v>
      </c>
      <c r="H1499" s="383">
        <v>96975.38</v>
      </c>
      <c r="I1499" s="1046">
        <v>1370.2</v>
      </c>
      <c r="J1499" s="1047"/>
      <c r="K1499" s="383">
        <v>60268</v>
      </c>
      <c r="L1499" s="383">
        <v>155873.18</v>
      </c>
    </row>
    <row r="1500" spans="2:12">
      <c r="B1500" s="1050"/>
      <c r="C1500" s="1050"/>
      <c r="D1500" s="382" t="s">
        <v>2727</v>
      </c>
      <c r="E1500" s="382" t="s">
        <v>2728</v>
      </c>
      <c r="F1500" s="382" t="s">
        <v>2342</v>
      </c>
      <c r="G1500" s="382" t="s">
        <v>405</v>
      </c>
      <c r="H1500" s="383">
        <v>50169.68</v>
      </c>
      <c r="I1500" s="1046">
        <v>299.24</v>
      </c>
      <c r="J1500" s="1047"/>
      <c r="K1500" s="383">
        <v>32096.89</v>
      </c>
      <c r="L1500" s="383">
        <v>81967.33</v>
      </c>
    </row>
    <row r="1501" spans="2:12">
      <c r="B1501" s="1050"/>
      <c r="C1501" s="1050"/>
      <c r="D1501" s="382" t="s">
        <v>2727</v>
      </c>
      <c r="E1501" s="382" t="s">
        <v>2728</v>
      </c>
      <c r="F1501" s="382" t="s">
        <v>2342</v>
      </c>
      <c r="G1501" s="382" t="s">
        <v>2354</v>
      </c>
      <c r="H1501" s="383">
        <v>0</v>
      </c>
      <c r="I1501" s="1046">
        <v>0.03</v>
      </c>
      <c r="J1501" s="1047"/>
      <c r="K1501" s="383">
        <v>3702.92</v>
      </c>
      <c r="L1501" s="383">
        <v>3702.89</v>
      </c>
    </row>
    <row r="1502" spans="2:12">
      <c r="B1502" s="1050"/>
      <c r="C1502" s="1050"/>
      <c r="D1502" s="382" t="s">
        <v>2729</v>
      </c>
      <c r="E1502" s="382" t="s">
        <v>2182</v>
      </c>
      <c r="F1502" s="382" t="s">
        <v>2342</v>
      </c>
      <c r="G1502" s="382" t="s">
        <v>2343</v>
      </c>
      <c r="H1502" s="383">
        <v>101709.68</v>
      </c>
      <c r="I1502" s="1046">
        <v>344.22</v>
      </c>
      <c r="J1502" s="1047"/>
      <c r="K1502" s="383">
        <v>71760.899999999994</v>
      </c>
      <c r="L1502" s="383">
        <v>173126.36</v>
      </c>
    </row>
    <row r="1503" spans="2:12">
      <c r="B1503" s="1050"/>
      <c r="C1503" s="1050"/>
      <c r="D1503" s="382" t="s">
        <v>2729</v>
      </c>
      <c r="E1503" s="382" t="s">
        <v>2182</v>
      </c>
      <c r="F1503" s="382" t="s">
        <v>2342</v>
      </c>
      <c r="G1503" s="382" t="s">
        <v>2344</v>
      </c>
      <c r="H1503" s="383">
        <v>140373.18</v>
      </c>
      <c r="I1503" s="1046">
        <v>1215.51</v>
      </c>
      <c r="J1503" s="1047"/>
      <c r="K1503" s="383">
        <v>90636.78</v>
      </c>
      <c r="L1503" s="383">
        <v>229794.45</v>
      </c>
    </row>
    <row r="1504" spans="2:12">
      <c r="B1504" s="1050"/>
      <c r="C1504" s="1050"/>
      <c r="D1504" s="382" t="s">
        <v>2729</v>
      </c>
      <c r="E1504" s="382" t="s">
        <v>2182</v>
      </c>
      <c r="F1504" s="382" t="s">
        <v>2342</v>
      </c>
      <c r="G1504" s="382" t="s">
        <v>2345</v>
      </c>
      <c r="H1504" s="383">
        <v>108652.12</v>
      </c>
      <c r="I1504" s="1046">
        <v>4587.2</v>
      </c>
      <c r="J1504" s="1047"/>
      <c r="K1504" s="383">
        <v>76191.360000000001</v>
      </c>
      <c r="L1504" s="383">
        <v>180256.28</v>
      </c>
    </row>
    <row r="1505" spans="2:12">
      <c r="B1505" s="1050"/>
      <c r="C1505" s="1050"/>
      <c r="D1505" s="382" t="s">
        <v>2729</v>
      </c>
      <c r="E1505" s="382" t="s">
        <v>2182</v>
      </c>
      <c r="F1505" s="382" t="s">
        <v>2342</v>
      </c>
      <c r="G1505" s="382" t="s">
        <v>2346</v>
      </c>
      <c r="H1505" s="383">
        <v>94551</v>
      </c>
      <c r="I1505" s="1046">
        <v>416.6</v>
      </c>
      <c r="J1505" s="1047"/>
      <c r="K1505" s="383">
        <v>55318.84</v>
      </c>
      <c r="L1505" s="383">
        <v>149453.24</v>
      </c>
    </row>
    <row r="1506" spans="2:12">
      <c r="B1506" s="1050"/>
      <c r="C1506" s="1050"/>
      <c r="D1506" s="382" t="s">
        <v>2729</v>
      </c>
      <c r="E1506" s="382" t="s">
        <v>2182</v>
      </c>
      <c r="F1506" s="382" t="s">
        <v>2342</v>
      </c>
      <c r="G1506" s="382" t="s">
        <v>2347</v>
      </c>
      <c r="H1506" s="383">
        <v>160885.84</v>
      </c>
      <c r="I1506" s="1046">
        <v>1468.72</v>
      </c>
      <c r="J1506" s="1047"/>
      <c r="K1506" s="383">
        <v>103091.15</v>
      </c>
      <c r="L1506" s="383">
        <v>262508.27</v>
      </c>
    </row>
    <row r="1507" spans="2:12">
      <c r="B1507" s="1050"/>
      <c r="C1507" s="1050"/>
      <c r="D1507" s="382" t="s">
        <v>2729</v>
      </c>
      <c r="E1507" s="382" t="s">
        <v>2182</v>
      </c>
      <c r="F1507" s="382" t="s">
        <v>2342</v>
      </c>
      <c r="G1507" s="382" t="s">
        <v>2348</v>
      </c>
      <c r="H1507" s="383">
        <v>81970.02</v>
      </c>
      <c r="I1507" s="1046">
        <v>4929.6899999999996</v>
      </c>
      <c r="J1507" s="1047"/>
      <c r="K1507" s="383">
        <v>62671.92</v>
      </c>
      <c r="L1507" s="383">
        <v>139712.25</v>
      </c>
    </row>
    <row r="1508" spans="2:12">
      <c r="B1508" s="1050"/>
      <c r="C1508" s="1050"/>
      <c r="D1508" s="382" t="s">
        <v>2729</v>
      </c>
      <c r="E1508" s="382" t="s">
        <v>2182</v>
      </c>
      <c r="F1508" s="382" t="s">
        <v>2342</v>
      </c>
      <c r="G1508" s="382" t="s">
        <v>2349</v>
      </c>
      <c r="H1508" s="383">
        <v>258460.98</v>
      </c>
      <c r="I1508" s="1046">
        <v>2758.61</v>
      </c>
      <c r="J1508" s="1047"/>
      <c r="K1508" s="383">
        <v>175202.33</v>
      </c>
      <c r="L1508" s="383">
        <v>430904.7</v>
      </c>
    </row>
    <row r="1509" spans="2:12">
      <c r="B1509" s="1050"/>
      <c r="C1509" s="1050"/>
      <c r="D1509" s="382" t="s">
        <v>2729</v>
      </c>
      <c r="E1509" s="382" t="s">
        <v>2182</v>
      </c>
      <c r="F1509" s="382" t="s">
        <v>2342</v>
      </c>
      <c r="G1509" s="382" t="s">
        <v>2350</v>
      </c>
      <c r="H1509" s="383">
        <v>232662.1</v>
      </c>
      <c r="I1509" s="1046">
        <v>1442.92</v>
      </c>
      <c r="J1509" s="1047"/>
      <c r="K1509" s="383">
        <v>165153.51999999999</v>
      </c>
      <c r="L1509" s="383">
        <v>396372.7</v>
      </c>
    </row>
    <row r="1510" spans="2:12">
      <c r="B1510" s="1050"/>
      <c r="C1510" s="1050"/>
      <c r="D1510" s="382" t="s">
        <v>2729</v>
      </c>
      <c r="E1510" s="382" t="s">
        <v>2182</v>
      </c>
      <c r="F1510" s="382" t="s">
        <v>2342</v>
      </c>
      <c r="G1510" s="382" t="s">
        <v>2351</v>
      </c>
      <c r="H1510" s="383">
        <v>105268.63</v>
      </c>
      <c r="I1510" s="1046">
        <v>1797.57</v>
      </c>
      <c r="J1510" s="1047"/>
      <c r="K1510" s="383">
        <v>64759.44</v>
      </c>
      <c r="L1510" s="383">
        <v>168230.5</v>
      </c>
    </row>
    <row r="1511" spans="2:12">
      <c r="B1511" s="1050"/>
      <c r="C1511" s="1050"/>
      <c r="D1511" s="382" t="s">
        <v>2729</v>
      </c>
      <c r="E1511" s="382" t="s">
        <v>2182</v>
      </c>
      <c r="F1511" s="382" t="s">
        <v>2342</v>
      </c>
      <c r="G1511" s="382" t="s">
        <v>2352</v>
      </c>
      <c r="H1511" s="383">
        <v>121173.43</v>
      </c>
      <c r="I1511" s="1046">
        <v>2583.94</v>
      </c>
      <c r="J1511" s="1047"/>
      <c r="K1511" s="383">
        <v>81802.66</v>
      </c>
      <c r="L1511" s="383">
        <v>200392.15</v>
      </c>
    </row>
    <row r="1512" spans="2:12">
      <c r="B1512" s="1050"/>
      <c r="C1512" s="1050"/>
      <c r="D1512" s="382" t="s">
        <v>2729</v>
      </c>
      <c r="E1512" s="382" t="s">
        <v>2182</v>
      </c>
      <c r="F1512" s="382" t="s">
        <v>2342</v>
      </c>
      <c r="G1512" s="382" t="s">
        <v>2353</v>
      </c>
      <c r="H1512" s="383">
        <v>85101.22</v>
      </c>
      <c r="I1512" s="1046">
        <v>534.45000000000005</v>
      </c>
      <c r="J1512" s="1047"/>
      <c r="K1512" s="383">
        <v>57787.87</v>
      </c>
      <c r="L1512" s="383">
        <v>142354.64000000001</v>
      </c>
    </row>
    <row r="1513" spans="2:12">
      <c r="B1513" s="1050"/>
      <c r="C1513" s="1050"/>
      <c r="D1513" s="382" t="s">
        <v>2729</v>
      </c>
      <c r="E1513" s="382" t="s">
        <v>2182</v>
      </c>
      <c r="F1513" s="382" t="s">
        <v>2342</v>
      </c>
      <c r="G1513" s="382" t="s">
        <v>405</v>
      </c>
      <c r="H1513" s="383">
        <v>50106.81</v>
      </c>
      <c r="I1513" s="1046">
        <v>158.19</v>
      </c>
      <c r="J1513" s="1047"/>
      <c r="K1513" s="383">
        <v>34877.599999999999</v>
      </c>
      <c r="L1513" s="383">
        <v>84826.22</v>
      </c>
    </row>
    <row r="1514" spans="2:12">
      <c r="B1514" s="1050"/>
      <c r="C1514" s="1050"/>
      <c r="D1514" s="382" t="s">
        <v>2729</v>
      </c>
      <c r="E1514" s="382" t="s">
        <v>2182</v>
      </c>
      <c r="F1514" s="382" t="s">
        <v>2342</v>
      </c>
      <c r="G1514" s="382" t="s">
        <v>2354</v>
      </c>
      <c r="H1514" s="383">
        <v>0</v>
      </c>
      <c r="I1514" s="1046">
        <v>0</v>
      </c>
      <c r="J1514" s="1047"/>
      <c r="K1514" s="383">
        <v>2082.7600000000002</v>
      </c>
      <c r="L1514" s="383">
        <v>2082.7600000000002</v>
      </c>
    </row>
    <row r="1515" spans="2:12">
      <c r="B1515" s="1050"/>
      <c r="C1515" s="1050"/>
      <c r="D1515" s="382" t="s">
        <v>2729</v>
      </c>
      <c r="E1515" s="382" t="s">
        <v>2182</v>
      </c>
      <c r="F1515" s="382" t="s">
        <v>2342</v>
      </c>
      <c r="G1515" s="382" t="s">
        <v>2355</v>
      </c>
      <c r="H1515" s="383">
        <v>18703222.91</v>
      </c>
      <c r="I1515" s="1046">
        <v>0</v>
      </c>
      <c r="J1515" s="1047"/>
      <c r="K1515" s="383">
        <v>0</v>
      </c>
      <c r="L1515" s="383">
        <v>18703222.91</v>
      </c>
    </row>
    <row r="1516" spans="2:12">
      <c r="B1516" s="1050"/>
      <c r="C1516" s="1050"/>
      <c r="D1516" s="382" t="s">
        <v>2730</v>
      </c>
      <c r="E1516" s="382" t="s">
        <v>2731</v>
      </c>
      <c r="F1516" s="382" t="s">
        <v>2342</v>
      </c>
      <c r="G1516" s="382" t="s">
        <v>2343</v>
      </c>
      <c r="H1516" s="383">
        <v>82567.520000000004</v>
      </c>
      <c r="I1516" s="1046">
        <v>5497.48</v>
      </c>
      <c r="J1516" s="1047"/>
      <c r="K1516" s="383">
        <v>49289.27</v>
      </c>
      <c r="L1516" s="383">
        <v>126359.31</v>
      </c>
    </row>
    <row r="1517" spans="2:12">
      <c r="B1517" s="1050"/>
      <c r="C1517" s="1050"/>
      <c r="D1517" s="382" t="s">
        <v>2730</v>
      </c>
      <c r="E1517" s="382" t="s">
        <v>2731</v>
      </c>
      <c r="F1517" s="382" t="s">
        <v>2342</v>
      </c>
      <c r="G1517" s="382" t="s">
        <v>2344</v>
      </c>
      <c r="H1517" s="383">
        <v>8634.9</v>
      </c>
      <c r="I1517" s="1046">
        <v>0</v>
      </c>
      <c r="J1517" s="1047"/>
      <c r="K1517" s="383">
        <v>4961.0200000000004</v>
      </c>
      <c r="L1517" s="383">
        <v>13595.92</v>
      </c>
    </row>
    <row r="1518" spans="2:12">
      <c r="B1518" s="1050"/>
      <c r="C1518" s="1050"/>
      <c r="D1518" s="382" t="s">
        <v>2730</v>
      </c>
      <c r="E1518" s="382" t="s">
        <v>2731</v>
      </c>
      <c r="F1518" s="382" t="s">
        <v>2342</v>
      </c>
      <c r="G1518" s="382" t="s">
        <v>2345</v>
      </c>
      <c r="H1518" s="383">
        <v>75603.509999999995</v>
      </c>
      <c r="I1518" s="1046">
        <v>713.68</v>
      </c>
      <c r="J1518" s="1047"/>
      <c r="K1518" s="383">
        <v>39927.71</v>
      </c>
      <c r="L1518" s="383">
        <v>114817.54</v>
      </c>
    </row>
    <row r="1519" spans="2:12">
      <c r="B1519" s="1050"/>
      <c r="C1519" s="1050"/>
      <c r="D1519" s="382" t="s">
        <v>2730</v>
      </c>
      <c r="E1519" s="382" t="s">
        <v>2731</v>
      </c>
      <c r="F1519" s="382" t="s">
        <v>2342</v>
      </c>
      <c r="G1519" s="382" t="s">
        <v>2346</v>
      </c>
      <c r="H1519" s="383">
        <v>14701.57</v>
      </c>
      <c r="I1519" s="1046">
        <v>108.97</v>
      </c>
      <c r="J1519" s="1047"/>
      <c r="K1519" s="383">
        <v>13934.95</v>
      </c>
      <c r="L1519" s="383">
        <v>28527.55</v>
      </c>
    </row>
    <row r="1520" spans="2:12">
      <c r="B1520" s="1050"/>
      <c r="C1520" s="1050"/>
      <c r="D1520" s="382" t="s">
        <v>2730</v>
      </c>
      <c r="E1520" s="382" t="s">
        <v>2731</v>
      </c>
      <c r="F1520" s="382" t="s">
        <v>2342</v>
      </c>
      <c r="G1520" s="382" t="s">
        <v>2347</v>
      </c>
      <c r="H1520" s="383">
        <v>308498.69</v>
      </c>
      <c r="I1520" s="1046">
        <v>1622.85</v>
      </c>
      <c r="J1520" s="1047"/>
      <c r="K1520" s="383">
        <v>203238.47</v>
      </c>
      <c r="L1520" s="383">
        <v>510114.31</v>
      </c>
    </row>
    <row r="1521" spans="2:12">
      <c r="B1521" s="1050"/>
      <c r="C1521" s="1050"/>
      <c r="D1521" s="382" t="s">
        <v>2730</v>
      </c>
      <c r="E1521" s="382" t="s">
        <v>2731</v>
      </c>
      <c r="F1521" s="382" t="s">
        <v>2342</v>
      </c>
      <c r="G1521" s="382" t="s">
        <v>2348</v>
      </c>
      <c r="H1521" s="383">
        <v>110909.77</v>
      </c>
      <c r="I1521" s="1046">
        <v>994.15</v>
      </c>
      <c r="J1521" s="1047"/>
      <c r="K1521" s="383">
        <v>79473.490000000005</v>
      </c>
      <c r="L1521" s="383">
        <v>189389.11</v>
      </c>
    </row>
    <row r="1522" spans="2:12">
      <c r="B1522" s="1050"/>
      <c r="C1522" s="1050"/>
      <c r="D1522" s="382" t="s">
        <v>2730</v>
      </c>
      <c r="E1522" s="382" t="s">
        <v>2731</v>
      </c>
      <c r="F1522" s="382" t="s">
        <v>2342</v>
      </c>
      <c r="G1522" s="382" t="s">
        <v>2349</v>
      </c>
      <c r="H1522" s="383">
        <v>37014.74</v>
      </c>
      <c r="I1522" s="1046">
        <v>1346.56</v>
      </c>
      <c r="J1522" s="1047"/>
      <c r="K1522" s="383">
        <v>27992.21</v>
      </c>
      <c r="L1522" s="383">
        <v>63660.39</v>
      </c>
    </row>
    <row r="1523" spans="2:12">
      <c r="B1523" s="1050"/>
      <c r="C1523" s="1050"/>
      <c r="D1523" s="382" t="s">
        <v>2730</v>
      </c>
      <c r="E1523" s="382" t="s">
        <v>2731</v>
      </c>
      <c r="F1523" s="382" t="s">
        <v>2342</v>
      </c>
      <c r="G1523" s="382" t="s">
        <v>2350</v>
      </c>
      <c r="H1523" s="383">
        <v>151221.56</v>
      </c>
      <c r="I1523" s="1046">
        <v>796.71</v>
      </c>
      <c r="J1523" s="1047"/>
      <c r="K1523" s="383">
        <v>113080.06</v>
      </c>
      <c r="L1523" s="383">
        <v>263504.90999999997</v>
      </c>
    </row>
    <row r="1524" spans="2:12">
      <c r="B1524" s="1050"/>
      <c r="C1524" s="1050"/>
      <c r="D1524" s="382" t="s">
        <v>2730</v>
      </c>
      <c r="E1524" s="382" t="s">
        <v>2731</v>
      </c>
      <c r="F1524" s="382" t="s">
        <v>2342</v>
      </c>
      <c r="G1524" s="382" t="s">
        <v>2351</v>
      </c>
      <c r="H1524" s="383">
        <v>26662.47</v>
      </c>
      <c r="I1524" s="1046">
        <v>0</v>
      </c>
      <c r="J1524" s="1047"/>
      <c r="K1524" s="383">
        <v>21687.42</v>
      </c>
      <c r="L1524" s="383">
        <v>48349.89</v>
      </c>
    </row>
    <row r="1525" spans="2:12">
      <c r="B1525" s="1050"/>
      <c r="C1525" s="1050"/>
      <c r="D1525" s="382" t="s">
        <v>2730</v>
      </c>
      <c r="E1525" s="382" t="s">
        <v>2731</v>
      </c>
      <c r="F1525" s="382" t="s">
        <v>2342</v>
      </c>
      <c r="G1525" s="382" t="s">
        <v>2352</v>
      </c>
      <c r="H1525" s="383">
        <v>37564.47</v>
      </c>
      <c r="I1525" s="1046">
        <v>116.96</v>
      </c>
      <c r="J1525" s="1047"/>
      <c r="K1525" s="383">
        <v>21630.03</v>
      </c>
      <c r="L1525" s="383">
        <v>59077.54</v>
      </c>
    </row>
    <row r="1526" spans="2:12">
      <c r="B1526" s="1050"/>
      <c r="C1526" s="1050"/>
      <c r="D1526" s="382" t="s">
        <v>2730</v>
      </c>
      <c r="E1526" s="382" t="s">
        <v>2731</v>
      </c>
      <c r="F1526" s="382" t="s">
        <v>2342</v>
      </c>
      <c r="G1526" s="382" t="s">
        <v>2353</v>
      </c>
      <c r="H1526" s="383">
        <v>70458.11</v>
      </c>
      <c r="I1526" s="1046">
        <v>0</v>
      </c>
      <c r="J1526" s="1047"/>
      <c r="K1526" s="383">
        <v>51298.26</v>
      </c>
      <c r="L1526" s="383">
        <v>121756.37</v>
      </c>
    </row>
    <row r="1527" spans="2:12">
      <c r="B1527" s="1050"/>
      <c r="C1527" s="1050"/>
      <c r="D1527" s="382" t="s">
        <v>2730</v>
      </c>
      <c r="E1527" s="382" t="s">
        <v>2731</v>
      </c>
      <c r="F1527" s="382" t="s">
        <v>2342</v>
      </c>
      <c r="G1527" s="382" t="s">
        <v>405</v>
      </c>
      <c r="H1527" s="383">
        <v>13785.04</v>
      </c>
      <c r="I1527" s="1046">
        <v>0</v>
      </c>
      <c r="J1527" s="1047"/>
      <c r="K1527" s="383">
        <v>8049.45</v>
      </c>
      <c r="L1527" s="383">
        <v>21834.49</v>
      </c>
    </row>
    <row r="1528" spans="2:12">
      <c r="B1528" s="1050"/>
      <c r="C1528" s="1051"/>
      <c r="D1528" s="359" t="s">
        <v>12</v>
      </c>
      <c r="E1528" s="359" t="s">
        <v>111</v>
      </c>
      <c r="F1528" s="359" t="s">
        <v>111</v>
      </c>
      <c r="G1528" s="359" t="s">
        <v>111</v>
      </c>
      <c r="H1528" s="384">
        <v>38535679.289999999</v>
      </c>
      <c r="I1528" s="1048">
        <v>101479.7</v>
      </c>
      <c r="J1528" s="1047"/>
      <c r="K1528" s="384">
        <v>4051776.83</v>
      </c>
      <c r="L1528" s="384">
        <v>42485976.420000002</v>
      </c>
    </row>
    <row r="1529" spans="2:12">
      <c r="B1529" s="1050"/>
      <c r="C1529" s="1049" t="s">
        <v>2732</v>
      </c>
      <c r="D1529" s="382" t="s">
        <v>2733</v>
      </c>
      <c r="E1529" s="382" t="s">
        <v>2183</v>
      </c>
      <c r="F1529" s="382" t="s">
        <v>2342</v>
      </c>
      <c r="G1529" s="382" t="s">
        <v>2347</v>
      </c>
      <c r="H1529" s="383">
        <v>0</v>
      </c>
      <c r="I1529" s="1046">
        <v>0.95</v>
      </c>
      <c r="J1529" s="1047"/>
      <c r="K1529" s="383">
        <v>1.89</v>
      </c>
      <c r="L1529" s="383">
        <v>0.94</v>
      </c>
    </row>
    <row r="1530" spans="2:12">
      <c r="B1530" s="1050"/>
      <c r="C1530" s="1050"/>
      <c r="D1530" s="382" t="s">
        <v>2733</v>
      </c>
      <c r="E1530" s="382" t="s">
        <v>2183</v>
      </c>
      <c r="F1530" s="382" t="s">
        <v>2342</v>
      </c>
      <c r="G1530" s="382" t="s">
        <v>2349</v>
      </c>
      <c r="H1530" s="383">
        <v>0.09</v>
      </c>
      <c r="I1530" s="1046">
        <v>0</v>
      </c>
      <c r="J1530" s="1047"/>
      <c r="K1530" s="383">
        <v>0</v>
      </c>
      <c r="L1530" s="383">
        <v>0.09</v>
      </c>
    </row>
    <row r="1531" spans="2:12">
      <c r="B1531" s="1050"/>
      <c r="C1531" s="1051"/>
      <c r="D1531" s="359" t="s">
        <v>12</v>
      </c>
      <c r="E1531" s="359" t="s">
        <v>111</v>
      </c>
      <c r="F1531" s="359" t="s">
        <v>111</v>
      </c>
      <c r="G1531" s="359" t="s">
        <v>111</v>
      </c>
      <c r="H1531" s="384">
        <v>0.09</v>
      </c>
      <c r="I1531" s="1048">
        <v>0.95</v>
      </c>
      <c r="J1531" s="1047"/>
      <c r="K1531" s="384">
        <v>1.89</v>
      </c>
      <c r="L1531" s="384">
        <v>1.03</v>
      </c>
    </row>
    <row r="1532" spans="2:12">
      <c r="B1532" s="1050"/>
      <c r="C1532" s="1049" t="s">
        <v>2734</v>
      </c>
      <c r="D1532" s="382" t="s">
        <v>2735</v>
      </c>
      <c r="E1532" s="382" t="s">
        <v>2736</v>
      </c>
      <c r="F1532" s="382" t="s">
        <v>2342</v>
      </c>
      <c r="G1532" s="382" t="s">
        <v>2343</v>
      </c>
      <c r="H1532" s="383">
        <v>69.319999999999993</v>
      </c>
      <c r="I1532" s="1046">
        <v>0</v>
      </c>
      <c r="J1532" s="1047"/>
      <c r="K1532" s="383">
        <v>161.33000000000001</v>
      </c>
      <c r="L1532" s="383">
        <v>230.65</v>
      </c>
    </row>
    <row r="1533" spans="2:12">
      <c r="B1533" s="1050"/>
      <c r="C1533" s="1050"/>
      <c r="D1533" s="382" t="s">
        <v>2735</v>
      </c>
      <c r="E1533" s="382" t="s">
        <v>2736</v>
      </c>
      <c r="F1533" s="382" t="s">
        <v>2342</v>
      </c>
      <c r="G1533" s="382" t="s">
        <v>2344</v>
      </c>
      <c r="H1533" s="383">
        <v>11.08</v>
      </c>
      <c r="I1533" s="1046">
        <v>0</v>
      </c>
      <c r="J1533" s="1047"/>
      <c r="K1533" s="383">
        <v>20.43</v>
      </c>
      <c r="L1533" s="383">
        <v>31.51</v>
      </c>
    </row>
    <row r="1534" spans="2:12">
      <c r="B1534" s="1050"/>
      <c r="C1534" s="1050"/>
      <c r="D1534" s="382" t="s">
        <v>2735</v>
      </c>
      <c r="E1534" s="382" t="s">
        <v>2736</v>
      </c>
      <c r="F1534" s="382" t="s">
        <v>2342</v>
      </c>
      <c r="G1534" s="382" t="s">
        <v>2345</v>
      </c>
      <c r="H1534" s="383">
        <v>48.09</v>
      </c>
      <c r="I1534" s="1046">
        <v>0</v>
      </c>
      <c r="J1534" s="1047"/>
      <c r="K1534" s="383">
        <v>105.99</v>
      </c>
      <c r="L1534" s="383">
        <v>154.08000000000001</v>
      </c>
    </row>
    <row r="1535" spans="2:12">
      <c r="B1535" s="1050"/>
      <c r="C1535" s="1050"/>
      <c r="D1535" s="382" t="s">
        <v>2735</v>
      </c>
      <c r="E1535" s="382" t="s">
        <v>2736</v>
      </c>
      <c r="F1535" s="382" t="s">
        <v>2342</v>
      </c>
      <c r="G1535" s="382" t="s">
        <v>2346</v>
      </c>
      <c r="H1535" s="383">
        <v>0</v>
      </c>
      <c r="I1535" s="1046">
        <v>0</v>
      </c>
      <c r="J1535" s="1047"/>
      <c r="K1535" s="383">
        <v>38.24</v>
      </c>
      <c r="L1535" s="383">
        <v>38.24</v>
      </c>
    </row>
    <row r="1536" spans="2:12">
      <c r="B1536" s="1050"/>
      <c r="C1536" s="1050"/>
      <c r="D1536" s="382" t="s">
        <v>2735</v>
      </c>
      <c r="E1536" s="382" t="s">
        <v>2736</v>
      </c>
      <c r="F1536" s="382" t="s">
        <v>2342</v>
      </c>
      <c r="G1536" s="382" t="s">
        <v>2347</v>
      </c>
      <c r="H1536" s="383">
        <v>21.07</v>
      </c>
      <c r="I1536" s="1046">
        <v>0</v>
      </c>
      <c r="J1536" s="1047"/>
      <c r="K1536" s="383">
        <v>249.31</v>
      </c>
      <c r="L1536" s="383">
        <v>270.38</v>
      </c>
    </row>
    <row r="1537" spans="2:12">
      <c r="B1537" s="1050"/>
      <c r="C1537" s="1050"/>
      <c r="D1537" s="382" t="s">
        <v>2735</v>
      </c>
      <c r="E1537" s="382" t="s">
        <v>2736</v>
      </c>
      <c r="F1537" s="382" t="s">
        <v>2342</v>
      </c>
      <c r="G1537" s="382" t="s">
        <v>2348</v>
      </c>
      <c r="H1537" s="383">
        <v>79.599999999999994</v>
      </c>
      <c r="I1537" s="1046">
        <v>0</v>
      </c>
      <c r="J1537" s="1047"/>
      <c r="K1537" s="383">
        <v>434.35</v>
      </c>
      <c r="L1537" s="383">
        <v>513.95000000000005</v>
      </c>
    </row>
    <row r="1538" spans="2:12">
      <c r="B1538" s="1050"/>
      <c r="C1538" s="1050"/>
      <c r="D1538" s="382" t="s">
        <v>2735</v>
      </c>
      <c r="E1538" s="382" t="s">
        <v>2736</v>
      </c>
      <c r="F1538" s="382" t="s">
        <v>2342</v>
      </c>
      <c r="G1538" s="382" t="s">
        <v>2349</v>
      </c>
      <c r="H1538" s="383">
        <v>463.87</v>
      </c>
      <c r="I1538" s="1046">
        <v>0</v>
      </c>
      <c r="J1538" s="1047"/>
      <c r="K1538" s="383">
        <v>774.77</v>
      </c>
      <c r="L1538" s="383">
        <v>1238.6400000000001</v>
      </c>
    </row>
    <row r="1539" spans="2:12">
      <c r="B1539" s="1050"/>
      <c r="C1539" s="1050"/>
      <c r="D1539" s="382" t="s">
        <v>2735</v>
      </c>
      <c r="E1539" s="382" t="s">
        <v>2736</v>
      </c>
      <c r="F1539" s="382" t="s">
        <v>2342</v>
      </c>
      <c r="G1539" s="382" t="s">
        <v>2350</v>
      </c>
      <c r="H1539" s="383">
        <v>116.03</v>
      </c>
      <c r="I1539" s="1046">
        <v>0</v>
      </c>
      <c r="J1539" s="1047"/>
      <c r="K1539" s="383">
        <v>22.72</v>
      </c>
      <c r="L1539" s="383">
        <v>138.75</v>
      </c>
    </row>
    <row r="1540" spans="2:12">
      <c r="B1540" s="1050"/>
      <c r="C1540" s="1050"/>
      <c r="D1540" s="382" t="s">
        <v>2735</v>
      </c>
      <c r="E1540" s="382" t="s">
        <v>2736</v>
      </c>
      <c r="F1540" s="382" t="s">
        <v>2342</v>
      </c>
      <c r="G1540" s="382" t="s">
        <v>2351</v>
      </c>
      <c r="H1540" s="383">
        <v>247.2</v>
      </c>
      <c r="I1540" s="1046">
        <v>0</v>
      </c>
      <c r="J1540" s="1047"/>
      <c r="K1540" s="383">
        <v>322.83999999999997</v>
      </c>
      <c r="L1540" s="383">
        <v>570.04</v>
      </c>
    </row>
    <row r="1541" spans="2:12">
      <c r="B1541" s="1050"/>
      <c r="C1541" s="1050"/>
      <c r="D1541" s="382" t="s">
        <v>2735</v>
      </c>
      <c r="E1541" s="382" t="s">
        <v>2736</v>
      </c>
      <c r="F1541" s="382" t="s">
        <v>2342</v>
      </c>
      <c r="G1541" s="382" t="s">
        <v>2352</v>
      </c>
      <c r="H1541" s="383">
        <v>176.14</v>
      </c>
      <c r="I1541" s="1046">
        <v>0</v>
      </c>
      <c r="J1541" s="1047"/>
      <c r="K1541" s="383">
        <v>477.36</v>
      </c>
      <c r="L1541" s="383">
        <v>653.5</v>
      </c>
    </row>
    <row r="1542" spans="2:12">
      <c r="B1542" s="1050"/>
      <c r="C1542" s="1050"/>
      <c r="D1542" s="382" t="s">
        <v>2735</v>
      </c>
      <c r="E1542" s="382" t="s">
        <v>2736</v>
      </c>
      <c r="F1542" s="382" t="s">
        <v>2342</v>
      </c>
      <c r="G1542" s="382" t="s">
        <v>2353</v>
      </c>
      <c r="H1542" s="383">
        <v>6.05</v>
      </c>
      <c r="I1542" s="1046">
        <v>0</v>
      </c>
      <c r="J1542" s="1047"/>
      <c r="K1542" s="383">
        <v>145.16</v>
      </c>
      <c r="L1542" s="383">
        <v>151.21</v>
      </c>
    </row>
    <row r="1543" spans="2:12">
      <c r="B1543" s="1050"/>
      <c r="C1543" s="1050"/>
      <c r="D1543" s="382" t="s">
        <v>2735</v>
      </c>
      <c r="E1543" s="382" t="s">
        <v>2736</v>
      </c>
      <c r="F1543" s="382" t="s">
        <v>2342</v>
      </c>
      <c r="G1543" s="382" t="s">
        <v>405</v>
      </c>
      <c r="H1543" s="383">
        <v>0</v>
      </c>
      <c r="I1543" s="1046">
        <v>0</v>
      </c>
      <c r="J1543" s="1047"/>
      <c r="K1543" s="383">
        <v>37.42</v>
      </c>
      <c r="L1543" s="383">
        <v>37.42</v>
      </c>
    </row>
    <row r="1544" spans="2:12">
      <c r="B1544" s="1050"/>
      <c r="C1544" s="1050"/>
      <c r="D1544" s="382" t="s">
        <v>2737</v>
      </c>
      <c r="E1544" s="382" t="s">
        <v>2184</v>
      </c>
      <c r="F1544" s="382" t="s">
        <v>2342</v>
      </c>
      <c r="G1544" s="382" t="s">
        <v>2343</v>
      </c>
      <c r="H1544" s="383">
        <v>252.45</v>
      </c>
      <c r="I1544" s="1046">
        <v>0</v>
      </c>
      <c r="J1544" s="1047"/>
      <c r="K1544" s="383">
        <v>621.07000000000005</v>
      </c>
      <c r="L1544" s="383">
        <v>873.52</v>
      </c>
    </row>
    <row r="1545" spans="2:12">
      <c r="B1545" s="1050"/>
      <c r="C1545" s="1050"/>
      <c r="D1545" s="382" t="s">
        <v>2737</v>
      </c>
      <c r="E1545" s="382" t="s">
        <v>2184</v>
      </c>
      <c r="F1545" s="382" t="s">
        <v>2342</v>
      </c>
      <c r="G1545" s="382" t="s">
        <v>2344</v>
      </c>
      <c r="H1545" s="383">
        <v>22.26</v>
      </c>
      <c r="I1545" s="1046">
        <v>0</v>
      </c>
      <c r="J1545" s="1047"/>
      <c r="K1545" s="383">
        <v>0</v>
      </c>
      <c r="L1545" s="383">
        <v>22.26</v>
      </c>
    </row>
    <row r="1546" spans="2:12">
      <c r="B1546" s="1050"/>
      <c r="C1546" s="1050"/>
      <c r="D1546" s="382" t="s">
        <v>2737</v>
      </c>
      <c r="E1546" s="382" t="s">
        <v>2184</v>
      </c>
      <c r="F1546" s="382" t="s">
        <v>2342</v>
      </c>
      <c r="G1546" s="382" t="s">
        <v>2345</v>
      </c>
      <c r="H1546" s="383">
        <v>64.56</v>
      </c>
      <c r="I1546" s="1046">
        <v>0</v>
      </c>
      <c r="J1546" s="1047"/>
      <c r="K1546" s="383">
        <v>59</v>
      </c>
      <c r="L1546" s="383">
        <v>123.56</v>
      </c>
    </row>
    <row r="1547" spans="2:12">
      <c r="B1547" s="1050"/>
      <c r="C1547" s="1050"/>
      <c r="D1547" s="382" t="s">
        <v>2737</v>
      </c>
      <c r="E1547" s="382" t="s">
        <v>2184</v>
      </c>
      <c r="F1547" s="382" t="s">
        <v>2342</v>
      </c>
      <c r="G1547" s="382" t="s">
        <v>2346</v>
      </c>
      <c r="H1547" s="383">
        <v>69.55</v>
      </c>
      <c r="I1547" s="1046">
        <v>0</v>
      </c>
      <c r="J1547" s="1047"/>
      <c r="K1547" s="383">
        <v>0</v>
      </c>
      <c r="L1547" s="383">
        <v>69.55</v>
      </c>
    </row>
    <row r="1548" spans="2:12">
      <c r="B1548" s="1050"/>
      <c r="C1548" s="1050"/>
      <c r="D1548" s="382" t="s">
        <v>2737</v>
      </c>
      <c r="E1548" s="382" t="s">
        <v>2184</v>
      </c>
      <c r="F1548" s="382" t="s">
        <v>2342</v>
      </c>
      <c r="G1548" s="382" t="s">
        <v>2347</v>
      </c>
      <c r="H1548" s="383">
        <v>168.61</v>
      </c>
      <c r="I1548" s="1046">
        <v>0</v>
      </c>
      <c r="J1548" s="1047"/>
      <c r="K1548" s="383">
        <v>267.05</v>
      </c>
      <c r="L1548" s="383">
        <v>435.66</v>
      </c>
    </row>
    <row r="1549" spans="2:12">
      <c r="B1549" s="1050"/>
      <c r="C1549" s="1050"/>
      <c r="D1549" s="382" t="s">
        <v>2737</v>
      </c>
      <c r="E1549" s="382" t="s">
        <v>2184</v>
      </c>
      <c r="F1549" s="382" t="s">
        <v>2342</v>
      </c>
      <c r="G1549" s="382" t="s">
        <v>2348</v>
      </c>
      <c r="H1549" s="383">
        <v>67.95</v>
      </c>
      <c r="I1549" s="1046">
        <v>0</v>
      </c>
      <c r="J1549" s="1047"/>
      <c r="K1549" s="383">
        <v>159.53</v>
      </c>
      <c r="L1549" s="383">
        <v>227.48</v>
      </c>
    </row>
    <row r="1550" spans="2:12">
      <c r="B1550" s="1050"/>
      <c r="C1550" s="1050"/>
      <c r="D1550" s="382" t="s">
        <v>2737</v>
      </c>
      <c r="E1550" s="382" t="s">
        <v>2184</v>
      </c>
      <c r="F1550" s="382" t="s">
        <v>2342</v>
      </c>
      <c r="G1550" s="382" t="s">
        <v>2349</v>
      </c>
      <c r="H1550" s="383">
        <v>0</v>
      </c>
      <c r="I1550" s="1046">
        <v>0</v>
      </c>
      <c r="J1550" s="1047"/>
      <c r="K1550" s="383">
        <v>92.21</v>
      </c>
      <c r="L1550" s="383">
        <v>92.21</v>
      </c>
    </row>
    <row r="1551" spans="2:12">
      <c r="B1551" s="1050"/>
      <c r="C1551" s="1050"/>
      <c r="D1551" s="382" t="s">
        <v>2737</v>
      </c>
      <c r="E1551" s="382" t="s">
        <v>2184</v>
      </c>
      <c r="F1551" s="382" t="s">
        <v>2342</v>
      </c>
      <c r="G1551" s="382" t="s">
        <v>2350</v>
      </c>
      <c r="H1551" s="383">
        <v>56.16</v>
      </c>
      <c r="I1551" s="1046">
        <v>0</v>
      </c>
      <c r="J1551" s="1047"/>
      <c r="K1551" s="383">
        <v>668.39</v>
      </c>
      <c r="L1551" s="383">
        <v>724.55</v>
      </c>
    </row>
    <row r="1552" spans="2:12">
      <c r="B1552" s="1050"/>
      <c r="C1552" s="1050"/>
      <c r="D1552" s="382" t="s">
        <v>2737</v>
      </c>
      <c r="E1552" s="382" t="s">
        <v>2184</v>
      </c>
      <c r="F1552" s="382" t="s">
        <v>2342</v>
      </c>
      <c r="G1552" s="382" t="s">
        <v>2351</v>
      </c>
      <c r="H1552" s="383">
        <v>55.17</v>
      </c>
      <c r="I1552" s="1046">
        <v>0</v>
      </c>
      <c r="J1552" s="1047"/>
      <c r="K1552" s="383">
        <v>0</v>
      </c>
      <c r="L1552" s="383">
        <v>55.17</v>
      </c>
    </row>
    <row r="1553" spans="2:12">
      <c r="B1553" s="1050"/>
      <c r="C1553" s="1050"/>
      <c r="D1553" s="382" t="s">
        <v>2737</v>
      </c>
      <c r="E1553" s="382" t="s">
        <v>2184</v>
      </c>
      <c r="F1553" s="382" t="s">
        <v>2342</v>
      </c>
      <c r="G1553" s="382" t="s">
        <v>2352</v>
      </c>
      <c r="H1553" s="383">
        <v>19.579999999999998</v>
      </c>
      <c r="I1553" s="1046">
        <v>0</v>
      </c>
      <c r="J1553" s="1047"/>
      <c r="K1553" s="383">
        <v>0</v>
      </c>
      <c r="L1553" s="383">
        <v>19.579999999999998</v>
      </c>
    </row>
    <row r="1554" spans="2:12">
      <c r="B1554" s="1050"/>
      <c r="C1554" s="1050"/>
      <c r="D1554" s="382" t="s">
        <v>2737</v>
      </c>
      <c r="E1554" s="382" t="s">
        <v>2184</v>
      </c>
      <c r="F1554" s="382" t="s">
        <v>2342</v>
      </c>
      <c r="G1554" s="382" t="s">
        <v>2353</v>
      </c>
      <c r="H1554" s="383">
        <v>0</v>
      </c>
      <c r="I1554" s="1046">
        <v>0</v>
      </c>
      <c r="J1554" s="1047"/>
      <c r="K1554" s="383">
        <v>69.88</v>
      </c>
      <c r="L1554" s="383">
        <v>69.88</v>
      </c>
    </row>
    <row r="1555" spans="2:12">
      <c r="B1555" s="1050"/>
      <c r="C1555" s="1050"/>
      <c r="D1555" s="382" t="s">
        <v>2737</v>
      </c>
      <c r="E1555" s="382" t="s">
        <v>2184</v>
      </c>
      <c r="F1555" s="382" t="s">
        <v>2342</v>
      </c>
      <c r="G1555" s="382" t="s">
        <v>405</v>
      </c>
      <c r="H1555" s="383">
        <v>0</v>
      </c>
      <c r="I1555" s="1046">
        <v>0</v>
      </c>
      <c r="J1555" s="1047"/>
      <c r="K1555" s="383">
        <v>20.52</v>
      </c>
      <c r="L1555" s="383">
        <v>20.52</v>
      </c>
    </row>
    <row r="1556" spans="2:12">
      <c r="B1556" s="1050"/>
      <c r="C1556" s="1050"/>
      <c r="D1556" s="382" t="s">
        <v>2738</v>
      </c>
      <c r="E1556" s="382" t="s">
        <v>2739</v>
      </c>
      <c r="F1556" s="382" t="s">
        <v>2342</v>
      </c>
      <c r="G1556" s="382" t="s">
        <v>2343</v>
      </c>
      <c r="H1556" s="383">
        <v>1237.98</v>
      </c>
      <c r="I1556" s="1046">
        <v>0</v>
      </c>
      <c r="J1556" s="1047"/>
      <c r="K1556" s="383">
        <v>1848.01</v>
      </c>
      <c r="L1556" s="383">
        <v>3085.99</v>
      </c>
    </row>
    <row r="1557" spans="2:12">
      <c r="B1557" s="1050"/>
      <c r="C1557" s="1050"/>
      <c r="D1557" s="382" t="s">
        <v>2738</v>
      </c>
      <c r="E1557" s="382" t="s">
        <v>2739</v>
      </c>
      <c r="F1557" s="382" t="s">
        <v>2342</v>
      </c>
      <c r="G1557" s="382" t="s">
        <v>2344</v>
      </c>
      <c r="H1557" s="383">
        <v>1710.08</v>
      </c>
      <c r="I1557" s="1046">
        <v>0</v>
      </c>
      <c r="J1557" s="1047"/>
      <c r="K1557" s="383">
        <v>80.900000000000006</v>
      </c>
      <c r="L1557" s="383">
        <v>1790.98</v>
      </c>
    </row>
    <row r="1558" spans="2:12">
      <c r="B1558" s="1050"/>
      <c r="C1558" s="1050"/>
      <c r="D1558" s="382" t="s">
        <v>2738</v>
      </c>
      <c r="E1558" s="382" t="s">
        <v>2739</v>
      </c>
      <c r="F1558" s="382" t="s">
        <v>2342</v>
      </c>
      <c r="G1558" s="382" t="s">
        <v>2347</v>
      </c>
      <c r="H1558" s="383">
        <v>465.99</v>
      </c>
      <c r="I1558" s="1046">
        <v>0</v>
      </c>
      <c r="J1558" s="1047"/>
      <c r="K1558" s="383">
        <v>229.2</v>
      </c>
      <c r="L1558" s="383">
        <v>695.19</v>
      </c>
    </row>
    <row r="1559" spans="2:12">
      <c r="B1559" s="1050"/>
      <c r="C1559" s="1050"/>
      <c r="D1559" s="382" t="s">
        <v>2738</v>
      </c>
      <c r="E1559" s="382" t="s">
        <v>2739</v>
      </c>
      <c r="F1559" s="382" t="s">
        <v>2342</v>
      </c>
      <c r="G1559" s="382" t="s">
        <v>2348</v>
      </c>
      <c r="H1559" s="383">
        <v>0</v>
      </c>
      <c r="I1559" s="1046">
        <v>0</v>
      </c>
      <c r="J1559" s="1047"/>
      <c r="K1559" s="383">
        <v>202.66</v>
      </c>
      <c r="L1559" s="383">
        <v>202.66</v>
      </c>
    </row>
    <row r="1560" spans="2:12">
      <c r="B1560" s="1050"/>
      <c r="C1560" s="1050"/>
      <c r="D1560" s="382" t="s">
        <v>2738</v>
      </c>
      <c r="E1560" s="382" t="s">
        <v>2739</v>
      </c>
      <c r="F1560" s="382" t="s">
        <v>2342</v>
      </c>
      <c r="G1560" s="382" t="s">
        <v>2349</v>
      </c>
      <c r="H1560" s="383">
        <v>466.79</v>
      </c>
      <c r="I1560" s="1046">
        <v>0</v>
      </c>
      <c r="J1560" s="1047"/>
      <c r="K1560" s="383">
        <v>347.92</v>
      </c>
      <c r="L1560" s="383">
        <v>814.71</v>
      </c>
    </row>
    <row r="1561" spans="2:12">
      <c r="B1561" s="1050"/>
      <c r="C1561" s="1050"/>
      <c r="D1561" s="382" t="s">
        <v>2738</v>
      </c>
      <c r="E1561" s="382" t="s">
        <v>2739</v>
      </c>
      <c r="F1561" s="382" t="s">
        <v>2342</v>
      </c>
      <c r="G1561" s="382" t="s">
        <v>2350</v>
      </c>
      <c r="H1561" s="383">
        <v>119.19</v>
      </c>
      <c r="I1561" s="1046">
        <v>0</v>
      </c>
      <c r="J1561" s="1047"/>
      <c r="K1561" s="383">
        <v>0</v>
      </c>
      <c r="L1561" s="383">
        <v>119.19</v>
      </c>
    </row>
    <row r="1562" spans="2:12">
      <c r="B1562" s="1050"/>
      <c r="C1562" s="1050"/>
      <c r="D1562" s="382" t="s">
        <v>2738</v>
      </c>
      <c r="E1562" s="382" t="s">
        <v>2739</v>
      </c>
      <c r="F1562" s="382" t="s">
        <v>2342</v>
      </c>
      <c r="G1562" s="382" t="s">
        <v>2352</v>
      </c>
      <c r="H1562" s="383">
        <v>383.35</v>
      </c>
      <c r="I1562" s="1046">
        <v>0</v>
      </c>
      <c r="J1562" s="1047"/>
      <c r="K1562" s="383">
        <v>51.7</v>
      </c>
      <c r="L1562" s="383">
        <v>435.05</v>
      </c>
    </row>
    <row r="1563" spans="2:12">
      <c r="B1563" s="1050"/>
      <c r="C1563" s="1050"/>
      <c r="D1563" s="382" t="s">
        <v>2738</v>
      </c>
      <c r="E1563" s="382" t="s">
        <v>2739</v>
      </c>
      <c r="F1563" s="382" t="s">
        <v>2342</v>
      </c>
      <c r="G1563" s="382" t="s">
        <v>2353</v>
      </c>
      <c r="H1563" s="383">
        <v>66.52</v>
      </c>
      <c r="I1563" s="1046">
        <v>0</v>
      </c>
      <c r="J1563" s="1047"/>
      <c r="K1563" s="383">
        <v>102.63</v>
      </c>
      <c r="L1563" s="383">
        <v>169.15</v>
      </c>
    </row>
    <row r="1564" spans="2:12">
      <c r="B1564" s="1050"/>
      <c r="C1564" s="1050"/>
      <c r="D1564" s="382" t="s">
        <v>2740</v>
      </c>
      <c r="E1564" s="382" t="s">
        <v>2741</v>
      </c>
      <c r="F1564" s="382" t="s">
        <v>2342</v>
      </c>
      <c r="G1564" s="382" t="s">
        <v>2343</v>
      </c>
      <c r="H1564" s="383">
        <v>0</v>
      </c>
      <c r="I1564" s="1046">
        <v>0</v>
      </c>
      <c r="J1564" s="1047"/>
      <c r="K1564" s="383">
        <v>289.17</v>
      </c>
      <c r="L1564" s="383">
        <v>289.17</v>
      </c>
    </row>
    <row r="1565" spans="2:12">
      <c r="B1565" s="1050"/>
      <c r="C1565" s="1050"/>
      <c r="D1565" s="382" t="s">
        <v>2740</v>
      </c>
      <c r="E1565" s="382" t="s">
        <v>2741</v>
      </c>
      <c r="F1565" s="382" t="s">
        <v>2342</v>
      </c>
      <c r="G1565" s="382" t="s">
        <v>2348</v>
      </c>
      <c r="H1565" s="383">
        <v>0</v>
      </c>
      <c r="I1565" s="1046">
        <v>0</v>
      </c>
      <c r="J1565" s="1047"/>
      <c r="K1565" s="383">
        <v>353.19</v>
      </c>
      <c r="L1565" s="383">
        <v>353.19</v>
      </c>
    </row>
    <row r="1566" spans="2:12">
      <c r="B1566" s="1050"/>
      <c r="C1566" s="1050"/>
      <c r="D1566" s="382" t="s">
        <v>2740</v>
      </c>
      <c r="E1566" s="382" t="s">
        <v>2741</v>
      </c>
      <c r="F1566" s="382" t="s">
        <v>2342</v>
      </c>
      <c r="G1566" s="382" t="s">
        <v>2349</v>
      </c>
      <c r="H1566" s="383">
        <v>0</v>
      </c>
      <c r="I1566" s="1046">
        <v>0</v>
      </c>
      <c r="J1566" s="1047"/>
      <c r="K1566" s="383">
        <v>8437.5</v>
      </c>
      <c r="L1566" s="383">
        <v>8437.5</v>
      </c>
    </row>
    <row r="1567" spans="2:12">
      <c r="B1567" s="1050"/>
      <c r="C1567" s="1050"/>
      <c r="D1567" s="382" t="s">
        <v>2740</v>
      </c>
      <c r="E1567" s="382" t="s">
        <v>2741</v>
      </c>
      <c r="F1567" s="382" t="s">
        <v>2342</v>
      </c>
      <c r="G1567" s="382" t="s">
        <v>2350</v>
      </c>
      <c r="H1567" s="383">
        <v>0</v>
      </c>
      <c r="I1567" s="1046">
        <v>0</v>
      </c>
      <c r="J1567" s="1047"/>
      <c r="K1567" s="383">
        <v>280.81</v>
      </c>
      <c r="L1567" s="383">
        <v>280.81</v>
      </c>
    </row>
    <row r="1568" spans="2:12">
      <c r="B1568" s="1050"/>
      <c r="C1568" s="1050"/>
      <c r="D1568" s="382" t="s">
        <v>2740</v>
      </c>
      <c r="E1568" s="382" t="s">
        <v>2741</v>
      </c>
      <c r="F1568" s="382" t="s">
        <v>2342</v>
      </c>
      <c r="G1568" s="382" t="s">
        <v>2352</v>
      </c>
      <c r="H1568" s="383">
        <v>0</v>
      </c>
      <c r="I1568" s="1046">
        <v>0</v>
      </c>
      <c r="J1568" s="1047"/>
      <c r="K1568" s="383">
        <v>1093.06</v>
      </c>
      <c r="L1568" s="383">
        <v>1093.06</v>
      </c>
    </row>
    <row r="1569" spans="2:12">
      <c r="B1569" s="1050"/>
      <c r="C1569" s="1050"/>
      <c r="D1569" s="382" t="s">
        <v>2740</v>
      </c>
      <c r="E1569" s="382" t="s">
        <v>2741</v>
      </c>
      <c r="F1569" s="382" t="s">
        <v>2342</v>
      </c>
      <c r="G1569" s="382" t="s">
        <v>2353</v>
      </c>
      <c r="H1569" s="383">
        <v>292.12</v>
      </c>
      <c r="I1569" s="1046">
        <v>0</v>
      </c>
      <c r="J1569" s="1047"/>
      <c r="K1569" s="383">
        <v>0</v>
      </c>
      <c r="L1569" s="383">
        <v>292.12</v>
      </c>
    </row>
    <row r="1570" spans="2:12">
      <c r="B1570" s="1050"/>
      <c r="C1570" s="1050"/>
      <c r="D1570" s="382" t="s">
        <v>2742</v>
      </c>
      <c r="E1570" s="382" t="s">
        <v>2743</v>
      </c>
      <c r="F1570" s="382" t="s">
        <v>2342</v>
      </c>
      <c r="G1570" s="382" t="s">
        <v>2355</v>
      </c>
      <c r="H1570" s="383">
        <v>24771.22</v>
      </c>
      <c r="I1570" s="1046">
        <v>0</v>
      </c>
      <c r="J1570" s="1047"/>
      <c r="K1570" s="383">
        <v>2043.27</v>
      </c>
      <c r="L1570" s="383">
        <v>26814.49</v>
      </c>
    </row>
    <row r="1571" spans="2:12">
      <c r="B1571" s="1050"/>
      <c r="C1571" s="1051"/>
      <c r="D1571" s="359" t="s">
        <v>12</v>
      </c>
      <c r="E1571" s="359" t="s">
        <v>111</v>
      </c>
      <c r="F1571" s="359" t="s">
        <v>111</v>
      </c>
      <c r="G1571" s="359" t="s">
        <v>111</v>
      </c>
      <c r="H1571" s="384">
        <v>31527.98</v>
      </c>
      <c r="I1571" s="1048">
        <v>0</v>
      </c>
      <c r="J1571" s="1047"/>
      <c r="K1571" s="384">
        <v>20107.59</v>
      </c>
      <c r="L1571" s="384">
        <v>51635.57</v>
      </c>
    </row>
    <row r="1572" spans="2:12">
      <c r="B1572" s="1050"/>
      <c r="C1572" s="1049" t="s">
        <v>2744</v>
      </c>
      <c r="D1572" s="382" t="s">
        <v>2745</v>
      </c>
      <c r="E1572" s="382" t="s">
        <v>2746</v>
      </c>
      <c r="F1572" s="382" t="s">
        <v>2342</v>
      </c>
      <c r="G1572" s="382" t="s">
        <v>2343</v>
      </c>
      <c r="H1572" s="383">
        <v>7.85</v>
      </c>
      <c r="I1572" s="1046">
        <v>0</v>
      </c>
      <c r="J1572" s="1047"/>
      <c r="K1572" s="383">
        <v>69.319999999999993</v>
      </c>
      <c r="L1572" s="383">
        <v>77.17</v>
      </c>
    </row>
    <row r="1573" spans="2:12">
      <c r="B1573" s="1050"/>
      <c r="C1573" s="1050"/>
      <c r="D1573" s="382" t="s">
        <v>2745</v>
      </c>
      <c r="E1573" s="382" t="s">
        <v>2746</v>
      </c>
      <c r="F1573" s="382" t="s">
        <v>2342</v>
      </c>
      <c r="G1573" s="382" t="s">
        <v>2344</v>
      </c>
      <c r="H1573" s="383">
        <v>379.1</v>
      </c>
      <c r="I1573" s="1046">
        <v>0</v>
      </c>
      <c r="J1573" s="1047"/>
      <c r="K1573" s="383">
        <v>76.489999999999995</v>
      </c>
      <c r="L1573" s="383">
        <v>455.59</v>
      </c>
    </row>
    <row r="1574" spans="2:12">
      <c r="B1574" s="1050"/>
      <c r="C1574" s="1050"/>
      <c r="D1574" s="382" t="s">
        <v>2745</v>
      </c>
      <c r="E1574" s="382" t="s">
        <v>2746</v>
      </c>
      <c r="F1574" s="382" t="s">
        <v>2342</v>
      </c>
      <c r="G1574" s="382" t="s">
        <v>2345</v>
      </c>
      <c r="H1574" s="383">
        <v>12.86</v>
      </c>
      <c r="I1574" s="1046">
        <v>0</v>
      </c>
      <c r="J1574" s="1047"/>
      <c r="K1574" s="383">
        <v>267.83999999999997</v>
      </c>
      <c r="L1574" s="383">
        <v>280.7</v>
      </c>
    </row>
    <row r="1575" spans="2:12">
      <c r="B1575" s="1050"/>
      <c r="C1575" s="1050"/>
      <c r="D1575" s="382" t="s">
        <v>2745</v>
      </c>
      <c r="E1575" s="382" t="s">
        <v>2746</v>
      </c>
      <c r="F1575" s="382" t="s">
        <v>2342</v>
      </c>
      <c r="G1575" s="382" t="s">
        <v>2346</v>
      </c>
      <c r="H1575" s="383">
        <v>48.57</v>
      </c>
      <c r="I1575" s="1046">
        <v>0</v>
      </c>
      <c r="J1575" s="1047"/>
      <c r="K1575" s="383">
        <v>53.04</v>
      </c>
      <c r="L1575" s="383">
        <v>101.61</v>
      </c>
    </row>
    <row r="1576" spans="2:12">
      <c r="B1576" s="1050"/>
      <c r="C1576" s="1050"/>
      <c r="D1576" s="382" t="s">
        <v>2745</v>
      </c>
      <c r="E1576" s="382" t="s">
        <v>2746</v>
      </c>
      <c r="F1576" s="382" t="s">
        <v>2342</v>
      </c>
      <c r="G1576" s="382" t="s">
        <v>2347</v>
      </c>
      <c r="H1576" s="383">
        <v>323.64999999999998</v>
      </c>
      <c r="I1576" s="1046">
        <v>0</v>
      </c>
      <c r="J1576" s="1047"/>
      <c r="K1576" s="383">
        <v>602.79</v>
      </c>
      <c r="L1576" s="383">
        <v>926.44</v>
      </c>
    </row>
    <row r="1577" spans="2:12">
      <c r="B1577" s="1050"/>
      <c r="C1577" s="1050"/>
      <c r="D1577" s="382" t="s">
        <v>2745</v>
      </c>
      <c r="E1577" s="382" t="s">
        <v>2746</v>
      </c>
      <c r="F1577" s="382" t="s">
        <v>2342</v>
      </c>
      <c r="G1577" s="382" t="s">
        <v>2348</v>
      </c>
      <c r="H1577" s="383">
        <v>112.24</v>
      </c>
      <c r="I1577" s="1046">
        <v>0</v>
      </c>
      <c r="J1577" s="1047"/>
      <c r="K1577" s="383">
        <v>334.55</v>
      </c>
      <c r="L1577" s="383">
        <v>446.79</v>
      </c>
    </row>
    <row r="1578" spans="2:12">
      <c r="B1578" s="1050"/>
      <c r="C1578" s="1050"/>
      <c r="D1578" s="382" t="s">
        <v>2745</v>
      </c>
      <c r="E1578" s="382" t="s">
        <v>2746</v>
      </c>
      <c r="F1578" s="382" t="s">
        <v>2342</v>
      </c>
      <c r="G1578" s="382" t="s">
        <v>2349</v>
      </c>
      <c r="H1578" s="383">
        <v>570.44000000000005</v>
      </c>
      <c r="I1578" s="1046">
        <v>0</v>
      </c>
      <c r="J1578" s="1047"/>
      <c r="K1578" s="383">
        <v>537.52</v>
      </c>
      <c r="L1578" s="383">
        <v>1107.96</v>
      </c>
    </row>
    <row r="1579" spans="2:12">
      <c r="B1579" s="1050"/>
      <c r="C1579" s="1050"/>
      <c r="D1579" s="382" t="s">
        <v>2745</v>
      </c>
      <c r="E1579" s="382" t="s">
        <v>2746</v>
      </c>
      <c r="F1579" s="382" t="s">
        <v>2342</v>
      </c>
      <c r="G1579" s="382" t="s">
        <v>2350</v>
      </c>
      <c r="H1579" s="383">
        <v>442.97</v>
      </c>
      <c r="I1579" s="1046">
        <v>0</v>
      </c>
      <c r="J1579" s="1047"/>
      <c r="K1579" s="383">
        <v>204.35</v>
      </c>
      <c r="L1579" s="383">
        <v>647.32000000000005</v>
      </c>
    </row>
    <row r="1580" spans="2:12">
      <c r="B1580" s="1050"/>
      <c r="C1580" s="1050"/>
      <c r="D1580" s="382" t="s">
        <v>2745</v>
      </c>
      <c r="E1580" s="382" t="s">
        <v>2746</v>
      </c>
      <c r="F1580" s="382" t="s">
        <v>2342</v>
      </c>
      <c r="G1580" s="382" t="s">
        <v>2351</v>
      </c>
      <c r="H1580" s="383">
        <v>311.33</v>
      </c>
      <c r="I1580" s="1046">
        <v>0</v>
      </c>
      <c r="J1580" s="1047"/>
      <c r="K1580" s="383">
        <v>455.7</v>
      </c>
      <c r="L1580" s="383">
        <v>767.03</v>
      </c>
    </row>
    <row r="1581" spans="2:12">
      <c r="B1581" s="1050"/>
      <c r="C1581" s="1050"/>
      <c r="D1581" s="382" t="s">
        <v>2745</v>
      </c>
      <c r="E1581" s="382" t="s">
        <v>2746</v>
      </c>
      <c r="F1581" s="382" t="s">
        <v>2342</v>
      </c>
      <c r="G1581" s="382" t="s">
        <v>2352</v>
      </c>
      <c r="H1581" s="383">
        <v>318.42</v>
      </c>
      <c r="I1581" s="1046">
        <v>0</v>
      </c>
      <c r="J1581" s="1047"/>
      <c r="K1581" s="383">
        <v>213.46</v>
      </c>
      <c r="L1581" s="383">
        <v>531.88</v>
      </c>
    </row>
    <row r="1582" spans="2:12">
      <c r="B1582" s="1050"/>
      <c r="C1582" s="1050"/>
      <c r="D1582" s="382" t="s">
        <v>2745</v>
      </c>
      <c r="E1582" s="382" t="s">
        <v>2746</v>
      </c>
      <c r="F1582" s="382" t="s">
        <v>2342</v>
      </c>
      <c r="G1582" s="382" t="s">
        <v>2353</v>
      </c>
      <c r="H1582" s="383">
        <v>5.39</v>
      </c>
      <c r="I1582" s="1046">
        <v>0</v>
      </c>
      <c r="J1582" s="1047"/>
      <c r="K1582" s="383">
        <v>51.85</v>
      </c>
      <c r="L1582" s="383">
        <v>57.24</v>
      </c>
    </row>
    <row r="1583" spans="2:12">
      <c r="B1583" s="1050"/>
      <c r="C1583" s="1050"/>
      <c r="D1583" s="382" t="s">
        <v>2747</v>
      </c>
      <c r="E1583" s="382" t="s">
        <v>2184</v>
      </c>
      <c r="F1583" s="382" t="s">
        <v>2342</v>
      </c>
      <c r="G1583" s="382" t="s">
        <v>2343</v>
      </c>
      <c r="H1583" s="383">
        <v>58.59</v>
      </c>
      <c r="I1583" s="1046">
        <v>0</v>
      </c>
      <c r="J1583" s="1047"/>
      <c r="K1583" s="383">
        <v>143.35</v>
      </c>
      <c r="L1583" s="383">
        <v>201.94</v>
      </c>
    </row>
    <row r="1584" spans="2:12">
      <c r="B1584" s="1050"/>
      <c r="C1584" s="1050"/>
      <c r="D1584" s="382" t="s">
        <v>2747</v>
      </c>
      <c r="E1584" s="382" t="s">
        <v>2184</v>
      </c>
      <c r="F1584" s="382" t="s">
        <v>2342</v>
      </c>
      <c r="G1584" s="382" t="s">
        <v>2344</v>
      </c>
      <c r="H1584" s="383">
        <v>190.23</v>
      </c>
      <c r="I1584" s="1046">
        <v>0</v>
      </c>
      <c r="J1584" s="1047"/>
      <c r="K1584" s="383">
        <v>91.75</v>
      </c>
      <c r="L1584" s="383">
        <v>281.98</v>
      </c>
    </row>
    <row r="1585" spans="2:12">
      <c r="B1585" s="1050"/>
      <c r="C1585" s="1050"/>
      <c r="D1585" s="382" t="s">
        <v>2747</v>
      </c>
      <c r="E1585" s="382" t="s">
        <v>2184</v>
      </c>
      <c r="F1585" s="382" t="s">
        <v>2342</v>
      </c>
      <c r="G1585" s="382" t="s">
        <v>2345</v>
      </c>
      <c r="H1585" s="383">
        <v>0</v>
      </c>
      <c r="I1585" s="1046">
        <v>0</v>
      </c>
      <c r="J1585" s="1047"/>
      <c r="K1585" s="383">
        <v>184.88</v>
      </c>
      <c r="L1585" s="383">
        <v>184.88</v>
      </c>
    </row>
    <row r="1586" spans="2:12">
      <c r="B1586" s="1050"/>
      <c r="C1586" s="1050"/>
      <c r="D1586" s="382" t="s">
        <v>2747</v>
      </c>
      <c r="E1586" s="382" t="s">
        <v>2184</v>
      </c>
      <c r="F1586" s="382" t="s">
        <v>2342</v>
      </c>
      <c r="G1586" s="382" t="s">
        <v>2346</v>
      </c>
      <c r="H1586" s="383">
        <v>15.91</v>
      </c>
      <c r="I1586" s="1046">
        <v>0</v>
      </c>
      <c r="J1586" s="1047"/>
      <c r="K1586" s="383">
        <v>60.83</v>
      </c>
      <c r="L1586" s="383">
        <v>76.739999999999995</v>
      </c>
    </row>
    <row r="1587" spans="2:12">
      <c r="B1587" s="1050"/>
      <c r="C1587" s="1050"/>
      <c r="D1587" s="382" t="s">
        <v>2747</v>
      </c>
      <c r="E1587" s="382" t="s">
        <v>2184</v>
      </c>
      <c r="F1587" s="382" t="s">
        <v>2342</v>
      </c>
      <c r="G1587" s="382" t="s">
        <v>2347</v>
      </c>
      <c r="H1587" s="383">
        <v>411.7</v>
      </c>
      <c r="I1587" s="1046">
        <v>0</v>
      </c>
      <c r="J1587" s="1047"/>
      <c r="K1587" s="383">
        <v>147.05000000000001</v>
      </c>
      <c r="L1587" s="383">
        <v>558.75</v>
      </c>
    </row>
    <row r="1588" spans="2:12">
      <c r="B1588" s="1050"/>
      <c r="C1588" s="1050"/>
      <c r="D1588" s="382" t="s">
        <v>2747</v>
      </c>
      <c r="E1588" s="382" t="s">
        <v>2184</v>
      </c>
      <c r="F1588" s="382" t="s">
        <v>2342</v>
      </c>
      <c r="G1588" s="382" t="s">
        <v>2348</v>
      </c>
      <c r="H1588" s="383">
        <v>398.54</v>
      </c>
      <c r="I1588" s="1046">
        <v>0</v>
      </c>
      <c r="J1588" s="1047"/>
      <c r="K1588" s="383">
        <v>322.8</v>
      </c>
      <c r="L1588" s="383">
        <v>721.34</v>
      </c>
    </row>
    <row r="1589" spans="2:12">
      <c r="B1589" s="1050"/>
      <c r="C1589" s="1050"/>
      <c r="D1589" s="382" t="s">
        <v>2747</v>
      </c>
      <c r="E1589" s="382" t="s">
        <v>2184</v>
      </c>
      <c r="F1589" s="382" t="s">
        <v>2342</v>
      </c>
      <c r="G1589" s="382" t="s">
        <v>2349</v>
      </c>
      <c r="H1589" s="383">
        <v>38.909999999999997</v>
      </c>
      <c r="I1589" s="1046">
        <v>0</v>
      </c>
      <c r="J1589" s="1047"/>
      <c r="K1589" s="383">
        <v>0.09</v>
      </c>
      <c r="L1589" s="383">
        <v>39</v>
      </c>
    </row>
    <row r="1590" spans="2:12">
      <c r="B1590" s="1050"/>
      <c r="C1590" s="1050"/>
      <c r="D1590" s="382" t="s">
        <v>2747</v>
      </c>
      <c r="E1590" s="382" t="s">
        <v>2184</v>
      </c>
      <c r="F1590" s="382" t="s">
        <v>2342</v>
      </c>
      <c r="G1590" s="382" t="s">
        <v>2350</v>
      </c>
      <c r="H1590" s="383">
        <v>400.42</v>
      </c>
      <c r="I1590" s="1046">
        <v>0</v>
      </c>
      <c r="J1590" s="1047"/>
      <c r="K1590" s="383">
        <v>221.9</v>
      </c>
      <c r="L1590" s="383">
        <v>622.32000000000005</v>
      </c>
    </row>
    <row r="1591" spans="2:12">
      <c r="B1591" s="1050"/>
      <c r="C1591" s="1050"/>
      <c r="D1591" s="382" t="s">
        <v>2747</v>
      </c>
      <c r="E1591" s="382" t="s">
        <v>2184</v>
      </c>
      <c r="F1591" s="382" t="s">
        <v>2342</v>
      </c>
      <c r="G1591" s="382" t="s">
        <v>2351</v>
      </c>
      <c r="H1591" s="383">
        <v>579.83000000000004</v>
      </c>
      <c r="I1591" s="1046">
        <v>0</v>
      </c>
      <c r="J1591" s="1047"/>
      <c r="K1591" s="383">
        <v>214.79</v>
      </c>
      <c r="L1591" s="383">
        <v>794.62</v>
      </c>
    </row>
    <row r="1592" spans="2:12">
      <c r="B1592" s="1050"/>
      <c r="C1592" s="1050"/>
      <c r="D1592" s="382" t="s">
        <v>2747</v>
      </c>
      <c r="E1592" s="382" t="s">
        <v>2184</v>
      </c>
      <c r="F1592" s="382" t="s">
        <v>2342</v>
      </c>
      <c r="G1592" s="382" t="s">
        <v>2352</v>
      </c>
      <c r="H1592" s="383">
        <v>0.09</v>
      </c>
      <c r="I1592" s="1046">
        <v>0</v>
      </c>
      <c r="J1592" s="1047"/>
      <c r="K1592" s="383">
        <v>0</v>
      </c>
      <c r="L1592" s="383">
        <v>0.09</v>
      </c>
    </row>
    <row r="1593" spans="2:12">
      <c r="B1593" s="1050"/>
      <c r="C1593" s="1050"/>
      <c r="D1593" s="382" t="s">
        <v>2747</v>
      </c>
      <c r="E1593" s="382" t="s">
        <v>2184</v>
      </c>
      <c r="F1593" s="382" t="s">
        <v>2342</v>
      </c>
      <c r="G1593" s="382" t="s">
        <v>2353</v>
      </c>
      <c r="H1593" s="383">
        <v>72.150000000000006</v>
      </c>
      <c r="I1593" s="1046">
        <v>0</v>
      </c>
      <c r="J1593" s="1047"/>
      <c r="K1593" s="383">
        <v>215.64</v>
      </c>
      <c r="L1593" s="383">
        <v>287.79000000000002</v>
      </c>
    </row>
    <row r="1594" spans="2:12">
      <c r="B1594" s="1050"/>
      <c r="C1594" s="1050"/>
      <c r="D1594" s="382" t="s">
        <v>2747</v>
      </c>
      <c r="E1594" s="382" t="s">
        <v>2184</v>
      </c>
      <c r="F1594" s="382" t="s">
        <v>2342</v>
      </c>
      <c r="G1594" s="382" t="s">
        <v>405</v>
      </c>
      <c r="H1594" s="383">
        <v>0.04</v>
      </c>
      <c r="I1594" s="1046">
        <v>0</v>
      </c>
      <c r="J1594" s="1047"/>
      <c r="K1594" s="383">
        <v>0</v>
      </c>
      <c r="L1594" s="383">
        <v>0.04</v>
      </c>
    </row>
    <row r="1595" spans="2:12">
      <c r="B1595" s="1050"/>
      <c r="C1595" s="1050"/>
      <c r="D1595" s="382" t="s">
        <v>2748</v>
      </c>
      <c r="E1595" s="382" t="s">
        <v>2749</v>
      </c>
      <c r="F1595" s="382" t="s">
        <v>2342</v>
      </c>
      <c r="G1595" s="382" t="s">
        <v>2343</v>
      </c>
      <c r="H1595" s="383">
        <v>33.67</v>
      </c>
      <c r="I1595" s="1046">
        <v>0</v>
      </c>
      <c r="J1595" s="1047"/>
      <c r="K1595" s="383">
        <v>1719.24</v>
      </c>
      <c r="L1595" s="383">
        <v>1752.91</v>
      </c>
    </row>
    <row r="1596" spans="2:12">
      <c r="B1596" s="1050"/>
      <c r="C1596" s="1050"/>
      <c r="D1596" s="382" t="s">
        <v>2748</v>
      </c>
      <c r="E1596" s="382" t="s">
        <v>2749</v>
      </c>
      <c r="F1596" s="382" t="s">
        <v>2342</v>
      </c>
      <c r="G1596" s="382" t="s">
        <v>2344</v>
      </c>
      <c r="H1596" s="383">
        <v>19.37</v>
      </c>
      <c r="I1596" s="1046">
        <v>0</v>
      </c>
      <c r="J1596" s="1047"/>
      <c r="K1596" s="383">
        <v>0</v>
      </c>
      <c r="L1596" s="383">
        <v>19.37</v>
      </c>
    </row>
    <row r="1597" spans="2:12">
      <c r="B1597" s="1050"/>
      <c r="C1597" s="1050"/>
      <c r="D1597" s="382" t="s">
        <v>2748</v>
      </c>
      <c r="E1597" s="382" t="s">
        <v>2749</v>
      </c>
      <c r="F1597" s="382" t="s">
        <v>2342</v>
      </c>
      <c r="G1597" s="382" t="s">
        <v>2345</v>
      </c>
      <c r="H1597" s="383">
        <v>0.08</v>
      </c>
      <c r="I1597" s="1046">
        <v>0</v>
      </c>
      <c r="J1597" s="1047"/>
      <c r="K1597" s="383">
        <v>0</v>
      </c>
      <c r="L1597" s="383">
        <v>0.08</v>
      </c>
    </row>
    <row r="1598" spans="2:12">
      <c r="B1598" s="1050"/>
      <c r="C1598" s="1050"/>
      <c r="D1598" s="382" t="s">
        <v>2748</v>
      </c>
      <c r="E1598" s="382" t="s">
        <v>2749</v>
      </c>
      <c r="F1598" s="382" t="s">
        <v>2342</v>
      </c>
      <c r="G1598" s="382" t="s">
        <v>2346</v>
      </c>
      <c r="H1598" s="383">
        <v>2.89</v>
      </c>
      <c r="I1598" s="1046">
        <v>0</v>
      </c>
      <c r="J1598" s="1047"/>
      <c r="K1598" s="383">
        <v>0.85</v>
      </c>
      <c r="L1598" s="383">
        <v>3.74</v>
      </c>
    </row>
    <row r="1599" spans="2:12">
      <c r="B1599" s="1050"/>
      <c r="C1599" s="1050"/>
      <c r="D1599" s="382" t="s">
        <v>2748</v>
      </c>
      <c r="E1599" s="382" t="s">
        <v>2749</v>
      </c>
      <c r="F1599" s="382" t="s">
        <v>2342</v>
      </c>
      <c r="G1599" s="382" t="s">
        <v>2347</v>
      </c>
      <c r="H1599" s="383">
        <v>182.24</v>
      </c>
      <c r="I1599" s="1046">
        <v>0</v>
      </c>
      <c r="J1599" s="1047"/>
      <c r="K1599" s="383">
        <v>209.59</v>
      </c>
      <c r="L1599" s="383">
        <v>391.83</v>
      </c>
    </row>
    <row r="1600" spans="2:12">
      <c r="B1600" s="1050"/>
      <c r="C1600" s="1050"/>
      <c r="D1600" s="382" t="s">
        <v>2748</v>
      </c>
      <c r="E1600" s="382" t="s">
        <v>2749</v>
      </c>
      <c r="F1600" s="382" t="s">
        <v>2342</v>
      </c>
      <c r="G1600" s="382" t="s">
        <v>2348</v>
      </c>
      <c r="H1600" s="383">
        <v>180.86</v>
      </c>
      <c r="I1600" s="1046">
        <v>0</v>
      </c>
      <c r="J1600" s="1047"/>
      <c r="K1600" s="383">
        <v>23.83</v>
      </c>
      <c r="L1600" s="383">
        <v>204.69</v>
      </c>
    </row>
    <row r="1601" spans="2:12">
      <c r="B1601" s="1050"/>
      <c r="C1601" s="1050"/>
      <c r="D1601" s="382" t="s">
        <v>2748</v>
      </c>
      <c r="E1601" s="382" t="s">
        <v>2749</v>
      </c>
      <c r="F1601" s="382" t="s">
        <v>2342</v>
      </c>
      <c r="G1601" s="382" t="s">
        <v>2349</v>
      </c>
      <c r="H1601" s="383">
        <v>41.23</v>
      </c>
      <c r="I1601" s="1046">
        <v>0</v>
      </c>
      <c r="J1601" s="1047"/>
      <c r="K1601" s="383">
        <v>289.2</v>
      </c>
      <c r="L1601" s="383">
        <v>330.43</v>
      </c>
    </row>
    <row r="1602" spans="2:12">
      <c r="B1602" s="1050"/>
      <c r="C1602" s="1050"/>
      <c r="D1602" s="382" t="s">
        <v>2748</v>
      </c>
      <c r="E1602" s="382" t="s">
        <v>2749</v>
      </c>
      <c r="F1602" s="382" t="s">
        <v>2342</v>
      </c>
      <c r="G1602" s="382" t="s">
        <v>2351</v>
      </c>
      <c r="H1602" s="383">
        <v>12.62</v>
      </c>
      <c r="I1602" s="1046">
        <v>0</v>
      </c>
      <c r="J1602" s="1047"/>
      <c r="K1602" s="383">
        <v>0</v>
      </c>
      <c r="L1602" s="383">
        <v>12.62</v>
      </c>
    </row>
    <row r="1603" spans="2:12">
      <c r="B1603" s="1050"/>
      <c r="C1603" s="1050"/>
      <c r="D1603" s="382" t="s">
        <v>2748</v>
      </c>
      <c r="E1603" s="382" t="s">
        <v>2749</v>
      </c>
      <c r="F1603" s="382" t="s">
        <v>2342</v>
      </c>
      <c r="G1603" s="382" t="s">
        <v>2352</v>
      </c>
      <c r="H1603" s="383">
        <v>213.99</v>
      </c>
      <c r="I1603" s="1046">
        <v>0</v>
      </c>
      <c r="J1603" s="1047"/>
      <c r="K1603" s="383">
        <v>175.58</v>
      </c>
      <c r="L1603" s="383">
        <v>389.57</v>
      </c>
    </row>
    <row r="1604" spans="2:12">
      <c r="B1604" s="1050"/>
      <c r="C1604" s="1050"/>
      <c r="D1604" s="382" t="s">
        <v>2748</v>
      </c>
      <c r="E1604" s="382" t="s">
        <v>2749</v>
      </c>
      <c r="F1604" s="382" t="s">
        <v>2342</v>
      </c>
      <c r="G1604" s="382" t="s">
        <v>2353</v>
      </c>
      <c r="H1604" s="383">
        <v>0</v>
      </c>
      <c r="I1604" s="1046">
        <v>0</v>
      </c>
      <c r="J1604" s="1047"/>
      <c r="K1604" s="383">
        <v>24.02</v>
      </c>
      <c r="L1604" s="383">
        <v>24.02</v>
      </c>
    </row>
    <row r="1605" spans="2:12">
      <c r="B1605" s="1050"/>
      <c r="C1605" s="1050"/>
      <c r="D1605" s="382" t="s">
        <v>2750</v>
      </c>
      <c r="E1605" s="382" t="s">
        <v>2741</v>
      </c>
      <c r="F1605" s="382" t="s">
        <v>2342</v>
      </c>
      <c r="G1605" s="382" t="s">
        <v>2344</v>
      </c>
      <c r="H1605" s="383">
        <v>0</v>
      </c>
      <c r="I1605" s="1046">
        <v>0</v>
      </c>
      <c r="J1605" s="1047"/>
      <c r="K1605" s="383">
        <v>87.99</v>
      </c>
      <c r="L1605" s="383">
        <v>87.99</v>
      </c>
    </row>
    <row r="1606" spans="2:12">
      <c r="B1606" s="1050"/>
      <c r="C1606" s="1050"/>
      <c r="D1606" s="382" t="s">
        <v>2750</v>
      </c>
      <c r="E1606" s="382" t="s">
        <v>2741</v>
      </c>
      <c r="F1606" s="382" t="s">
        <v>2342</v>
      </c>
      <c r="G1606" s="382" t="s">
        <v>2348</v>
      </c>
      <c r="H1606" s="383">
        <v>232.17</v>
      </c>
      <c r="I1606" s="1046">
        <v>0</v>
      </c>
      <c r="J1606" s="1047"/>
      <c r="K1606" s="383">
        <v>0</v>
      </c>
      <c r="L1606" s="383">
        <v>232.17</v>
      </c>
    </row>
    <row r="1607" spans="2:12">
      <c r="B1607" s="1050"/>
      <c r="C1607" s="1050"/>
      <c r="D1607" s="382" t="s">
        <v>2750</v>
      </c>
      <c r="E1607" s="382" t="s">
        <v>2741</v>
      </c>
      <c r="F1607" s="382" t="s">
        <v>2342</v>
      </c>
      <c r="G1607" s="382" t="s">
        <v>2349</v>
      </c>
      <c r="H1607" s="383">
        <v>0</v>
      </c>
      <c r="I1607" s="1046">
        <v>0</v>
      </c>
      <c r="J1607" s="1047"/>
      <c r="K1607" s="383">
        <v>105877.8</v>
      </c>
      <c r="L1607" s="383">
        <v>105877.8</v>
      </c>
    </row>
    <row r="1608" spans="2:12">
      <c r="B1608" s="1050"/>
      <c r="C1608" s="1050"/>
      <c r="D1608" s="382" t="s">
        <v>2750</v>
      </c>
      <c r="E1608" s="382" t="s">
        <v>2741</v>
      </c>
      <c r="F1608" s="382" t="s">
        <v>2342</v>
      </c>
      <c r="G1608" s="382" t="s">
        <v>2350</v>
      </c>
      <c r="H1608" s="383">
        <v>1130.83</v>
      </c>
      <c r="I1608" s="1046">
        <v>0</v>
      </c>
      <c r="J1608" s="1047"/>
      <c r="K1608" s="383">
        <v>0.47</v>
      </c>
      <c r="L1608" s="383">
        <v>1131.3</v>
      </c>
    </row>
    <row r="1609" spans="2:12">
      <c r="B1609" s="1050"/>
      <c r="C1609" s="1050"/>
      <c r="D1609" s="382" t="s">
        <v>2750</v>
      </c>
      <c r="E1609" s="382" t="s">
        <v>2741</v>
      </c>
      <c r="F1609" s="382" t="s">
        <v>2342</v>
      </c>
      <c r="G1609" s="382" t="s">
        <v>2351</v>
      </c>
      <c r="H1609" s="383">
        <v>0</v>
      </c>
      <c r="I1609" s="1046">
        <v>0</v>
      </c>
      <c r="J1609" s="1047"/>
      <c r="K1609" s="383">
        <v>58.2</v>
      </c>
      <c r="L1609" s="383">
        <v>58.2</v>
      </c>
    </row>
    <row r="1610" spans="2:12">
      <c r="B1610" s="1050"/>
      <c r="C1610" s="1050"/>
      <c r="D1610" s="382" t="s">
        <v>2750</v>
      </c>
      <c r="E1610" s="382" t="s">
        <v>2741</v>
      </c>
      <c r="F1610" s="382" t="s">
        <v>2342</v>
      </c>
      <c r="G1610" s="382" t="s">
        <v>2352</v>
      </c>
      <c r="H1610" s="383">
        <v>44.83</v>
      </c>
      <c r="I1610" s="1046">
        <v>0</v>
      </c>
      <c r="J1610" s="1047"/>
      <c r="K1610" s="383">
        <v>0</v>
      </c>
      <c r="L1610" s="383">
        <v>44.83</v>
      </c>
    </row>
    <row r="1611" spans="2:12">
      <c r="B1611" s="1050"/>
      <c r="C1611" s="1050"/>
      <c r="D1611" s="382" t="s">
        <v>2750</v>
      </c>
      <c r="E1611" s="382" t="s">
        <v>2741</v>
      </c>
      <c r="F1611" s="382" t="s">
        <v>2342</v>
      </c>
      <c r="G1611" s="382" t="s">
        <v>2353</v>
      </c>
      <c r="H1611" s="383">
        <v>155.99</v>
      </c>
      <c r="I1611" s="1046">
        <v>0</v>
      </c>
      <c r="J1611" s="1047"/>
      <c r="K1611" s="383">
        <v>0</v>
      </c>
      <c r="L1611" s="383">
        <v>155.99</v>
      </c>
    </row>
    <row r="1612" spans="2:12">
      <c r="B1612" s="1050"/>
      <c r="C1612" s="1050"/>
      <c r="D1612" s="382" t="s">
        <v>2751</v>
      </c>
      <c r="E1612" s="382" t="s">
        <v>2743</v>
      </c>
      <c r="F1612" s="382" t="s">
        <v>2342</v>
      </c>
      <c r="G1612" s="382" t="s">
        <v>2355</v>
      </c>
      <c r="H1612" s="383">
        <v>112.59</v>
      </c>
      <c r="I1612" s="1046">
        <v>0</v>
      </c>
      <c r="J1612" s="1047"/>
      <c r="K1612" s="383">
        <v>644.76</v>
      </c>
      <c r="L1612" s="383">
        <v>757.35</v>
      </c>
    </row>
    <row r="1613" spans="2:12">
      <c r="B1613" s="1050"/>
      <c r="C1613" s="1051"/>
      <c r="D1613" s="359" t="s">
        <v>12</v>
      </c>
      <c r="E1613" s="359" t="s">
        <v>111</v>
      </c>
      <c r="F1613" s="359" t="s">
        <v>111</v>
      </c>
      <c r="G1613" s="359" t="s">
        <v>111</v>
      </c>
      <c r="H1613" s="384">
        <v>7062.59</v>
      </c>
      <c r="I1613" s="1048">
        <v>0</v>
      </c>
      <c r="J1613" s="1047"/>
      <c r="K1613" s="384">
        <v>113581.52</v>
      </c>
      <c r="L1613" s="384">
        <v>120644.11</v>
      </c>
    </row>
    <row r="1614" spans="2:12">
      <c r="B1614" s="1050"/>
      <c r="C1614" s="1049" t="s">
        <v>2752</v>
      </c>
      <c r="D1614" s="382" t="s">
        <v>2753</v>
      </c>
      <c r="E1614" s="382" t="s">
        <v>2185</v>
      </c>
      <c r="F1614" s="382" t="s">
        <v>2342</v>
      </c>
      <c r="G1614" s="382" t="s">
        <v>2355</v>
      </c>
      <c r="H1614" s="383">
        <v>847633.51</v>
      </c>
      <c r="I1614" s="1046">
        <v>0</v>
      </c>
      <c r="J1614" s="1047"/>
      <c r="K1614" s="383">
        <v>0</v>
      </c>
      <c r="L1614" s="383">
        <v>847633.51</v>
      </c>
    </row>
    <row r="1615" spans="2:12">
      <c r="B1615" s="1050"/>
      <c r="C1615" s="1051"/>
      <c r="D1615" s="359" t="s">
        <v>12</v>
      </c>
      <c r="E1615" s="359" t="s">
        <v>111</v>
      </c>
      <c r="F1615" s="359" t="s">
        <v>111</v>
      </c>
      <c r="G1615" s="359" t="s">
        <v>111</v>
      </c>
      <c r="H1615" s="384">
        <v>847633.51</v>
      </c>
      <c r="I1615" s="1048">
        <v>0</v>
      </c>
      <c r="J1615" s="1047"/>
      <c r="K1615" s="384">
        <v>0</v>
      </c>
      <c r="L1615" s="384">
        <v>847633.51</v>
      </c>
    </row>
    <row r="1616" spans="2:12">
      <c r="B1616" s="1050"/>
      <c r="C1616" s="1049" t="s">
        <v>2754</v>
      </c>
      <c r="D1616" s="382" t="s">
        <v>2755</v>
      </c>
      <c r="E1616" s="382" t="s">
        <v>2746</v>
      </c>
      <c r="F1616" s="382" t="s">
        <v>2342</v>
      </c>
      <c r="G1616" s="382" t="s">
        <v>2343</v>
      </c>
      <c r="H1616" s="383">
        <v>1674.63</v>
      </c>
      <c r="I1616" s="1046">
        <v>443.77</v>
      </c>
      <c r="J1616" s="1047"/>
      <c r="K1616" s="383">
        <v>2682.29</v>
      </c>
      <c r="L1616" s="383">
        <v>3913.15</v>
      </c>
    </row>
    <row r="1617" spans="2:12">
      <c r="B1617" s="1050"/>
      <c r="C1617" s="1050"/>
      <c r="D1617" s="382" t="s">
        <v>2755</v>
      </c>
      <c r="E1617" s="382" t="s">
        <v>2746</v>
      </c>
      <c r="F1617" s="382" t="s">
        <v>2342</v>
      </c>
      <c r="G1617" s="382" t="s">
        <v>2344</v>
      </c>
      <c r="H1617" s="383">
        <v>-123.9</v>
      </c>
      <c r="I1617" s="1046">
        <v>11.71</v>
      </c>
      <c r="J1617" s="1047"/>
      <c r="K1617" s="383">
        <v>490.45</v>
      </c>
      <c r="L1617" s="383">
        <v>354.84</v>
      </c>
    </row>
    <row r="1618" spans="2:12">
      <c r="B1618" s="1050"/>
      <c r="C1618" s="1050"/>
      <c r="D1618" s="382" t="s">
        <v>2755</v>
      </c>
      <c r="E1618" s="382" t="s">
        <v>2746</v>
      </c>
      <c r="F1618" s="382" t="s">
        <v>2342</v>
      </c>
      <c r="G1618" s="382" t="s">
        <v>2345</v>
      </c>
      <c r="H1618" s="383">
        <v>725.85</v>
      </c>
      <c r="I1618" s="1046">
        <v>264.02</v>
      </c>
      <c r="J1618" s="1047"/>
      <c r="K1618" s="383">
        <v>1350.17</v>
      </c>
      <c r="L1618" s="383">
        <v>1812</v>
      </c>
    </row>
    <row r="1619" spans="2:12">
      <c r="B1619" s="1050"/>
      <c r="C1619" s="1050"/>
      <c r="D1619" s="382" t="s">
        <v>2755</v>
      </c>
      <c r="E1619" s="382" t="s">
        <v>2746</v>
      </c>
      <c r="F1619" s="382" t="s">
        <v>2342</v>
      </c>
      <c r="G1619" s="382" t="s">
        <v>2346</v>
      </c>
      <c r="H1619" s="383">
        <v>682.42</v>
      </c>
      <c r="I1619" s="1046">
        <v>551.84</v>
      </c>
      <c r="J1619" s="1047"/>
      <c r="K1619" s="383">
        <v>808.4</v>
      </c>
      <c r="L1619" s="383">
        <v>938.98</v>
      </c>
    </row>
    <row r="1620" spans="2:12">
      <c r="B1620" s="1050"/>
      <c r="C1620" s="1050"/>
      <c r="D1620" s="382" t="s">
        <v>2755</v>
      </c>
      <c r="E1620" s="382" t="s">
        <v>2746</v>
      </c>
      <c r="F1620" s="382" t="s">
        <v>2342</v>
      </c>
      <c r="G1620" s="382" t="s">
        <v>2347</v>
      </c>
      <c r="H1620" s="383">
        <v>2938.01</v>
      </c>
      <c r="I1620" s="1046">
        <v>2245.71</v>
      </c>
      <c r="J1620" s="1047"/>
      <c r="K1620" s="383">
        <v>3541.79</v>
      </c>
      <c r="L1620" s="383">
        <v>4234.09</v>
      </c>
    </row>
    <row r="1621" spans="2:12">
      <c r="B1621" s="1050"/>
      <c r="C1621" s="1050"/>
      <c r="D1621" s="382" t="s">
        <v>2755</v>
      </c>
      <c r="E1621" s="382" t="s">
        <v>2746</v>
      </c>
      <c r="F1621" s="382" t="s">
        <v>2342</v>
      </c>
      <c r="G1621" s="382" t="s">
        <v>2348</v>
      </c>
      <c r="H1621" s="383">
        <v>2829.04</v>
      </c>
      <c r="I1621" s="1046">
        <v>1550.45</v>
      </c>
      <c r="J1621" s="1047"/>
      <c r="K1621" s="383">
        <v>1977.25</v>
      </c>
      <c r="L1621" s="383">
        <v>3255.84</v>
      </c>
    </row>
    <row r="1622" spans="2:12">
      <c r="B1622" s="1050"/>
      <c r="C1622" s="1050"/>
      <c r="D1622" s="382" t="s">
        <v>2755</v>
      </c>
      <c r="E1622" s="382" t="s">
        <v>2746</v>
      </c>
      <c r="F1622" s="382" t="s">
        <v>2342</v>
      </c>
      <c r="G1622" s="382" t="s">
        <v>2349</v>
      </c>
      <c r="H1622" s="383">
        <v>4140.4399999999996</v>
      </c>
      <c r="I1622" s="1046">
        <v>3021.18</v>
      </c>
      <c r="J1622" s="1047"/>
      <c r="K1622" s="383">
        <v>4875.1000000000004</v>
      </c>
      <c r="L1622" s="383">
        <v>5994.36</v>
      </c>
    </row>
    <row r="1623" spans="2:12">
      <c r="B1623" s="1050"/>
      <c r="C1623" s="1050"/>
      <c r="D1623" s="382" t="s">
        <v>2755</v>
      </c>
      <c r="E1623" s="382" t="s">
        <v>2746</v>
      </c>
      <c r="F1623" s="382" t="s">
        <v>2342</v>
      </c>
      <c r="G1623" s="382" t="s">
        <v>2350</v>
      </c>
      <c r="H1623" s="383">
        <v>1136.6500000000001</v>
      </c>
      <c r="I1623" s="1046">
        <v>937.25</v>
      </c>
      <c r="J1623" s="1047"/>
      <c r="K1623" s="383">
        <v>1387.39</v>
      </c>
      <c r="L1623" s="383">
        <v>1586.79</v>
      </c>
    </row>
    <row r="1624" spans="2:12">
      <c r="B1624" s="1050"/>
      <c r="C1624" s="1050"/>
      <c r="D1624" s="382" t="s">
        <v>2755</v>
      </c>
      <c r="E1624" s="382" t="s">
        <v>2746</v>
      </c>
      <c r="F1624" s="382" t="s">
        <v>2342</v>
      </c>
      <c r="G1624" s="382" t="s">
        <v>2351</v>
      </c>
      <c r="H1624" s="383">
        <v>-1332.1</v>
      </c>
      <c r="I1624" s="1046">
        <v>1665.05</v>
      </c>
      <c r="J1624" s="1047"/>
      <c r="K1624" s="383">
        <v>1868.75</v>
      </c>
      <c r="L1624" s="383">
        <v>-1128.4000000000001</v>
      </c>
    </row>
    <row r="1625" spans="2:12">
      <c r="B1625" s="1050"/>
      <c r="C1625" s="1050"/>
      <c r="D1625" s="382" t="s">
        <v>2755</v>
      </c>
      <c r="E1625" s="382" t="s">
        <v>2746</v>
      </c>
      <c r="F1625" s="382" t="s">
        <v>2342</v>
      </c>
      <c r="G1625" s="382" t="s">
        <v>2352</v>
      </c>
      <c r="H1625" s="383">
        <v>697.71</v>
      </c>
      <c r="I1625" s="1046">
        <v>810.73</v>
      </c>
      <c r="J1625" s="1047"/>
      <c r="K1625" s="383">
        <v>1842.99</v>
      </c>
      <c r="L1625" s="383">
        <v>1729.97</v>
      </c>
    </row>
    <row r="1626" spans="2:12">
      <c r="B1626" s="1050"/>
      <c r="C1626" s="1050"/>
      <c r="D1626" s="382" t="s">
        <v>2755</v>
      </c>
      <c r="E1626" s="382" t="s">
        <v>2746</v>
      </c>
      <c r="F1626" s="382" t="s">
        <v>2342</v>
      </c>
      <c r="G1626" s="382" t="s">
        <v>2353</v>
      </c>
      <c r="H1626" s="383">
        <v>1559.37</v>
      </c>
      <c r="I1626" s="1046">
        <v>768.96</v>
      </c>
      <c r="J1626" s="1047"/>
      <c r="K1626" s="383">
        <v>2166.19</v>
      </c>
      <c r="L1626" s="383">
        <v>2956.6</v>
      </c>
    </row>
    <row r="1627" spans="2:12">
      <c r="B1627" s="1050"/>
      <c r="C1627" s="1050"/>
      <c r="D1627" s="382" t="s">
        <v>2755</v>
      </c>
      <c r="E1627" s="382" t="s">
        <v>2746</v>
      </c>
      <c r="F1627" s="382" t="s">
        <v>2342</v>
      </c>
      <c r="G1627" s="382" t="s">
        <v>405</v>
      </c>
      <c r="H1627" s="383">
        <v>1041.6099999999999</v>
      </c>
      <c r="I1627" s="1046">
        <v>828.94</v>
      </c>
      <c r="J1627" s="1047"/>
      <c r="K1627" s="383">
        <v>1118.21</v>
      </c>
      <c r="L1627" s="383">
        <v>1330.88</v>
      </c>
    </row>
    <row r="1628" spans="2:12">
      <c r="B1628" s="1050"/>
      <c r="C1628" s="1050"/>
      <c r="D1628" s="382" t="s">
        <v>2756</v>
      </c>
      <c r="E1628" s="382" t="s">
        <v>2184</v>
      </c>
      <c r="F1628" s="382" t="s">
        <v>2342</v>
      </c>
      <c r="G1628" s="382" t="s">
        <v>2343</v>
      </c>
      <c r="H1628" s="383">
        <v>2655.43</v>
      </c>
      <c r="I1628" s="1046">
        <v>1513.67</v>
      </c>
      <c r="J1628" s="1047"/>
      <c r="K1628" s="383">
        <v>1588.49</v>
      </c>
      <c r="L1628" s="383">
        <v>2730.25</v>
      </c>
    </row>
    <row r="1629" spans="2:12">
      <c r="B1629" s="1050"/>
      <c r="C1629" s="1050"/>
      <c r="D1629" s="382" t="s">
        <v>2756</v>
      </c>
      <c r="E1629" s="382" t="s">
        <v>2184</v>
      </c>
      <c r="F1629" s="382" t="s">
        <v>2342</v>
      </c>
      <c r="G1629" s="382" t="s">
        <v>2344</v>
      </c>
      <c r="H1629" s="383">
        <v>456.87</v>
      </c>
      <c r="I1629" s="1046">
        <v>180.75</v>
      </c>
      <c r="J1629" s="1047"/>
      <c r="K1629" s="383">
        <v>544.34</v>
      </c>
      <c r="L1629" s="383">
        <v>820.46</v>
      </c>
    </row>
    <row r="1630" spans="2:12">
      <c r="B1630" s="1050"/>
      <c r="C1630" s="1050"/>
      <c r="D1630" s="382" t="s">
        <v>2756</v>
      </c>
      <c r="E1630" s="382" t="s">
        <v>2184</v>
      </c>
      <c r="F1630" s="382" t="s">
        <v>2342</v>
      </c>
      <c r="G1630" s="382" t="s">
        <v>2345</v>
      </c>
      <c r="H1630" s="383">
        <v>557.45000000000005</v>
      </c>
      <c r="I1630" s="1046">
        <v>362.34</v>
      </c>
      <c r="J1630" s="1047"/>
      <c r="K1630" s="383">
        <v>596.1</v>
      </c>
      <c r="L1630" s="383">
        <v>791.21</v>
      </c>
    </row>
    <row r="1631" spans="2:12">
      <c r="B1631" s="1050"/>
      <c r="C1631" s="1050"/>
      <c r="D1631" s="382" t="s">
        <v>2756</v>
      </c>
      <c r="E1631" s="382" t="s">
        <v>2184</v>
      </c>
      <c r="F1631" s="382" t="s">
        <v>2342</v>
      </c>
      <c r="G1631" s="382" t="s">
        <v>2346</v>
      </c>
      <c r="H1631" s="383">
        <v>631.33000000000004</v>
      </c>
      <c r="I1631" s="1046">
        <v>317.44</v>
      </c>
      <c r="J1631" s="1047"/>
      <c r="K1631" s="383">
        <v>734.12</v>
      </c>
      <c r="L1631" s="383">
        <v>1048.01</v>
      </c>
    </row>
    <row r="1632" spans="2:12">
      <c r="B1632" s="1050"/>
      <c r="C1632" s="1050"/>
      <c r="D1632" s="382" t="s">
        <v>2756</v>
      </c>
      <c r="E1632" s="382" t="s">
        <v>2184</v>
      </c>
      <c r="F1632" s="382" t="s">
        <v>2342</v>
      </c>
      <c r="G1632" s="382" t="s">
        <v>2347</v>
      </c>
      <c r="H1632" s="383">
        <v>1981.36</v>
      </c>
      <c r="I1632" s="1046">
        <v>354.14</v>
      </c>
      <c r="J1632" s="1047"/>
      <c r="K1632" s="383">
        <v>2006.97</v>
      </c>
      <c r="L1632" s="383">
        <v>3634.19</v>
      </c>
    </row>
    <row r="1633" spans="2:12">
      <c r="B1633" s="1050"/>
      <c r="C1633" s="1050"/>
      <c r="D1633" s="382" t="s">
        <v>2756</v>
      </c>
      <c r="E1633" s="382" t="s">
        <v>2184</v>
      </c>
      <c r="F1633" s="382" t="s">
        <v>2342</v>
      </c>
      <c r="G1633" s="382" t="s">
        <v>2348</v>
      </c>
      <c r="H1633" s="383">
        <v>1389.04</v>
      </c>
      <c r="I1633" s="1046">
        <v>732.33</v>
      </c>
      <c r="J1633" s="1047"/>
      <c r="K1633" s="383">
        <v>1455.08</v>
      </c>
      <c r="L1633" s="383">
        <v>2111.79</v>
      </c>
    </row>
    <row r="1634" spans="2:12">
      <c r="B1634" s="1050"/>
      <c r="C1634" s="1050"/>
      <c r="D1634" s="382" t="s">
        <v>2756</v>
      </c>
      <c r="E1634" s="382" t="s">
        <v>2184</v>
      </c>
      <c r="F1634" s="382" t="s">
        <v>2342</v>
      </c>
      <c r="G1634" s="382" t="s">
        <v>2349</v>
      </c>
      <c r="H1634" s="383">
        <v>888.38</v>
      </c>
      <c r="I1634" s="1046">
        <v>736.06</v>
      </c>
      <c r="J1634" s="1047"/>
      <c r="K1634" s="383">
        <v>1166.69</v>
      </c>
      <c r="L1634" s="383">
        <v>1319.01</v>
      </c>
    </row>
    <row r="1635" spans="2:12">
      <c r="B1635" s="1050"/>
      <c r="C1635" s="1050"/>
      <c r="D1635" s="382" t="s">
        <v>2756</v>
      </c>
      <c r="E1635" s="382" t="s">
        <v>2184</v>
      </c>
      <c r="F1635" s="382" t="s">
        <v>2342</v>
      </c>
      <c r="G1635" s="382" t="s">
        <v>2350</v>
      </c>
      <c r="H1635" s="383">
        <v>2817.8</v>
      </c>
      <c r="I1635" s="1046">
        <v>980.05</v>
      </c>
      <c r="J1635" s="1047"/>
      <c r="K1635" s="383">
        <v>1915.73</v>
      </c>
      <c r="L1635" s="383">
        <v>3753.48</v>
      </c>
    </row>
    <row r="1636" spans="2:12">
      <c r="B1636" s="1050"/>
      <c r="C1636" s="1050"/>
      <c r="D1636" s="382" t="s">
        <v>2756</v>
      </c>
      <c r="E1636" s="382" t="s">
        <v>2184</v>
      </c>
      <c r="F1636" s="382" t="s">
        <v>2342</v>
      </c>
      <c r="G1636" s="382" t="s">
        <v>2351</v>
      </c>
      <c r="H1636" s="383">
        <v>1436.27</v>
      </c>
      <c r="I1636" s="1046">
        <v>1133.3499999999999</v>
      </c>
      <c r="J1636" s="1047"/>
      <c r="K1636" s="383">
        <v>1821.69</v>
      </c>
      <c r="L1636" s="383">
        <v>2124.61</v>
      </c>
    </row>
    <row r="1637" spans="2:12">
      <c r="B1637" s="1050"/>
      <c r="C1637" s="1050"/>
      <c r="D1637" s="382" t="s">
        <v>2756</v>
      </c>
      <c r="E1637" s="382" t="s">
        <v>2184</v>
      </c>
      <c r="F1637" s="382" t="s">
        <v>2342</v>
      </c>
      <c r="G1637" s="382" t="s">
        <v>2352</v>
      </c>
      <c r="H1637" s="383">
        <v>263.39999999999998</v>
      </c>
      <c r="I1637" s="1046">
        <v>174.95</v>
      </c>
      <c r="J1637" s="1047"/>
      <c r="K1637" s="383">
        <v>416</v>
      </c>
      <c r="L1637" s="383">
        <v>504.45</v>
      </c>
    </row>
    <row r="1638" spans="2:12">
      <c r="B1638" s="1050"/>
      <c r="C1638" s="1050"/>
      <c r="D1638" s="382" t="s">
        <v>2756</v>
      </c>
      <c r="E1638" s="382" t="s">
        <v>2184</v>
      </c>
      <c r="F1638" s="382" t="s">
        <v>2342</v>
      </c>
      <c r="G1638" s="382" t="s">
        <v>2353</v>
      </c>
      <c r="H1638" s="383">
        <v>1440.36</v>
      </c>
      <c r="I1638" s="1046">
        <v>598.23</v>
      </c>
      <c r="J1638" s="1047"/>
      <c r="K1638" s="383">
        <v>1019.85</v>
      </c>
      <c r="L1638" s="383">
        <v>1861.98</v>
      </c>
    </row>
    <row r="1639" spans="2:12">
      <c r="B1639" s="1050"/>
      <c r="C1639" s="1050"/>
      <c r="D1639" s="382" t="s">
        <v>2756</v>
      </c>
      <c r="E1639" s="382" t="s">
        <v>2184</v>
      </c>
      <c r="F1639" s="382" t="s">
        <v>2342</v>
      </c>
      <c r="G1639" s="382" t="s">
        <v>405</v>
      </c>
      <c r="H1639" s="383">
        <v>88.81</v>
      </c>
      <c r="I1639" s="1046">
        <v>176.94</v>
      </c>
      <c r="J1639" s="1047"/>
      <c r="K1639" s="383">
        <v>417.65</v>
      </c>
      <c r="L1639" s="383">
        <v>329.52</v>
      </c>
    </row>
    <row r="1640" spans="2:12">
      <c r="B1640" s="1050"/>
      <c r="C1640" s="1050"/>
      <c r="D1640" s="382" t="s">
        <v>2757</v>
      </c>
      <c r="E1640" s="382" t="s">
        <v>2758</v>
      </c>
      <c r="F1640" s="382" t="s">
        <v>2342</v>
      </c>
      <c r="G1640" s="382" t="s">
        <v>2343</v>
      </c>
      <c r="H1640" s="383">
        <v>480.62</v>
      </c>
      <c r="I1640" s="1046">
        <v>343.81</v>
      </c>
      <c r="J1640" s="1047"/>
      <c r="K1640" s="383">
        <v>796.57</v>
      </c>
      <c r="L1640" s="383">
        <v>933.38</v>
      </c>
    </row>
    <row r="1641" spans="2:12">
      <c r="B1641" s="1050"/>
      <c r="C1641" s="1050"/>
      <c r="D1641" s="382" t="s">
        <v>2757</v>
      </c>
      <c r="E1641" s="382" t="s">
        <v>2758</v>
      </c>
      <c r="F1641" s="382" t="s">
        <v>2342</v>
      </c>
      <c r="G1641" s="382" t="s">
        <v>2344</v>
      </c>
      <c r="H1641" s="383">
        <v>846.87</v>
      </c>
      <c r="I1641" s="1046">
        <v>338.82</v>
      </c>
      <c r="J1641" s="1047"/>
      <c r="K1641" s="383">
        <v>460.16</v>
      </c>
      <c r="L1641" s="383">
        <v>968.21</v>
      </c>
    </row>
    <row r="1642" spans="2:12">
      <c r="B1642" s="1050"/>
      <c r="C1642" s="1050"/>
      <c r="D1642" s="382" t="s">
        <v>2757</v>
      </c>
      <c r="E1642" s="382" t="s">
        <v>2758</v>
      </c>
      <c r="F1642" s="382" t="s">
        <v>2342</v>
      </c>
      <c r="G1642" s="382" t="s">
        <v>2345</v>
      </c>
      <c r="H1642" s="383">
        <v>690.95</v>
      </c>
      <c r="I1642" s="1046">
        <v>634.98</v>
      </c>
      <c r="J1642" s="1047"/>
      <c r="K1642" s="383">
        <v>466.92</v>
      </c>
      <c r="L1642" s="383">
        <v>522.89</v>
      </c>
    </row>
    <row r="1643" spans="2:12">
      <c r="B1643" s="1050"/>
      <c r="C1643" s="1050"/>
      <c r="D1643" s="382" t="s">
        <v>2757</v>
      </c>
      <c r="E1643" s="382" t="s">
        <v>2758</v>
      </c>
      <c r="F1643" s="382" t="s">
        <v>2342</v>
      </c>
      <c r="G1643" s="382" t="s">
        <v>2346</v>
      </c>
      <c r="H1643" s="383">
        <v>504.27</v>
      </c>
      <c r="I1643" s="1046">
        <v>145.47</v>
      </c>
      <c r="J1643" s="1047"/>
      <c r="K1643" s="383">
        <v>268.49</v>
      </c>
      <c r="L1643" s="383">
        <v>627.29</v>
      </c>
    </row>
    <row r="1644" spans="2:12">
      <c r="B1644" s="1050"/>
      <c r="C1644" s="1050"/>
      <c r="D1644" s="382" t="s">
        <v>2757</v>
      </c>
      <c r="E1644" s="382" t="s">
        <v>2758</v>
      </c>
      <c r="F1644" s="382" t="s">
        <v>2342</v>
      </c>
      <c r="G1644" s="382" t="s">
        <v>2347</v>
      </c>
      <c r="H1644" s="383">
        <v>1479.34</v>
      </c>
      <c r="I1644" s="1046">
        <v>520.72</v>
      </c>
      <c r="J1644" s="1047"/>
      <c r="K1644" s="383">
        <v>1560.71</v>
      </c>
      <c r="L1644" s="383">
        <v>2519.33</v>
      </c>
    </row>
    <row r="1645" spans="2:12">
      <c r="B1645" s="1050"/>
      <c r="C1645" s="1050"/>
      <c r="D1645" s="382" t="s">
        <v>2757</v>
      </c>
      <c r="E1645" s="382" t="s">
        <v>2758</v>
      </c>
      <c r="F1645" s="382" t="s">
        <v>2342</v>
      </c>
      <c r="G1645" s="382" t="s">
        <v>2348</v>
      </c>
      <c r="H1645" s="383">
        <v>459.3</v>
      </c>
      <c r="I1645" s="1046">
        <v>162.56</v>
      </c>
      <c r="J1645" s="1047"/>
      <c r="K1645" s="383">
        <v>581.54</v>
      </c>
      <c r="L1645" s="383">
        <v>878.28</v>
      </c>
    </row>
    <row r="1646" spans="2:12">
      <c r="B1646" s="1050"/>
      <c r="C1646" s="1050"/>
      <c r="D1646" s="382" t="s">
        <v>2757</v>
      </c>
      <c r="E1646" s="382" t="s">
        <v>2758</v>
      </c>
      <c r="F1646" s="382" t="s">
        <v>2342</v>
      </c>
      <c r="G1646" s="382" t="s">
        <v>2349</v>
      </c>
      <c r="H1646" s="383">
        <v>1544.8</v>
      </c>
      <c r="I1646" s="1046">
        <v>1314.48</v>
      </c>
      <c r="J1646" s="1047"/>
      <c r="K1646" s="383">
        <v>1721.82</v>
      </c>
      <c r="L1646" s="383">
        <v>1952.14</v>
      </c>
    </row>
    <row r="1647" spans="2:12">
      <c r="B1647" s="1050"/>
      <c r="C1647" s="1050"/>
      <c r="D1647" s="382" t="s">
        <v>2757</v>
      </c>
      <c r="E1647" s="382" t="s">
        <v>2758</v>
      </c>
      <c r="F1647" s="382" t="s">
        <v>2342</v>
      </c>
      <c r="G1647" s="382" t="s">
        <v>2350</v>
      </c>
      <c r="H1647" s="383">
        <v>605.71</v>
      </c>
      <c r="I1647" s="1046">
        <v>348.7</v>
      </c>
      <c r="J1647" s="1047"/>
      <c r="K1647" s="383">
        <v>561.70000000000005</v>
      </c>
      <c r="L1647" s="383">
        <v>818.71</v>
      </c>
    </row>
    <row r="1648" spans="2:12">
      <c r="B1648" s="1050"/>
      <c r="C1648" s="1050"/>
      <c r="D1648" s="382" t="s">
        <v>2757</v>
      </c>
      <c r="E1648" s="382" t="s">
        <v>2758</v>
      </c>
      <c r="F1648" s="382" t="s">
        <v>2342</v>
      </c>
      <c r="G1648" s="382" t="s">
        <v>2351</v>
      </c>
      <c r="H1648" s="383">
        <v>267.8</v>
      </c>
      <c r="I1648" s="1046">
        <v>198.72</v>
      </c>
      <c r="J1648" s="1047"/>
      <c r="K1648" s="383">
        <v>378.72</v>
      </c>
      <c r="L1648" s="383">
        <v>447.8</v>
      </c>
    </row>
    <row r="1649" spans="2:12">
      <c r="B1649" s="1050"/>
      <c r="C1649" s="1050"/>
      <c r="D1649" s="382" t="s">
        <v>2757</v>
      </c>
      <c r="E1649" s="382" t="s">
        <v>2758</v>
      </c>
      <c r="F1649" s="382" t="s">
        <v>2342</v>
      </c>
      <c r="G1649" s="382" t="s">
        <v>2352</v>
      </c>
      <c r="H1649" s="383">
        <v>833.54</v>
      </c>
      <c r="I1649" s="1046">
        <v>237.68</v>
      </c>
      <c r="J1649" s="1047"/>
      <c r="K1649" s="383">
        <v>944.44</v>
      </c>
      <c r="L1649" s="383">
        <v>1540.3</v>
      </c>
    </row>
    <row r="1650" spans="2:12">
      <c r="B1650" s="1050"/>
      <c r="C1650" s="1050"/>
      <c r="D1650" s="382" t="s">
        <v>2757</v>
      </c>
      <c r="E1650" s="382" t="s">
        <v>2758</v>
      </c>
      <c r="F1650" s="382" t="s">
        <v>2342</v>
      </c>
      <c r="G1650" s="382" t="s">
        <v>2353</v>
      </c>
      <c r="H1650" s="383">
        <v>322.2</v>
      </c>
      <c r="I1650" s="1046">
        <v>477.03</v>
      </c>
      <c r="J1650" s="1047"/>
      <c r="K1650" s="383">
        <v>140.74</v>
      </c>
      <c r="L1650" s="383">
        <v>-14.09</v>
      </c>
    </row>
    <row r="1651" spans="2:12">
      <c r="B1651" s="1050"/>
      <c r="C1651" s="1050"/>
      <c r="D1651" s="382" t="s">
        <v>2757</v>
      </c>
      <c r="E1651" s="382" t="s">
        <v>2758</v>
      </c>
      <c r="F1651" s="382" t="s">
        <v>2342</v>
      </c>
      <c r="G1651" s="382" t="s">
        <v>405</v>
      </c>
      <c r="H1651" s="383">
        <v>75.28</v>
      </c>
      <c r="I1651" s="1046">
        <v>0.28999999999999998</v>
      </c>
      <c r="J1651" s="1047"/>
      <c r="K1651" s="383">
        <v>101.3</v>
      </c>
      <c r="L1651" s="383">
        <v>176.29</v>
      </c>
    </row>
    <row r="1652" spans="2:12">
      <c r="B1652" s="1050"/>
      <c r="C1652" s="1050"/>
      <c r="D1652" s="382" t="s">
        <v>2759</v>
      </c>
      <c r="E1652" s="382" t="s">
        <v>2741</v>
      </c>
      <c r="F1652" s="382" t="s">
        <v>2342</v>
      </c>
      <c r="G1652" s="382" t="s">
        <v>2343</v>
      </c>
      <c r="H1652" s="383">
        <v>589.11</v>
      </c>
      <c r="I1652" s="1046">
        <v>0.57999999999999996</v>
      </c>
      <c r="J1652" s="1047"/>
      <c r="K1652" s="383">
        <v>845.98</v>
      </c>
      <c r="L1652" s="383">
        <v>1434.51</v>
      </c>
    </row>
    <row r="1653" spans="2:12">
      <c r="B1653" s="1050"/>
      <c r="C1653" s="1050"/>
      <c r="D1653" s="382" t="s">
        <v>2759</v>
      </c>
      <c r="E1653" s="382" t="s">
        <v>2741</v>
      </c>
      <c r="F1653" s="382" t="s">
        <v>2342</v>
      </c>
      <c r="G1653" s="382" t="s">
        <v>2344</v>
      </c>
      <c r="H1653" s="383">
        <v>514.71</v>
      </c>
      <c r="I1653" s="1046">
        <v>0.33</v>
      </c>
      <c r="J1653" s="1047"/>
      <c r="K1653" s="383">
        <v>220.44</v>
      </c>
      <c r="L1653" s="383">
        <v>734.82</v>
      </c>
    </row>
    <row r="1654" spans="2:12">
      <c r="B1654" s="1050"/>
      <c r="C1654" s="1050"/>
      <c r="D1654" s="382" t="s">
        <v>2759</v>
      </c>
      <c r="E1654" s="382" t="s">
        <v>2741</v>
      </c>
      <c r="F1654" s="382" t="s">
        <v>2342</v>
      </c>
      <c r="G1654" s="382" t="s">
        <v>2345</v>
      </c>
      <c r="H1654" s="383">
        <v>54.46</v>
      </c>
      <c r="I1654" s="1046">
        <v>0.97</v>
      </c>
      <c r="J1654" s="1047"/>
      <c r="K1654" s="383">
        <v>610.30999999999995</v>
      </c>
      <c r="L1654" s="383">
        <v>663.8</v>
      </c>
    </row>
    <row r="1655" spans="2:12">
      <c r="B1655" s="1050"/>
      <c r="C1655" s="1050"/>
      <c r="D1655" s="382" t="s">
        <v>2759</v>
      </c>
      <c r="E1655" s="382" t="s">
        <v>2741</v>
      </c>
      <c r="F1655" s="382" t="s">
        <v>2342</v>
      </c>
      <c r="G1655" s="382" t="s">
        <v>2346</v>
      </c>
      <c r="H1655" s="383">
        <v>-14.82</v>
      </c>
      <c r="I1655" s="1046">
        <v>0.21</v>
      </c>
      <c r="J1655" s="1047"/>
      <c r="K1655" s="383">
        <v>196.57</v>
      </c>
      <c r="L1655" s="383">
        <v>181.54</v>
      </c>
    </row>
    <row r="1656" spans="2:12">
      <c r="B1656" s="1050"/>
      <c r="C1656" s="1050"/>
      <c r="D1656" s="382" t="s">
        <v>2759</v>
      </c>
      <c r="E1656" s="382" t="s">
        <v>2741</v>
      </c>
      <c r="F1656" s="382" t="s">
        <v>2342</v>
      </c>
      <c r="G1656" s="382" t="s">
        <v>2347</v>
      </c>
      <c r="H1656" s="383">
        <v>476.34</v>
      </c>
      <c r="I1656" s="1046">
        <v>0.36</v>
      </c>
      <c r="J1656" s="1047"/>
      <c r="K1656" s="383">
        <v>124.07</v>
      </c>
      <c r="L1656" s="383">
        <v>600.04999999999995</v>
      </c>
    </row>
    <row r="1657" spans="2:12">
      <c r="B1657" s="1050"/>
      <c r="C1657" s="1050"/>
      <c r="D1657" s="382" t="s">
        <v>2759</v>
      </c>
      <c r="E1657" s="382" t="s">
        <v>2741</v>
      </c>
      <c r="F1657" s="382" t="s">
        <v>2342</v>
      </c>
      <c r="G1657" s="382" t="s">
        <v>2348</v>
      </c>
      <c r="H1657" s="383">
        <v>70.959999999999994</v>
      </c>
      <c r="I1657" s="1046">
        <v>0.42</v>
      </c>
      <c r="J1657" s="1047"/>
      <c r="K1657" s="383">
        <v>457.43</v>
      </c>
      <c r="L1657" s="383">
        <v>527.97</v>
      </c>
    </row>
    <row r="1658" spans="2:12">
      <c r="B1658" s="1050"/>
      <c r="C1658" s="1050"/>
      <c r="D1658" s="382" t="s">
        <v>2759</v>
      </c>
      <c r="E1658" s="382" t="s">
        <v>2741</v>
      </c>
      <c r="F1658" s="382" t="s">
        <v>2342</v>
      </c>
      <c r="G1658" s="382" t="s">
        <v>2349</v>
      </c>
      <c r="H1658" s="383">
        <v>-1367.56</v>
      </c>
      <c r="I1658" s="1046">
        <v>319.87</v>
      </c>
      <c r="J1658" s="1047"/>
      <c r="K1658" s="383">
        <v>837.61</v>
      </c>
      <c r="L1658" s="383">
        <v>-849.82</v>
      </c>
    </row>
    <row r="1659" spans="2:12">
      <c r="B1659" s="1050"/>
      <c r="C1659" s="1050"/>
      <c r="D1659" s="382" t="s">
        <v>2759</v>
      </c>
      <c r="E1659" s="382" t="s">
        <v>2741</v>
      </c>
      <c r="F1659" s="382" t="s">
        <v>2342</v>
      </c>
      <c r="G1659" s="382" t="s">
        <v>2350</v>
      </c>
      <c r="H1659" s="383">
        <v>641.33000000000004</v>
      </c>
      <c r="I1659" s="1046">
        <v>221.01</v>
      </c>
      <c r="J1659" s="1047"/>
      <c r="K1659" s="383">
        <v>1331.78</v>
      </c>
      <c r="L1659" s="383">
        <v>1752.1</v>
      </c>
    </row>
    <row r="1660" spans="2:12">
      <c r="B1660" s="1050"/>
      <c r="C1660" s="1050"/>
      <c r="D1660" s="382" t="s">
        <v>2759</v>
      </c>
      <c r="E1660" s="382" t="s">
        <v>2741</v>
      </c>
      <c r="F1660" s="382" t="s">
        <v>2342</v>
      </c>
      <c r="G1660" s="382" t="s">
        <v>2351</v>
      </c>
      <c r="H1660" s="383">
        <v>522.97</v>
      </c>
      <c r="I1660" s="1046">
        <v>401.89</v>
      </c>
      <c r="J1660" s="1047"/>
      <c r="K1660" s="383">
        <v>102.51</v>
      </c>
      <c r="L1660" s="383">
        <v>223.59</v>
      </c>
    </row>
    <row r="1661" spans="2:12">
      <c r="B1661" s="1050"/>
      <c r="C1661" s="1050"/>
      <c r="D1661" s="382" t="s">
        <v>2759</v>
      </c>
      <c r="E1661" s="382" t="s">
        <v>2741</v>
      </c>
      <c r="F1661" s="382" t="s">
        <v>2342</v>
      </c>
      <c r="G1661" s="382" t="s">
        <v>2352</v>
      </c>
      <c r="H1661" s="383">
        <v>902.81</v>
      </c>
      <c r="I1661" s="1046">
        <v>659.75</v>
      </c>
      <c r="J1661" s="1047"/>
      <c r="K1661" s="383">
        <v>1554.65</v>
      </c>
      <c r="L1661" s="383">
        <v>1797.71</v>
      </c>
    </row>
    <row r="1662" spans="2:12">
      <c r="B1662" s="1050"/>
      <c r="C1662" s="1050"/>
      <c r="D1662" s="382" t="s">
        <v>2759</v>
      </c>
      <c r="E1662" s="382" t="s">
        <v>2741</v>
      </c>
      <c r="F1662" s="382" t="s">
        <v>2342</v>
      </c>
      <c r="G1662" s="382" t="s">
        <v>2353</v>
      </c>
      <c r="H1662" s="383">
        <v>19.45</v>
      </c>
      <c r="I1662" s="1046">
        <v>0.11</v>
      </c>
      <c r="J1662" s="1047"/>
      <c r="K1662" s="383">
        <v>26.76</v>
      </c>
      <c r="L1662" s="383">
        <v>46.1</v>
      </c>
    </row>
    <row r="1663" spans="2:12">
      <c r="B1663" s="1050"/>
      <c r="C1663" s="1050"/>
      <c r="D1663" s="382" t="s">
        <v>2759</v>
      </c>
      <c r="E1663" s="382" t="s">
        <v>2741</v>
      </c>
      <c r="F1663" s="382" t="s">
        <v>2342</v>
      </c>
      <c r="G1663" s="382" t="s">
        <v>405</v>
      </c>
      <c r="H1663" s="383">
        <v>118.3</v>
      </c>
      <c r="I1663" s="1046">
        <v>0</v>
      </c>
      <c r="J1663" s="1047"/>
      <c r="K1663" s="383">
        <v>19.559999999999999</v>
      </c>
      <c r="L1663" s="383">
        <v>137.86000000000001</v>
      </c>
    </row>
    <row r="1664" spans="2:12">
      <c r="B1664" s="1050"/>
      <c r="C1664" s="1050"/>
      <c r="D1664" s="382" t="s">
        <v>2760</v>
      </c>
      <c r="E1664" s="382" t="s">
        <v>2743</v>
      </c>
      <c r="F1664" s="382" t="s">
        <v>2342</v>
      </c>
      <c r="G1664" s="382" t="s">
        <v>2355</v>
      </c>
      <c r="H1664" s="383">
        <v>-1205.2</v>
      </c>
      <c r="I1664" s="1046">
        <v>119.1</v>
      </c>
      <c r="J1664" s="1047"/>
      <c r="K1664" s="383">
        <v>91.9</v>
      </c>
      <c r="L1664" s="383">
        <v>-1232.4000000000001</v>
      </c>
    </row>
    <row r="1665" spans="2:12">
      <c r="B1665" s="1050"/>
      <c r="C1665" s="1050"/>
      <c r="D1665" s="382" t="s">
        <v>2761</v>
      </c>
      <c r="E1665" s="382" t="s">
        <v>2762</v>
      </c>
      <c r="F1665" s="382" t="s">
        <v>2342</v>
      </c>
      <c r="G1665" s="382" t="s">
        <v>2343</v>
      </c>
      <c r="H1665" s="383">
        <v>0.41</v>
      </c>
      <c r="I1665" s="1046">
        <v>0</v>
      </c>
      <c r="J1665" s="1047"/>
      <c r="K1665" s="383">
        <v>0.44</v>
      </c>
      <c r="L1665" s="383">
        <v>0.85</v>
      </c>
    </row>
    <row r="1666" spans="2:12">
      <c r="B1666" s="1050"/>
      <c r="C1666" s="1050"/>
      <c r="D1666" s="382" t="s">
        <v>2761</v>
      </c>
      <c r="E1666" s="382" t="s">
        <v>2762</v>
      </c>
      <c r="F1666" s="382" t="s">
        <v>2342</v>
      </c>
      <c r="G1666" s="382" t="s">
        <v>2344</v>
      </c>
      <c r="H1666" s="383">
        <v>0</v>
      </c>
      <c r="I1666" s="1046">
        <v>0.02</v>
      </c>
      <c r="J1666" s="1047"/>
      <c r="K1666" s="383">
        <v>295.93</v>
      </c>
      <c r="L1666" s="383">
        <v>295.91000000000003</v>
      </c>
    </row>
    <row r="1667" spans="2:12">
      <c r="B1667" s="1050"/>
      <c r="C1667" s="1050"/>
      <c r="D1667" s="382" t="s">
        <v>2761</v>
      </c>
      <c r="E1667" s="382" t="s">
        <v>2762</v>
      </c>
      <c r="F1667" s="382" t="s">
        <v>2342</v>
      </c>
      <c r="G1667" s="382" t="s">
        <v>2347</v>
      </c>
      <c r="H1667" s="383">
        <v>0</v>
      </c>
      <c r="I1667" s="1046">
        <v>0.02</v>
      </c>
      <c r="J1667" s="1047"/>
      <c r="K1667" s="383">
        <v>1.32</v>
      </c>
      <c r="L1667" s="383">
        <v>1.3</v>
      </c>
    </row>
    <row r="1668" spans="2:12">
      <c r="B1668" s="1050"/>
      <c r="C1668" s="1050"/>
      <c r="D1668" s="382" t="s">
        <v>2761</v>
      </c>
      <c r="E1668" s="382" t="s">
        <v>2762</v>
      </c>
      <c r="F1668" s="382" t="s">
        <v>2342</v>
      </c>
      <c r="G1668" s="382" t="s">
        <v>2350</v>
      </c>
      <c r="H1668" s="383">
        <v>0</v>
      </c>
      <c r="I1668" s="1046">
        <v>0.01</v>
      </c>
      <c r="J1668" s="1047"/>
      <c r="K1668" s="383">
        <v>17.989999999999998</v>
      </c>
      <c r="L1668" s="383">
        <v>17.98</v>
      </c>
    </row>
    <row r="1669" spans="2:12">
      <c r="B1669" s="1050"/>
      <c r="C1669" s="1051"/>
      <c r="D1669" s="359" t="s">
        <v>12</v>
      </c>
      <c r="E1669" s="359" t="s">
        <v>111</v>
      </c>
      <c r="F1669" s="359" t="s">
        <v>111</v>
      </c>
      <c r="G1669" s="359" t="s">
        <v>111</v>
      </c>
      <c r="H1669" s="384">
        <v>40010.18</v>
      </c>
      <c r="I1669" s="1048">
        <v>26807.77</v>
      </c>
      <c r="J1669" s="1047"/>
      <c r="K1669" s="384">
        <v>52510.05</v>
      </c>
      <c r="L1669" s="384">
        <v>65712.460000000006</v>
      </c>
    </row>
    <row r="1670" spans="2:12">
      <c r="B1670" s="1050"/>
      <c r="C1670" s="1049" t="s">
        <v>2763</v>
      </c>
      <c r="D1670" s="382" t="s">
        <v>2764</v>
      </c>
      <c r="E1670" s="382" t="s">
        <v>2186</v>
      </c>
      <c r="F1670" s="382" t="s">
        <v>2342</v>
      </c>
      <c r="G1670" s="382" t="s">
        <v>2343</v>
      </c>
      <c r="H1670" s="383">
        <v>8825</v>
      </c>
      <c r="I1670" s="1046">
        <v>0</v>
      </c>
      <c r="J1670" s="1047"/>
      <c r="K1670" s="383">
        <v>8850</v>
      </c>
      <c r="L1670" s="383">
        <v>17675</v>
      </c>
    </row>
    <row r="1671" spans="2:12">
      <c r="B1671" s="1050"/>
      <c r="C1671" s="1050"/>
      <c r="D1671" s="382" t="s">
        <v>2764</v>
      </c>
      <c r="E1671" s="382" t="s">
        <v>2186</v>
      </c>
      <c r="F1671" s="382" t="s">
        <v>2342</v>
      </c>
      <c r="G1671" s="382" t="s">
        <v>2344</v>
      </c>
      <c r="H1671" s="383">
        <v>5625</v>
      </c>
      <c r="I1671" s="1046">
        <v>200</v>
      </c>
      <c r="J1671" s="1047"/>
      <c r="K1671" s="383">
        <v>4100</v>
      </c>
      <c r="L1671" s="383">
        <v>9525</v>
      </c>
    </row>
    <row r="1672" spans="2:12">
      <c r="B1672" s="1050"/>
      <c r="C1672" s="1050"/>
      <c r="D1672" s="382" t="s">
        <v>2764</v>
      </c>
      <c r="E1672" s="382" t="s">
        <v>2186</v>
      </c>
      <c r="F1672" s="382" t="s">
        <v>2342</v>
      </c>
      <c r="G1672" s="382" t="s">
        <v>2345</v>
      </c>
      <c r="H1672" s="383">
        <v>2500</v>
      </c>
      <c r="I1672" s="1046">
        <v>0</v>
      </c>
      <c r="J1672" s="1047"/>
      <c r="K1672" s="383">
        <v>2825</v>
      </c>
      <c r="L1672" s="383">
        <v>5325</v>
      </c>
    </row>
    <row r="1673" spans="2:12">
      <c r="B1673" s="1050"/>
      <c r="C1673" s="1050"/>
      <c r="D1673" s="382" t="s">
        <v>2764</v>
      </c>
      <c r="E1673" s="382" t="s">
        <v>2186</v>
      </c>
      <c r="F1673" s="382" t="s">
        <v>2342</v>
      </c>
      <c r="G1673" s="382" t="s">
        <v>2346</v>
      </c>
      <c r="H1673" s="383">
        <v>3925</v>
      </c>
      <c r="I1673" s="1046">
        <v>0</v>
      </c>
      <c r="J1673" s="1047"/>
      <c r="K1673" s="383">
        <v>1200</v>
      </c>
      <c r="L1673" s="383">
        <v>5125</v>
      </c>
    </row>
    <row r="1674" spans="2:12">
      <c r="B1674" s="1050"/>
      <c r="C1674" s="1050"/>
      <c r="D1674" s="382" t="s">
        <v>2764</v>
      </c>
      <c r="E1674" s="382" t="s">
        <v>2186</v>
      </c>
      <c r="F1674" s="382" t="s">
        <v>2342</v>
      </c>
      <c r="G1674" s="382" t="s">
        <v>2347</v>
      </c>
      <c r="H1674" s="383">
        <v>8200</v>
      </c>
      <c r="I1674" s="1046">
        <v>0</v>
      </c>
      <c r="J1674" s="1047"/>
      <c r="K1674" s="383">
        <v>9550</v>
      </c>
      <c r="L1674" s="383">
        <v>17750</v>
      </c>
    </row>
    <row r="1675" spans="2:12">
      <c r="B1675" s="1050"/>
      <c r="C1675" s="1050"/>
      <c r="D1675" s="382" t="s">
        <v>2764</v>
      </c>
      <c r="E1675" s="382" t="s">
        <v>2186</v>
      </c>
      <c r="F1675" s="382" t="s">
        <v>2342</v>
      </c>
      <c r="G1675" s="382" t="s">
        <v>2348</v>
      </c>
      <c r="H1675" s="383">
        <v>12050</v>
      </c>
      <c r="I1675" s="1046">
        <v>900</v>
      </c>
      <c r="J1675" s="1047"/>
      <c r="K1675" s="383">
        <v>5775</v>
      </c>
      <c r="L1675" s="383">
        <v>16925</v>
      </c>
    </row>
    <row r="1676" spans="2:12">
      <c r="B1676" s="1050"/>
      <c r="C1676" s="1050"/>
      <c r="D1676" s="382" t="s">
        <v>2764</v>
      </c>
      <c r="E1676" s="382" t="s">
        <v>2186</v>
      </c>
      <c r="F1676" s="382" t="s">
        <v>2342</v>
      </c>
      <c r="G1676" s="382" t="s">
        <v>2349</v>
      </c>
      <c r="H1676" s="383">
        <v>6875</v>
      </c>
      <c r="I1676" s="1046">
        <v>50</v>
      </c>
      <c r="J1676" s="1047"/>
      <c r="K1676" s="383">
        <v>5575</v>
      </c>
      <c r="L1676" s="383">
        <v>12400</v>
      </c>
    </row>
    <row r="1677" spans="2:12">
      <c r="B1677" s="1050"/>
      <c r="C1677" s="1050"/>
      <c r="D1677" s="382" t="s">
        <v>2764</v>
      </c>
      <c r="E1677" s="382" t="s">
        <v>2186</v>
      </c>
      <c r="F1677" s="382" t="s">
        <v>2342</v>
      </c>
      <c r="G1677" s="382" t="s">
        <v>2350</v>
      </c>
      <c r="H1677" s="383">
        <v>5450</v>
      </c>
      <c r="I1677" s="1046">
        <v>0</v>
      </c>
      <c r="J1677" s="1047"/>
      <c r="K1677" s="383">
        <v>8050</v>
      </c>
      <c r="L1677" s="383">
        <v>13500</v>
      </c>
    </row>
    <row r="1678" spans="2:12">
      <c r="B1678" s="1050"/>
      <c r="C1678" s="1050"/>
      <c r="D1678" s="382" t="s">
        <v>2764</v>
      </c>
      <c r="E1678" s="382" t="s">
        <v>2186</v>
      </c>
      <c r="F1678" s="382" t="s">
        <v>2342</v>
      </c>
      <c r="G1678" s="382" t="s">
        <v>2351</v>
      </c>
      <c r="H1678" s="383">
        <v>1100</v>
      </c>
      <c r="I1678" s="1046">
        <v>0</v>
      </c>
      <c r="J1678" s="1047"/>
      <c r="K1678" s="383">
        <v>575</v>
      </c>
      <c r="L1678" s="383">
        <v>1675</v>
      </c>
    </row>
    <row r="1679" spans="2:12">
      <c r="B1679" s="1050"/>
      <c r="C1679" s="1050"/>
      <c r="D1679" s="382" t="s">
        <v>2764</v>
      </c>
      <c r="E1679" s="382" t="s">
        <v>2186</v>
      </c>
      <c r="F1679" s="382" t="s">
        <v>2342</v>
      </c>
      <c r="G1679" s="382" t="s">
        <v>2352</v>
      </c>
      <c r="H1679" s="383">
        <v>6200</v>
      </c>
      <c r="I1679" s="1046">
        <v>0</v>
      </c>
      <c r="J1679" s="1047"/>
      <c r="K1679" s="383">
        <v>3375</v>
      </c>
      <c r="L1679" s="383">
        <v>9575</v>
      </c>
    </row>
    <row r="1680" spans="2:12">
      <c r="B1680" s="1050"/>
      <c r="C1680" s="1050"/>
      <c r="D1680" s="382" t="s">
        <v>2764</v>
      </c>
      <c r="E1680" s="382" t="s">
        <v>2186</v>
      </c>
      <c r="F1680" s="382" t="s">
        <v>2342</v>
      </c>
      <c r="G1680" s="382" t="s">
        <v>2353</v>
      </c>
      <c r="H1680" s="383">
        <v>9075</v>
      </c>
      <c r="I1680" s="1046">
        <v>0</v>
      </c>
      <c r="J1680" s="1047"/>
      <c r="K1680" s="383">
        <v>6075</v>
      </c>
      <c r="L1680" s="383">
        <v>15150</v>
      </c>
    </row>
    <row r="1681" spans="2:12">
      <c r="B1681" s="1050"/>
      <c r="C1681" s="1050"/>
      <c r="D1681" s="382" t="s">
        <v>2764</v>
      </c>
      <c r="E1681" s="382" t="s">
        <v>2186</v>
      </c>
      <c r="F1681" s="382" t="s">
        <v>2342</v>
      </c>
      <c r="G1681" s="382" t="s">
        <v>405</v>
      </c>
      <c r="H1681" s="383">
        <v>2625</v>
      </c>
      <c r="I1681" s="1046">
        <v>0</v>
      </c>
      <c r="J1681" s="1047"/>
      <c r="K1681" s="383">
        <v>3000</v>
      </c>
      <c r="L1681" s="383">
        <v>5625</v>
      </c>
    </row>
    <row r="1682" spans="2:12">
      <c r="B1682" s="1050"/>
      <c r="C1682" s="1050"/>
      <c r="D1682" s="382" t="s">
        <v>2764</v>
      </c>
      <c r="E1682" s="382" t="s">
        <v>2186</v>
      </c>
      <c r="F1682" s="382" t="s">
        <v>2342</v>
      </c>
      <c r="G1682" s="382" t="s">
        <v>2354</v>
      </c>
      <c r="H1682" s="383">
        <v>2900</v>
      </c>
      <c r="I1682" s="1046">
        <v>200</v>
      </c>
      <c r="J1682" s="1047"/>
      <c r="K1682" s="383">
        <v>2025</v>
      </c>
      <c r="L1682" s="383">
        <v>4725</v>
      </c>
    </row>
    <row r="1683" spans="2:12">
      <c r="B1683" s="1050"/>
      <c r="C1683" s="1050"/>
      <c r="D1683" s="382" t="s">
        <v>2764</v>
      </c>
      <c r="E1683" s="382" t="s">
        <v>2186</v>
      </c>
      <c r="F1683" s="382" t="s">
        <v>2342</v>
      </c>
      <c r="G1683" s="382" t="s">
        <v>2355</v>
      </c>
      <c r="H1683" s="383">
        <v>0</v>
      </c>
      <c r="I1683" s="1046">
        <v>0</v>
      </c>
      <c r="J1683" s="1047"/>
      <c r="K1683" s="383">
        <v>375</v>
      </c>
      <c r="L1683" s="383">
        <v>375</v>
      </c>
    </row>
    <row r="1684" spans="2:12">
      <c r="B1684" s="1050"/>
      <c r="C1684" s="1050"/>
      <c r="D1684" s="382" t="s">
        <v>2765</v>
      </c>
      <c r="E1684" s="382" t="s">
        <v>2187</v>
      </c>
      <c r="F1684" s="382" t="s">
        <v>2342</v>
      </c>
      <c r="G1684" s="382" t="s">
        <v>2346</v>
      </c>
      <c r="H1684" s="383">
        <v>25</v>
      </c>
      <c r="I1684" s="1046">
        <v>0</v>
      </c>
      <c r="J1684" s="1047"/>
      <c r="K1684" s="383">
        <v>0</v>
      </c>
      <c r="L1684" s="383">
        <v>25</v>
      </c>
    </row>
    <row r="1685" spans="2:12">
      <c r="B1685" s="1050"/>
      <c r="C1685" s="1050"/>
      <c r="D1685" s="382" t="s">
        <v>2765</v>
      </c>
      <c r="E1685" s="382" t="s">
        <v>2187</v>
      </c>
      <c r="F1685" s="382" t="s">
        <v>2342</v>
      </c>
      <c r="G1685" s="382" t="s">
        <v>2353</v>
      </c>
      <c r="H1685" s="383">
        <v>3775</v>
      </c>
      <c r="I1685" s="1046">
        <v>0</v>
      </c>
      <c r="J1685" s="1047"/>
      <c r="K1685" s="383">
        <v>1650</v>
      </c>
      <c r="L1685" s="383">
        <v>5425</v>
      </c>
    </row>
    <row r="1686" spans="2:12">
      <c r="B1686" s="1050"/>
      <c r="C1686" s="1050"/>
      <c r="D1686" s="382" t="s">
        <v>2766</v>
      </c>
      <c r="E1686" s="382" t="s">
        <v>2188</v>
      </c>
      <c r="F1686" s="382" t="s">
        <v>2342</v>
      </c>
      <c r="G1686" s="382" t="s">
        <v>2343</v>
      </c>
      <c r="H1686" s="383">
        <v>1076.3399999999999</v>
      </c>
      <c r="I1686" s="1046">
        <v>0</v>
      </c>
      <c r="J1686" s="1047"/>
      <c r="K1686" s="383">
        <v>1076.3399999999999</v>
      </c>
      <c r="L1686" s="383">
        <v>2152.6799999999998</v>
      </c>
    </row>
    <row r="1687" spans="2:12">
      <c r="B1687" s="1050"/>
      <c r="C1687" s="1050"/>
      <c r="D1687" s="382" t="s">
        <v>2766</v>
      </c>
      <c r="E1687" s="382" t="s">
        <v>2188</v>
      </c>
      <c r="F1687" s="382" t="s">
        <v>2342</v>
      </c>
      <c r="G1687" s="382" t="s">
        <v>2344</v>
      </c>
      <c r="H1687" s="383">
        <v>572.69000000000005</v>
      </c>
      <c r="I1687" s="1046">
        <v>0</v>
      </c>
      <c r="J1687" s="1047"/>
      <c r="K1687" s="383">
        <v>572.69000000000005</v>
      </c>
      <c r="L1687" s="383">
        <v>1145.3800000000001</v>
      </c>
    </row>
    <row r="1688" spans="2:12">
      <c r="B1688" s="1050"/>
      <c r="C1688" s="1050"/>
      <c r="D1688" s="382" t="s">
        <v>2766</v>
      </c>
      <c r="E1688" s="382" t="s">
        <v>2188</v>
      </c>
      <c r="F1688" s="382" t="s">
        <v>2342</v>
      </c>
      <c r="G1688" s="382" t="s">
        <v>2345</v>
      </c>
      <c r="H1688" s="383">
        <v>519.55999999999995</v>
      </c>
      <c r="I1688" s="1046">
        <v>0</v>
      </c>
      <c r="J1688" s="1047"/>
      <c r="K1688" s="383">
        <v>519.55999999999995</v>
      </c>
      <c r="L1688" s="383">
        <v>1039.1199999999999</v>
      </c>
    </row>
    <row r="1689" spans="2:12">
      <c r="B1689" s="1050"/>
      <c r="C1689" s="1050"/>
      <c r="D1689" s="382" t="s">
        <v>2766</v>
      </c>
      <c r="E1689" s="382" t="s">
        <v>2188</v>
      </c>
      <c r="F1689" s="382" t="s">
        <v>2342</v>
      </c>
      <c r="G1689" s="382" t="s">
        <v>2346</v>
      </c>
      <c r="H1689" s="383">
        <v>387.13</v>
      </c>
      <c r="I1689" s="1046">
        <v>0</v>
      </c>
      <c r="J1689" s="1047"/>
      <c r="K1689" s="383">
        <v>387.13</v>
      </c>
      <c r="L1689" s="383">
        <v>774.26</v>
      </c>
    </row>
    <row r="1690" spans="2:12">
      <c r="B1690" s="1050"/>
      <c r="C1690" s="1050"/>
      <c r="D1690" s="382" t="s">
        <v>2766</v>
      </c>
      <c r="E1690" s="382" t="s">
        <v>2188</v>
      </c>
      <c r="F1690" s="382" t="s">
        <v>2342</v>
      </c>
      <c r="G1690" s="382" t="s">
        <v>2347</v>
      </c>
      <c r="H1690" s="383">
        <v>1217.53</v>
      </c>
      <c r="I1690" s="1046">
        <v>0</v>
      </c>
      <c r="J1690" s="1047"/>
      <c r="K1690" s="383">
        <v>1217.53</v>
      </c>
      <c r="L1690" s="383">
        <v>2435.06</v>
      </c>
    </row>
    <row r="1691" spans="2:12">
      <c r="B1691" s="1050"/>
      <c r="C1691" s="1050"/>
      <c r="D1691" s="382" t="s">
        <v>2766</v>
      </c>
      <c r="E1691" s="382" t="s">
        <v>2188</v>
      </c>
      <c r="F1691" s="382" t="s">
        <v>2342</v>
      </c>
      <c r="G1691" s="382" t="s">
        <v>2348</v>
      </c>
      <c r="H1691" s="383">
        <v>1086.8499999999999</v>
      </c>
      <c r="I1691" s="1046">
        <v>0</v>
      </c>
      <c r="J1691" s="1047"/>
      <c r="K1691" s="383">
        <v>1086.8499999999999</v>
      </c>
      <c r="L1691" s="383">
        <v>2173.6999999999998</v>
      </c>
    </row>
    <row r="1692" spans="2:12">
      <c r="B1692" s="1050"/>
      <c r="C1692" s="1050"/>
      <c r="D1692" s="382" t="s">
        <v>2766</v>
      </c>
      <c r="E1692" s="382" t="s">
        <v>2188</v>
      </c>
      <c r="F1692" s="382" t="s">
        <v>2342</v>
      </c>
      <c r="G1692" s="382" t="s">
        <v>2349</v>
      </c>
      <c r="H1692" s="383">
        <v>1074.96</v>
      </c>
      <c r="I1692" s="1046">
        <v>0</v>
      </c>
      <c r="J1692" s="1047"/>
      <c r="K1692" s="383">
        <v>1074.96</v>
      </c>
      <c r="L1692" s="383">
        <v>2149.92</v>
      </c>
    </row>
    <row r="1693" spans="2:12">
      <c r="B1693" s="1050"/>
      <c r="C1693" s="1050"/>
      <c r="D1693" s="382" t="s">
        <v>2766</v>
      </c>
      <c r="E1693" s="382" t="s">
        <v>2188</v>
      </c>
      <c r="F1693" s="382" t="s">
        <v>2342</v>
      </c>
      <c r="G1693" s="382" t="s">
        <v>2350</v>
      </c>
      <c r="H1693" s="383">
        <v>1454.39</v>
      </c>
      <c r="I1693" s="1046">
        <v>0</v>
      </c>
      <c r="J1693" s="1047"/>
      <c r="K1693" s="383">
        <v>1454.39</v>
      </c>
      <c r="L1693" s="383">
        <v>2908.78</v>
      </c>
    </row>
    <row r="1694" spans="2:12">
      <c r="B1694" s="1050"/>
      <c r="C1694" s="1050"/>
      <c r="D1694" s="382" t="s">
        <v>2766</v>
      </c>
      <c r="E1694" s="382" t="s">
        <v>2188</v>
      </c>
      <c r="F1694" s="382" t="s">
        <v>2342</v>
      </c>
      <c r="G1694" s="382" t="s">
        <v>2351</v>
      </c>
      <c r="H1694" s="383">
        <v>238.19</v>
      </c>
      <c r="I1694" s="1046">
        <v>0</v>
      </c>
      <c r="J1694" s="1047"/>
      <c r="K1694" s="383">
        <v>238.19</v>
      </c>
      <c r="L1694" s="383">
        <v>476.38</v>
      </c>
    </row>
    <row r="1695" spans="2:12">
      <c r="B1695" s="1050"/>
      <c r="C1695" s="1050"/>
      <c r="D1695" s="382" t="s">
        <v>2766</v>
      </c>
      <c r="E1695" s="382" t="s">
        <v>2188</v>
      </c>
      <c r="F1695" s="382" t="s">
        <v>2342</v>
      </c>
      <c r="G1695" s="382" t="s">
        <v>2352</v>
      </c>
      <c r="H1695" s="383">
        <v>561.16</v>
      </c>
      <c r="I1695" s="1046">
        <v>0</v>
      </c>
      <c r="J1695" s="1047"/>
      <c r="K1695" s="383">
        <v>561.16</v>
      </c>
      <c r="L1695" s="383">
        <v>1122.32</v>
      </c>
    </row>
    <row r="1696" spans="2:12">
      <c r="B1696" s="1050"/>
      <c r="C1696" s="1050"/>
      <c r="D1696" s="382" t="s">
        <v>2766</v>
      </c>
      <c r="E1696" s="382" t="s">
        <v>2188</v>
      </c>
      <c r="F1696" s="382" t="s">
        <v>2342</v>
      </c>
      <c r="G1696" s="382" t="s">
        <v>2353</v>
      </c>
      <c r="H1696" s="383">
        <v>858.48</v>
      </c>
      <c r="I1696" s="1046">
        <v>0</v>
      </c>
      <c r="J1696" s="1047"/>
      <c r="K1696" s="383">
        <v>858.48</v>
      </c>
      <c r="L1696" s="383">
        <v>1716.96</v>
      </c>
    </row>
    <row r="1697" spans="2:12">
      <c r="B1697" s="1050"/>
      <c r="C1697" s="1050"/>
      <c r="D1697" s="382" t="s">
        <v>2766</v>
      </c>
      <c r="E1697" s="382" t="s">
        <v>2188</v>
      </c>
      <c r="F1697" s="382" t="s">
        <v>2342</v>
      </c>
      <c r="G1697" s="382" t="s">
        <v>405</v>
      </c>
      <c r="H1697" s="383">
        <v>256.49</v>
      </c>
      <c r="I1697" s="1046">
        <v>0</v>
      </c>
      <c r="J1697" s="1047"/>
      <c r="K1697" s="383">
        <v>256.49</v>
      </c>
      <c r="L1697" s="383">
        <v>512.98</v>
      </c>
    </row>
    <row r="1698" spans="2:12">
      <c r="B1698" s="1050"/>
      <c r="C1698" s="1050"/>
      <c r="D1698" s="382" t="s">
        <v>2766</v>
      </c>
      <c r="E1698" s="382" t="s">
        <v>2188</v>
      </c>
      <c r="F1698" s="382" t="s">
        <v>2342</v>
      </c>
      <c r="G1698" s="382" t="s">
        <v>2354</v>
      </c>
      <c r="H1698" s="383">
        <v>293.79000000000002</v>
      </c>
      <c r="I1698" s="1046">
        <v>0</v>
      </c>
      <c r="J1698" s="1047"/>
      <c r="K1698" s="383">
        <v>293.79000000000002</v>
      </c>
      <c r="L1698" s="383">
        <v>587.58000000000004</v>
      </c>
    </row>
    <row r="1699" spans="2:12">
      <c r="B1699" s="1050"/>
      <c r="C1699" s="1050"/>
      <c r="D1699" s="382" t="s">
        <v>2766</v>
      </c>
      <c r="E1699" s="382" t="s">
        <v>2188</v>
      </c>
      <c r="F1699" s="382" t="s">
        <v>2342</v>
      </c>
      <c r="G1699" s="382" t="s">
        <v>2355</v>
      </c>
      <c r="H1699" s="383">
        <v>6086853.3499999996</v>
      </c>
      <c r="I1699" s="1046">
        <v>0</v>
      </c>
      <c r="J1699" s="1047"/>
      <c r="K1699" s="383">
        <v>0</v>
      </c>
      <c r="L1699" s="383">
        <v>6086853.3499999996</v>
      </c>
    </row>
    <row r="1700" spans="2:12">
      <c r="B1700" s="1050"/>
      <c r="C1700" s="1050"/>
      <c r="D1700" s="382" t="s">
        <v>2767</v>
      </c>
      <c r="E1700" s="382" t="s">
        <v>2189</v>
      </c>
      <c r="F1700" s="382" t="s">
        <v>2342</v>
      </c>
      <c r="G1700" s="382" t="s">
        <v>2343</v>
      </c>
      <c r="H1700" s="383">
        <v>4900</v>
      </c>
      <c r="I1700" s="1046">
        <v>0</v>
      </c>
      <c r="J1700" s="1047"/>
      <c r="K1700" s="383">
        <v>3950</v>
      </c>
      <c r="L1700" s="383">
        <v>8850</v>
      </c>
    </row>
    <row r="1701" spans="2:12">
      <c r="B1701" s="1050"/>
      <c r="C1701" s="1050"/>
      <c r="D1701" s="382" t="s">
        <v>2767</v>
      </c>
      <c r="E1701" s="382" t="s">
        <v>2189</v>
      </c>
      <c r="F1701" s="382" t="s">
        <v>2342</v>
      </c>
      <c r="G1701" s="382" t="s">
        <v>2344</v>
      </c>
      <c r="H1701" s="383">
        <v>6650</v>
      </c>
      <c r="I1701" s="1046">
        <v>0</v>
      </c>
      <c r="J1701" s="1047"/>
      <c r="K1701" s="383">
        <v>4750</v>
      </c>
      <c r="L1701" s="383">
        <v>11400</v>
      </c>
    </row>
    <row r="1702" spans="2:12">
      <c r="B1702" s="1050"/>
      <c r="C1702" s="1050"/>
      <c r="D1702" s="382" t="s">
        <v>2767</v>
      </c>
      <c r="E1702" s="382" t="s">
        <v>2189</v>
      </c>
      <c r="F1702" s="382" t="s">
        <v>2342</v>
      </c>
      <c r="G1702" s="382" t="s">
        <v>2345</v>
      </c>
      <c r="H1702" s="383">
        <v>5250</v>
      </c>
      <c r="I1702" s="1046">
        <v>0</v>
      </c>
      <c r="J1702" s="1047"/>
      <c r="K1702" s="383">
        <v>4100</v>
      </c>
      <c r="L1702" s="383">
        <v>9350</v>
      </c>
    </row>
    <row r="1703" spans="2:12">
      <c r="B1703" s="1050"/>
      <c r="C1703" s="1050"/>
      <c r="D1703" s="382" t="s">
        <v>2767</v>
      </c>
      <c r="E1703" s="382" t="s">
        <v>2189</v>
      </c>
      <c r="F1703" s="382" t="s">
        <v>2342</v>
      </c>
      <c r="G1703" s="382" t="s">
        <v>2346</v>
      </c>
      <c r="H1703" s="383">
        <v>3500</v>
      </c>
      <c r="I1703" s="1046">
        <v>0</v>
      </c>
      <c r="J1703" s="1047"/>
      <c r="K1703" s="383">
        <v>1550</v>
      </c>
      <c r="L1703" s="383">
        <v>5050</v>
      </c>
    </row>
    <row r="1704" spans="2:12">
      <c r="B1704" s="1050"/>
      <c r="C1704" s="1050"/>
      <c r="D1704" s="382" t="s">
        <v>2767</v>
      </c>
      <c r="E1704" s="382" t="s">
        <v>2189</v>
      </c>
      <c r="F1704" s="382" t="s">
        <v>2342</v>
      </c>
      <c r="G1704" s="382" t="s">
        <v>2347</v>
      </c>
      <c r="H1704" s="383">
        <v>13200</v>
      </c>
      <c r="I1704" s="1046">
        <v>400</v>
      </c>
      <c r="J1704" s="1047"/>
      <c r="K1704" s="383">
        <v>12450</v>
      </c>
      <c r="L1704" s="383">
        <v>25250</v>
      </c>
    </row>
    <row r="1705" spans="2:12">
      <c r="B1705" s="1050"/>
      <c r="C1705" s="1050"/>
      <c r="D1705" s="382" t="s">
        <v>2767</v>
      </c>
      <c r="E1705" s="382" t="s">
        <v>2189</v>
      </c>
      <c r="F1705" s="382" t="s">
        <v>2342</v>
      </c>
      <c r="G1705" s="382" t="s">
        <v>2348</v>
      </c>
      <c r="H1705" s="383">
        <v>7250</v>
      </c>
      <c r="I1705" s="1046">
        <v>100</v>
      </c>
      <c r="J1705" s="1047"/>
      <c r="K1705" s="383">
        <v>3950</v>
      </c>
      <c r="L1705" s="383">
        <v>11100</v>
      </c>
    </row>
    <row r="1706" spans="2:12">
      <c r="B1706" s="1050"/>
      <c r="C1706" s="1050"/>
      <c r="D1706" s="382" t="s">
        <v>2767</v>
      </c>
      <c r="E1706" s="382" t="s">
        <v>2189</v>
      </c>
      <c r="F1706" s="382" t="s">
        <v>2342</v>
      </c>
      <c r="G1706" s="382" t="s">
        <v>2349</v>
      </c>
      <c r="H1706" s="383">
        <v>7650</v>
      </c>
      <c r="I1706" s="1046">
        <v>429.3</v>
      </c>
      <c r="J1706" s="1047"/>
      <c r="K1706" s="383">
        <v>3350</v>
      </c>
      <c r="L1706" s="383">
        <v>10570.7</v>
      </c>
    </row>
    <row r="1707" spans="2:12">
      <c r="B1707" s="1050"/>
      <c r="C1707" s="1050"/>
      <c r="D1707" s="382" t="s">
        <v>2767</v>
      </c>
      <c r="E1707" s="382" t="s">
        <v>2189</v>
      </c>
      <c r="F1707" s="382" t="s">
        <v>2342</v>
      </c>
      <c r="G1707" s="382" t="s">
        <v>2350</v>
      </c>
      <c r="H1707" s="383">
        <v>13400</v>
      </c>
      <c r="I1707" s="1046">
        <v>0</v>
      </c>
      <c r="J1707" s="1047"/>
      <c r="K1707" s="383">
        <v>10100</v>
      </c>
      <c r="L1707" s="383">
        <v>23500</v>
      </c>
    </row>
    <row r="1708" spans="2:12">
      <c r="B1708" s="1050"/>
      <c r="C1708" s="1050"/>
      <c r="D1708" s="382" t="s">
        <v>2767</v>
      </c>
      <c r="E1708" s="382" t="s">
        <v>2189</v>
      </c>
      <c r="F1708" s="382" t="s">
        <v>2342</v>
      </c>
      <c r="G1708" s="382" t="s">
        <v>2351</v>
      </c>
      <c r="H1708" s="383">
        <v>3400</v>
      </c>
      <c r="I1708" s="1046">
        <v>0</v>
      </c>
      <c r="J1708" s="1047"/>
      <c r="K1708" s="383">
        <v>1550</v>
      </c>
      <c r="L1708" s="383">
        <v>4950</v>
      </c>
    </row>
    <row r="1709" spans="2:12">
      <c r="B1709" s="1050"/>
      <c r="C1709" s="1050"/>
      <c r="D1709" s="382" t="s">
        <v>2767</v>
      </c>
      <c r="E1709" s="382" t="s">
        <v>2189</v>
      </c>
      <c r="F1709" s="382" t="s">
        <v>2342</v>
      </c>
      <c r="G1709" s="382" t="s">
        <v>2352</v>
      </c>
      <c r="H1709" s="383">
        <v>5050</v>
      </c>
      <c r="I1709" s="1046">
        <v>0</v>
      </c>
      <c r="J1709" s="1047"/>
      <c r="K1709" s="383">
        <v>2850</v>
      </c>
      <c r="L1709" s="383">
        <v>7900</v>
      </c>
    </row>
    <row r="1710" spans="2:12">
      <c r="B1710" s="1050"/>
      <c r="C1710" s="1050"/>
      <c r="D1710" s="382" t="s">
        <v>2767</v>
      </c>
      <c r="E1710" s="382" t="s">
        <v>2189</v>
      </c>
      <c r="F1710" s="382" t="s">
        <v>2342</v>
      </c>
      <c r="G1710" s="382" t="s">
        <v>2353</v>
      </c>
      <c r="H1710" s="383">
        <v>8200</v>
      </c>
      <c r="I1710" s="1046">
        <v>0</v>
      </c>
      <c r="J1710" s="1047"/>
      <c r="K1710" s="383">
        <v>7900</v>
      </c>
      <c r="L1710" s="383">
        <v>16100</v>
      </c>
    </row>
    <row r="1711" spans="2:12">
      <c r="B1711" s="1050"/>
      <c r="C1711" s="1050"/>
      <c r="D1711" s="382" t="s">
        <v>2767</v>
      </c>
      <c r="E1711" s="382" t="s">
        <v>2189</v>
      </c>
      <c r="F1711" s="382" t="s">
        <v>2342</v>
      </c>
      <c r="G1711" s="382" t="s">
        <v>405</v>
      </c>
      <c r="H1711" s="383">
        <v>5650</v>
      </c>
      <c r="I1711" s="1046">
        <v>0</v>
      </c>
      <c r="J1711" s="1047"/>
      <c r="K1711" s="383">
        <v>2800</v>
      </c>
      <c r="L1711" s="383">
        <v>8450</v>
      </c>
    </row>
    <row r="1712" spans="2:12">
      <c r="B1712" s="1050"/>
      <c r="C1712" s="1050"/>
      <c r="D1712" s="382" t="s">
        <v>2767</v>
      </c>
      <c r="E1712" s="382" t="s">
        <v>2189</v>
      </c>
      <c r="F1712" s="382" t="s">
        <v>2342</v>
      </c>
      <c r="G1712" s="382" t="s">
        <v>2354</v>
      </c>
      <c r="H1712" s="383">
        <v>1750</v>
      </c>
      <c r="I1712" s="1046">
        <v>0</v>
      </c>
      <c r="J1712" s="1047"/>
      <c r="K1712" s="383">
        <v>4050</v>
      </c>
      <c r="L1712" s="383">
        <v>5800</v>
      </c>
    </row>
    <row r="1713" spans="2:12">
      <c r="B1713" s="1050"/>
      <c r="C1713" s="1050"/>
      <c r="D1713" s="382" t="s">
        <v>2767</v>
      </c>
      <c r="E1713" s="382" t="s">
        <v>2189</v>
      </c>
      <c r="F1713" s="382" t="s">
        <v>2342</v>
      </c>
      <c r="G1713" s="382" t="s">
        <v>2355</v>
      </c>
      <c r="H1713" s="383">
        <v>0</v>
      </c>
      <c r="I1713" s="1046">
        <v>0</v>
      </c>
      <c r="J1713" s="1047"/>
      <c r="K1713" s="383">
        <v>379.3</v>
      </c>
      <c r="L1713" s="383">
        <v>379.3</v>
      </c>
    </row>
    <row r="1714" spans="2:12">
      <c r="B1714" s="1050"/>
      <c r="C1714" s="1050"/>
      <c r="D1714" s="382" t="s">
        <v>2768</v>
      </c>
      <c r="E1714" s="382" t="s">
        <v>2190</v>
      </c>
      <c r="F1714" s="382" t="s">
        <v>2342</v>
      </c>
      <c r="G1714" s="382" t="s">
        <v>2343</v>
      </c>
      <c r="H1714" s="383">
        <v>717.26</v>
      </c>
      <c r="I1714" s="1046">
        <v>0</v>
      </c>
      <c r="J1714" s="1047"/>
      <c r="K1714" s="383">
        <v>717.26</v>
      </c>
      <c r="L1714" s="383">
        <v>1434.52</v>
      </c>
    </row>
    <row r="1715" spans="2:12">
      <c r="B1715" s="1050"/>
      <c r="C1715" s="1050"/>
      <c r="D1715" s="382" t="s">
        <v>2768</v>
      </c>
      <c r="E1715" s="382" t="s">
        <v>2190</v>
      </c>
      <c r="F1715" s="382" t="s">
        <v>2342</v>
      </c>
      <c r="G1715" s="382" t="s">
        <v>2344</v>
      </c>
      <c r="H1715" s="383">
        <v>381.65</v>
      </c>
      <c r="I1715" s="1046">
        <v>0</v>
      </c>
      <c r="J1715" s="1047"/>
      <c r="K1715" s="383">
        <v>381.65</v>
      </c>
      <c r="L1715" s="383">
        <v>763.3</v>
      </c>
    </row>
    <row r="1716" spans="2:12">
      <c r="B1716" s="1050"/>
      <c r="C1716" s="1050"/>
      <c r="D1716" s="382" t="s">
        <v>2768</v>
      </c>
      <c r="E1716" s="382" t="s">
        <v>2190</v>
      </c>
      <c r="F1716" s="382" t="s">
        <v>2342</v>
      </c>
      <c r="G1716" s="382" t="s">
        <v>2345</v>
      </c>
      <c r="H1716" s="383">
        <v>346.23</v>
      </c>
      <c r="I1716" s="1046">
        <v>0</v>
      </c>
      <c r="J1716" s="1047"/>
      <c r="K1716" s="383">
        <v>346.23</v>
      </c>
      <c r="L1716" s="383">
        <v>692.46</v>
      </c>
    </row>
    <row r="1717" spans="2:12">
      <c r="B1717" s="1050"/>
      <c r="C1717" s="1050"/>
      <c r="D1717" s="382" t="s">
        <v>2768</v>
      </c>
      <c r="E1717" s="382" t="s">
        <v>2190</v>
      </c>
      <c r="F1717" s="382" t="s">
        <v>2342</v>
      </c>
      <c r="G1717" s="382" t="s">
        <v>2346</v>
      </c>
      <c r="H1717" s="383">
        <v>156.13999999999999</v>
      </c>
      <c r="I1717" s="1046">
        <v>0</v>
      </c>
      <c r="J1717" s="1047"/>
      <c r="K1717" s="383">
        <v>156.13999999999999</v>
      </c>
      <c r="L1717" s="383">
        <v>312.27999999999997</v>
      </c>
    </row>
    <row r="1718" spans="2:12">
      <c r="B1718" s="1050"/>
      <c r="C1718" s="1050"/>
      <c r="D1718" s="382" t="s">
        <v>2768</v>
      </c>
      <c r="E1718" s="382" t="s">
        <v>2190</v>
      </c>
      <c r="F1718" s="382" t="s">
        <v>2342</v>
      </c>
      <c r="G1718" s="382" t="s">
        <v>2347</v>
      </c>
      <c r="H1718" s="383">
        <v>811.36</v>
      </c>
      <c r="I1718" s="1046">
        <v>0</v>
      </c>
      <c r="J1718" s="1047"/>
      <c r="K1718" s="383">
        <v>811.36</v>
      </c>
      <c r="L1718" s="383">
        <v>1622.72</v>
      </c>
    </row>
    <row r="1719" spans="2:12">
      <c r="B1719" s="1050"/>
      <c r="C1719" s="1050"/>
      <c r="D1719" s="382" t="s">
        <v>2768</v>
      </c>
      <c r="E1719" s="382" t="s">
        <v>2190</v>
      </c>
      <c r="F1719" s="382" t="s">
        <v>2342</v>
      </c>
      <c r="G1719" s="382" t="s">
        <v>2348</v>
      </c>
      <c r="H1719" s="383">
        <v>347.05</v>
      </c>
      <c r="I1719" s="1046">
        <v>0</v>
      </c>
      <c r="J1719" s="1047"/>
      <c r="K1719" s="383">
        <v>347.05</v>
      </c>
      <c r="L1719" s="383">
        <v>694.1</v>
      </c>
    </row>
    <row r="1720" spans="2:12">
      <c r="B1720" s="1050"/>
      <c r="C1720" s="1050"/>
      <c r="D1720" s="382" t="s">
        <v>2768</v>
      </c>
      <c r="E1720" s="382" t="s">
        <v>2190</v>
      </c>
      <c r="F1720" s="382" t="s">
        <v>2342</v>
      </c>
      <c r="G1720" s="382" t="s">
        <v>2349</v>
      </c>
      <c r="H1720" s="383">
        <v>716.37</v>
      </c>
      <c r="I1720" s="1046">
        <v>0</v>
      </c>
      <c r="J1720" s="1047"/>
      <c r="K1720" s="383">
        <v>716.37</v>
      </c>
      <c r="L1720" s="383">
        <v>1432.74</v>
      </c>
    </row>
    <row r="1721" spans="2:12">
      <c r="B1721" s="1050"/>
      <c r="C1721" s="1050"/>
      <c r="D1721" s="382" t="s">
        <v>2768</v>
      </c>
      <c r="E1721" s="382" t="s">
        <v>2190</v>
      </c>
      <c r="F1721" s="382" t="s">
        <v>2342</v>
      </c>
      <c r="G1721" s="382" t="s">
        <v>2350</v>
      </c>
      <c r="H1721" s="383">
        <v>969.2</v>
      </c>
      <c r="I1721" s="1046">
        <v>0</v>
      </c>
      <c r="J1721" s="1047"/>
      <c r="K1721" s="383">
        <v>969.2</v>
      </c>
      <c r="L1721" s="383">
        <v>1938.4</v>
      </c>
    </row>
    <row r="1722" spans="2:12">
      <c r="B1722" s="1050"/>
      <c r="C1722" s="1050"/>
      <c r="D1722" s="382" t="s">
        <v>2768</v>
      </c>
      <c r="E1722" s="382" t="s">
        <v>2190</v>
      </c>
      <c r="F1722" s="382" t="s">
        <v>2342</v>
      </c>
      <c r="G1722" s="382" t="s">
        <v>2351</v>
      </c>
      <c r="H1722" s="383">
        <v>158.74</v>
      </c>
      <c r="I1722" s="1046">
        <v>0</v>
      </c>
      <c r="J1722" s="1047"/>
      <c r="K1722" s="383">
        <v>158.74</v>
      </c>
      <c r="L1722" s="383">
        <v>317.48</v>
      </c>
    </row>
    <row r="1723" spans="2:12">
      <c r="B1723" s="1050"/>
      <c r="C1723" s="1050"/>
      <c r="D1723" s="382" t="s">
        <v>2768</v>
      </c>
      <c r="E1723" s="382" t="s">
        <v>2190</v>
      </c>
      <c r="F1723" s="382" t="s">
        <v>2342</v>
      </c>
      <c r="G1723" s="382" t="s">
        <v>2352</v>
      </c>
      <c r="H1723" s="383">
        <v>296.07</v>
      </c>
      <c r="I1723" s="1046">
        <v>0</v>
      </c>
      <c r="J1723" s="1047"/>
      <c r="K1723" s="383">
        <v>296.07</v>
      </c>
      <c r="L1723" s="383">
        <v>592.14</v>
      </c>
    </row>
    <row r="1724" spans="2:12">
      <c r="B1724" s="1050"/>
      <c r="C1724" s="1050"/>
      <c r="D1724" s="382" t="s">
        <v>2768</v>
      </c>
      <c r="E1724" s="382" t="s">
        <v>2190</v>
      </c>
      <c r="F1724" s="382" t="s">
        <v>2342</v>
      </c>
      <c r="G1724" s="382" t="s">
        <v>2353</v>
      </c>
      <c r="H1724" s="383">
        <v>572.09</v>
      </c>
      <c r="I1724" s="1046">
        <v>0</v>
      </c>
      <c r="J1724" s="1047"/>
      <c r="K1724" s="383">
        <v>572.09</v>
      </c>
      <c r="L1724" s="383">
        <v>1144.18</v>
      </c>
    </row>
    <row r="1725" spans="2:12">
      <c r="B1725" s="1050"/>
      <c r="C1725" s="1050"/>
      <c r="D1725" s="382" t="s">
        <v>2768</v>
      </c>
      <c r="E1725" s="382" t="s">
        <v>2190</v>
      </c>
      <c r="F1725" s="382" t="s">
        <v>2342</v>
      </c>
      <c r="G1725" s="382" t="s">
        <v>405</v>
      </c>
      <c r="H1725" s="383">
        <v>170.93</v>
      </c>
      <c r="I1725" s="1046">
        <v>0</v>
      </c>
      <c r="J1725" s="1047"/>
      <c r="K1725" s="383">
        <v>170.93</v>
      </c>
      <c r="L1725" s="383">
        <v>341.86</v>
      </c>
    </row>
    <row r="1726" spans="2:12">
      <c r="B1726" s="1050"/>
      <c r="C1726" s="1050"/>
      <c r="D1726" s="382" t="s">
        <v>2768</v>
      </c>
      <c r="E1726" s="382" t="s">
        <v>2190</v>
      </c>
      <c r="F1726" s="382" t="s">
        <v>2342</v>
      </c>
      <c r="G1726" s="382" t="s">
        <v>2354</v>
      </c>
      <c r="H1726" s="383">
        <v>195.78</v>
      </c>
      <c r="I1726" s="1046">
        <v>0</v>
      </c>
      <c r="J1726" s="1047"/>
      <c r="K1726" s="383">
        <v>195.78</v>
      </c>
      <c r="L1726" s="383">
        <v>391.56</v>
      </c>
    </row>
    <row r="1727" spans="2:12">
      <c r="B1727" s="1050"/>
      <c r="C1727" s="1050"/>
      <c r="D1727" s="382" t="s">
        <v>2768</v>
      </c>
      <c r="E1727" s="382" t="s">
        <v>2190</v>
      </c>
      <c r="F1727" s="382" t="s">
        <v>2342</v>
      </c>
      <c r="G1727" s="382" t="s">
        <v>2355</v>
      </c>
      <c r="H1727" s="383">
        <v>1504429</v>
      </c>
      <c r="I1727" s="1046">
        <v>0</v>
      </c>
      <c r="J1727" s="1047"/>
      <c r="K1727" s="383">
        <v>0</v>
      </c>
      <c r="L1727" s="383">
        <v>1504429</v>
      </c>
    </row>
    <row r="1728" spans="2:12">
      <c r="B1728" s="1050"/>
      <c r="C1728" s="1050"/>
      <c r="D1728" s="382" t="s">
        <v>2769</v>
      </c>
      <c r="E1728" s="382" t="s">
        <v>2191</v>
      </c>
      <c r="F1728" s="382" t="s">
        <v>2342</v>
      </c>
      <c r="G1728" s="382" t="s">
        <v>2343</v>
      </c>
      <c r="H1728" s="383">
        <v>3150</v>
      </c>
      <c r="I1728" s="1046">
        <v>0</v>
      </c>
      <c r="J1728" s="1047"/>
      <c r="K1728" s="383">
        <v>2700</v>
      </c>
      <c r="L1728" s="383">
        <v>5850</v>
      </c>
    </row>
    <row r="1729" spans="2:12">
      <c r="B1729" s="1050"/>
      <c r="C1729" s="1050"/>
      <c r="D1729" s="382" t="s">
        <v>2769</v>
      </c>
      <c r="E1729" s="382" t="s">
        <v>2191</v>
      </c>
      <c r="F1729" s="382" t="s">
        <v>2342</v>
      </c>
      <c r="G1729" s="382" t="s">
        <v>2344</v>
      </c>
      <c r="H1729" s="383">
        <v>4950</v>
      </c>
      <c r="I1729" s="1046">
        <v>0</v>
      </c>
      <c r="J1729" s="1047"/>
      <c r="K1729" s="383">
        <v>3900</v>
      </c>
      <c r="L1729" s="383">
        <v>8850</v>
      </c>
    </row>
    <row r="1730" spans="2:12">
      <c r="B1730" s="1050"/>
      <c r="C1730" s="1050"/>
      <c r="D1730" s="382" t="s">
        <v>2769</v>
      </c>
      <c r="E1730" s="382" t="s">
        <v>2191</v>
      </c>
      <c r="F1730" s="382" t="s">
        <v>2342</v>
      </c>
      <c r="G1730" s="382" t="s">
        <v>2345</v>
      </c>
      <c r="H1730" s="383">
        <v>2400</v>
      </c>
      <c r="I1730" s="1046">
        <v>0</v>
      </c>
      <c r="J1730" s="1047"/>
      <c r="K1730" s="383">
        <v>1950</v>
      </c>
      <c r="L1730" s="383">
        <v>4350</v>
      </c>
    </row>
    <row r="1731" spans="2:12">
      <c r="B1731" s="1050"/>
      <c r="C1731" s="1050"/>
      <c r="D1731" s="382" t="s">
        <v>2769</v>
      </c>
      <c r="E1731" s="382" t="s">
        <v>2191</v>
      </c>
      <c r="F1731" s="382" t="s">
        <v>2342</v>
      </c>
      <c r="G1731" s="382" t="s">
        <v>2346</v>
      </c>
      <c r="H1731" s="383">
        <v>5100</v>
      </c>
      <c r="I1731" s="1046">
        <v>0</v>
      </c>
      <c r="J1731" s="1047"/>
      <c r="K1731" s="383">
        <v>3300</v>
      </c>
      <c r="L1731" s="383">
        <v>8400</v>
      </c>
    </row>
    <row r="1732" spans="2:12">
      <c r="B1732" s="1050"/>
      <c r="C1732" s="1050"/>
      <c r="D1732" s="382" t="s">
        <v>2769</v>
      </c>
      <c r="E1732" s="382" t="s">
        <v>2191</v>
      </c>
      <c r="F1732" s="382" t="s">
        <v>2342</v>
      </c>
      <c r="G1732" s="382" t="s">
        <v>2347</v>
      </c>
      <c r="H1732" s="383">
        <v>9150</v>
      </c>
      <c r="I1732" s="1046">
        <v>0</v>
      </c>
      <c r="J1732" s="1047"/>
      <c r="K1732" s="383">
        <v>8700</v>
      </c>
      <c r="L1732" s="383">
        <v>17850</v>
      </c>
    </row>
    <row r="1733" spans="2:12">
      <c r="B1733" s="1050"/>
      <c r="C1733" s="1050"/>
      <c r="D1733" s="382" t="s">
        <v>2769</v>
      </c>
      <c r="E1733" s="382" t="s">
        <v>2191</v>
      </c>
      <c r="F1733" s="382" t="s">
        <v>2342</v>
      </c>
      <c r="G1733" s="382" t="s">
        <v>2348</v>
      </c>
      <c r="H1733" s="383">
        <v>7500</v>
      </c>
      <c r="I1733" s="1046">
        <v>0</v>
      </c>
      <c r="J1733" s="1047"/>
      <c r="K1733" s="383">
        <v>750</v>
      </c>
      <c r="L1733" s="383">
        <v>8250</v>
      </c>
    </row>
    <row r="1734" spans="2:12">
      <c r="B1734" s="1050"/>
      <c r="C1734" s="1050"/>
      <c r="D1734" s="382" t="s">
        <v>2769</v>
      </c>
      <c r="E1734" s="382" t="s">
        <v>2191</v>
      </c>
      <c r="F1734" s="382" t="s">
        <v>2342</v>
      </c>
      <c r="G1734" s="382" t="s">
        <v>2349</v>
      </c>
      <c r="H1734" s="383">
        <v>9000</v>
      </c>
      <c r="I1734" s="1046">
        <v>0</v>
      </c>
      <c r="J1734" s="1047"/>
      <c r="K1734" s="383">
        <v>4350</v>
      </c>
      <c r="L1734" s="383">
        <v>13350</v>
      </c>
    </row>
    <row r="1735" spans="2:12">
      <c r="B1735" s="1050"/>
      <c r="C1735" s="1050"/>
      <c r="D1735" s="382" t="s">
        <v>2769</v>
      </c>
      <c r="E1735" s="382" t="s">
        <v>2191</v>
      </c>
      <c r="F1735" s="382" t="s">
        <v>2342</v>
      </c>
      <c r="G1735" s="382" t="s">
        <v>2350</v>
      </c>
      <c r="H1735" s="383">
        <v>4650</v>
      </c>
      <c r="I1735" s="1046">
        <v>0</v>
      </c>
      <c r="J1735" s="1047"/>
      <c r="K1735" s="383">
        <v>4200</v>
      </c>
      <c r="L1735" s="383">
        <v>8850</v>
      </c>
    </row>
    <row r="1736" spans="2:12">
      <c r="B1736" s="1050"/>
      <c r="C1736" s="1050"/>
      <c r="D1736" s="382" t="s">
        <v>2769</v>
      </c>
      <c r="E1736" s="382" t="s">
        <v>2191</v>
      </c>
      <c r="F1736" s="382" t="s">
        <v>2342</v>
      </c>
      <c r="G1736" s="382" t="s">
        <v>2351</v>
      </c>
      <c r="H1736" s="383">
        <v>4800</v>
      </c>
      <c r="I1736" s="1046">
        <v>0</v>
      </c>
      <c r="J1736" s="1047"/>
      <c r="K1736" s="383">
        <v>2100</v>
      </c>
      <c r="L1736" s="383">
        <v>6900</v>
      </c>
    </row>
    <row r="1737" spans="2:12">
      <c r="B1737" s="1050"/>
      <c r="C1737" s="1050"/>
      <c r="D1737" s="382" t="s">
        <v>2769</v>
      </c>
      <c r="E1737" s="382" t="s">
        <v>2191</v>
      </c>
      <c r="F1737" s="382" t="s">
        <v>2342</v>
      </c>
      <c r="G1737" s="382" t="s">
        <v>2352</v>
      </c>
      <c r="H1737" s="383">
        <v>7800</v>
      </c>
      <c r="I1737" s="1046">
        <v>0</v>
      </c>
      <c r="J1737" s="1047"/>
      <c r="K1737" s="383">
        <v>4800</v>
      </c>
      <c r="L1737" s="383">
        <v>12600</v>
      </c>
    </row>
    <row r="1738" spans="2:12">
      <c r="B1738" s="1050"/>
      <c r="C1738" s="1050"/>
      <c r="D1738" s="382" t="s">
        <v>2769</v>
      </c>
      <c r="E1738" s="382" t="s">
        <v>2191</v>
      </c>
      <c r="F1738" s="382" t="s">
        <v>2342</v>
      </c>
      <c r="G1738" s="382" t="s">
        <v>2353</v>
      </c>
      <c r="H1738" s="383">
        <v>4800</v>
      </c>
      <c r="I1738" s="1046">
        <v>0</v>
      </c>
      <c r="J1738" s="1047"/>
      <c r="K1738" s="383">
        <v>3150</v>
      </c>
      <c r="L1738" s="383">
        <v>7950</v>
      </c>
    </row>
    <row r="1739" spans="2:12">
      <c r="B1739" s="1050"/>
      <c r="C1739" s="1050"/>
      <c r="D1739" s="382" t="s">
        <v>2769</v>
      </c>
      <c r="E1739" s="382" t="s">
        <v>2191</v>
      </c>
      <c r="F1739" s="382" t="s">
        <v>2342</v>
      </c>
      <c r="G1739" s="382" t="s">
        <v>405</v>
      </c>
      <c r="H1739" s="383">
        <v>2700</v>
      </c>
      <c r="I1739" s="1046">
        <v>0</v>
      </c>
      <c r="J1739" s="1047"/>
      <c r="K1739" s="383">
        <v>2250</v>
      </c>
      <c r="L1739" s="383">
        <v>4950</v>
      </c>
    </row>
    <row r="1740" spans="2:12">
      <c r="B1740" s="1050"/>
      <c r="C1740" s="1050"/>
      <c r="D1740" s="382" t="s">
        <v>2769</v>
      </c>
      <c r="E1740" s="382" t="s">
        <v>2191</v>
      </c>
      <c r="F1740" s="382" t="s">
        <v>2342</v>
      </c>
      <c r="G1740" s="382" t="s">
        <v>2354</v>
      </c>
      <c r="H1740" s="383">
        <v>900</v>
      </c>
      <c r="I1740" s="1046">
        <v>0</v>
      </c>
      <c r="J1740" s="1047"/>
      <c r="K1740" s="383">
        <v>1650</v>
      </c>
      <c r="L1740" s="383">
        <v>2550</v>
      </c>
    </row>
    <row r="1741" spans="2:12">
      <c r="B1741" s="1050"/>
      <c r="C1741" s="1050"/>
      <c r="D1741" s="382" t="s">
        <v>2770</v>
      </c>
      <c r="E1741" s="382" t="s">
        <v>2192</v>
      </c>
      <c r="F1741" s="382" t="s">
        <v>2342</v>
      </c>
      <c r="G1741" s="382" t="s">
        <v>2343</v>
      </c>
      <c r="H1741" s="383">
        <v>1500</v>
      </c>
      <c r="I1741" s="1046">
        <v>0</v>
      </c>
      <c r="J1741" s="1047"/>
      <c r="K1741" s="383">
        <v>900</v>
      </c>
      <c r="L1741" s="383">
        <v>2400</v>
      </c>
    </row>
    <row r="1742" spans="2:12">
      <c r="B1742" s="1050"/>
      <c r="C1742" s="1050"/>
      <c r="D1742" s="382" t="s">
        <v>2770</v>
      </c>
      <c r="E1742" s="382" t="s">
        <v>2192</v>
      </c>
      <c r="F1742" s="382" t="s">
        <v>2342</v>
      </c>
      <c r="G1742" s="382" t="s">
        <v>2344</v>
      </c>
      <c r="H1742" s="383">
        <v>2775</v>
      </c>
      <c r="I1742" s="1046">
        <v>0</v>
      </c>
      <c r="J1742" s="1047"/>
      <c r="K1742" s="383">
        <v>1300</v>
      </c>
      <c r="L1742" s="383">
        <v>4075</v>
      </c>
    </row>
    <row r="1743" spans="2:12">
      <c r="B1743" s="1050"/>
      <c r="C1743" s="1050"/>
      <c r="D1743" s="382" t="s">
        <v>2770</v>
      </c>
      <c r="E1743" s="382" t="s">
        <v>2192</v>
      </c>
      <c r="F1743" s="382" t="s">
        <v>2342</v>
      </c>
      <c r="G1743" s="382" t="s">
        <v>2345</v>
      </c>
      <c r="H1743" s="383">
        <v>1325</v>
      </c>
      <c r="I1743" s="1046">
        <v>0</v>
      </c>
      <c r="J1743" s="1047"/>
      <c r="K1743" s="383">
        <v>650</v>
      </c>
      <c r="L1743" s="383">
        <v>1975</v>
      </c>
    </row>
    <row r="1744" spans="2:12">
      <c r="B1744" s="1050"/>
      <c r="C1744" s="1050"/>
      <c r="D1744" s="382" t="s">
        <v>2770</v>
      </c>
      <c r="E1744" s="382" t="s">
        <v>2192</v>
      </c>
      <c r="F1744" s="382" t="s">
        <v>2342</v>
      </c>
      <c r="G1744" s="382" t="s">
        <v>2346</v>
      </c>
      <c r="H1744" s="383">
        <v>2200</v>
      </c>
      <c r="I1744" s="1046">
        <v>0</v>
      </c>
      <c r="J1744" s="1047"/>
      <c r="K1744" s="383">
        <v>1100</v>
      </c>
      <c r="L1744" s="383">
        <v>3300</v>
      </c>
    </row>
    <row r="1745" spans="2:12">
      <c r="B1745" s="1050"/>
      <c r="C1745" s="1050"/>
      <c r="D1745" s="382" t="s">
        <v>2770</v>
      </c>
      <c r="E1745" s="382" t="s">
        <v>2192</v>
      </c>
      <c r="F1745" s="382" t="s">
        <v>2342</v>
      </c>
      <c r="G1745" s="382" t="s">
        <v>2347</v>
      </c>
      <c r="H1745" s="383">
        <v>5750</v>
      </c>
      <c r="I1745" s="1046">
        <v>0</v>
      </c>
      <c r="J1745" s="1047"/>
      <c r="K1745" s="383">
        <v>2900</v>
      </c>
      <c r="L1745" s="383">
        <v>8650</v>
      </c>
    </row>
    <row r="1746" spans="2:12">
      <c r="B1746" s="1050"/>
      <c r="C1746" s="1050"/>
      <c r="D1746" s="382" t="s">
        <v>2770</v>
      </c>
      <c r="E1746" s="382" t="s">
        <v>2192</v>
      </c>
      <c r="F1746" s="382" t="s">
        <v>2342</v>
      </c>
      <c r="G1746" s="382" t="s">
        <v>2348</v>
      </c>
      <c r="H1746" s="383">
        <v>3700</v>
      </c>
      <c r="I1746" s="1046">
        <v>50</v>
      </c>
      <c r="J1746" s="1047"/>
      <c r="K1746" s="383">
        <v>275</v>
      </c>
      <c r="L1746" s="383">
        <v>3925</v>
      </c>
    </row>
    <row r="1747" spans="2:12">
      <c r="B1747" s="1050"/>
      <c r="C1747" s="1050"/>
      <c r="D1747" s="382" t="s">
        <v>2770</v>
      </c>
      <c r="E1747" s="382" t="s">
        <v>2192</v>
      </c>
      <c r="F1747" s="382" t="s">
        <v>2342</v>
      </c>
      <c r="G1747" s="382" t="s">
        <v>2349</v>
      </c>
      <c r="H1747" s="383">
        <v>5075</v>
      </c>
      <c r="I1747" s="1046">
        <v>0</v>
      </c>
      <c r="J1747" s="1047"/>
      <c r="K1747" s="383">
        <v>1450</v>
      </c>
      <c r="L1747" s="383">
        <v>6525</v>
      </c>
    </row>
    <row r="1748" spans="2:12">
      <c r="B1748" s="1050"/>
      <c r="C1748" s="1050"/>
      <c r="D1748" s="382" t="s">
        <v>2770</v>
      </c>
      <c r="E1748" s="382" t="s">
        <v>2192</v>
      </c>
      <c r="F1748" s="382" t="s">
        <v>2342</v>
      </c>
      <c r="G1748" s="382" t="s">
        <v>2350</v>
      </c>
      <c r="H1748" s="383">
        <v>3625</v>
      </c>
      <c r="I1748" s="1046">
        <v>0</v>
      </c>
      <c r="J1748" s="1047"/>
      <c r="K1748" s="383">
        <v>1400</v>
      </c>
      <c r="L1748" s="383">
        <v>5025</v>
      </c>
    </row>
    <row r="1749" spans="2:12">
      <c r="B1749" s="1050"/>
      <c r="C1749" s="1050"/>
      <c r="D1749" s="382" t="s">
        <v>2770</v>
      </c>
      <c r="E1749" s="382" t="s">
        <v>2192</v>
      </c>
      <c r="F1749" s="382" t="s">
        <v>2342</v>
      </c>
      <c r="G1749" s="382" t="s">
        <v>2351</v>
      </c>
      <c r="H1749" s="383">
        <v>2500</v>
      </c>
      <c r="I1749" s="1046">
        <v>0</v>
      </c>
      <c r="J1749" s="1047"/>
      <c r="K1749" s="383">
        <v>700</v>
      </c>
      <c r="L1749" s="383">
        <v>3200</v>
      </c>
    </row>
    <row r="1750" spans="2:12">
      <c r="B1750" s="1050"/>
      <c r="C1750" s="1050"/>
      <c r="D1750" s="382" t="s">
        <v>2770</v>
      </c>
      <c r="E1750" s="382" t="s">
        <v>2192</v>
      </c>
      <c r="F1750" s="382" t="s">
        <v>2342</v>
      </c>
      <c r="G1750" s="382" t="s">
        <v>2352</v>
      </c>
      <c r="H1750" s="383">
        <v>2975</v>
      </c>
      <c r="I1750" s="1046">
        <v>0</v>
      </c>
      <c r="J1750" s="1047"/>
      <c r="K1750" s="383">
        <v>1600</v>
      </c>
      <c r="L1750" s="383">
        <v>4575</v>
      </c>
    </row>
    <row r="1751" spans="2:12">
      <c r="B1751" s="1050"/>
      <c r="C1751" s="1050"/>
      <c r="D1751" s="382" t="s">
        <v>2770</v>
      </c>
      <c r="E1751" s="382" t="s">
        <v>2192</v>
      </c>
      <c r="F1751" s="382" t="s">
        <v>2342</v>
      </c>
      <c r="G1751" s="382" t="s">
        <v>2353</v>
      </c>
      <c r="H1751" s="383">
        <v>2550</v>
      </c>
      <c r="I1751" s="1046">
        <v>0</v>
      </c>
      <c r="J1751" s="1047"/>
      <c r="K1751" s="383">
        <v>1050</v>
      </c>
      <c r="L1751" s="383">
        <v>3600</v>
      </c>
    </row>
    <row r="1752" spans="2:12">
      <c r="B1752" s="1050"/>
      <c r="C1752" s="1050"/>
      <c r="D1752" s="382" t="s">
        <v>2770</v>
      </c>
      <c r="E1752" s="382" t="s">
        <v>2192</v>
      </c>
      <c r="F1752" s="382" t="s">
        <v>2342</v>
      </c>
      <c r="G1752" s="382" t="s">
        <v>405</v>
      </c>
      <c r="H1752" s="383">
        <v>1925</v>
      </c>
      <c r="I1752" s="1046">
        <v>0</v>
      </c>
      <c r="J1752" s="1047"/>
      <c r="K1752" s="383">
        <v>750</v>
      </c>
      <c r="L1752" s="383">
        <v>2675</v>
      </c>
    </row>
    <row r="1753" spans="2:12">
      <c r="B1753" s="1050"/>
      <c r="C1753" s="1050"/>
      <c r="D1753" s="382" t="s">
        <v>2770</v>
      </c>
      <c r="E1753" s="382" t="s">
        <v>2192</v>
      </c>
      <c r="F1753" s="382" t="s">
        <v>2342</v>
      </c>
      <c r="G1753" s="382" t="s">
        <v>2354</v>
      </c>
      <c r="H1753" s="383">
        <v>900</v>
      </c>
      <c r="I1753" s="1046">
        <v>0</v>
      </c>
      <c r="J1753" s="1047"/>
      <c r="K1753" s="383">
        <v>550</v>
      </c>
      <c r="L1753" s="383">
        <v>1450</v>
      </c>
    </row>
    <row r="1754" spans="2:12">
      <c r="B1754" s="1050"/>
      <c r="C1754" s="1050"/>
      <c r="D1754" s="382" t="s">
        <v>2771</v>
      </c>
      <c r="E1754" s="382" t="s">
        <v>2193</v>
      </c>
      <c r="F1754" s="382" t="s">
        <v>2342</v>
      </c>
      <c r="G1754" s="382" t="s">
        <v>2343</v>
      </c>
      <c r="H1754" s="383">
        <v>4020</v>
      </c>
      <c r="I1754" s="1046">
        <v>0</v>
      </c>
      <c r="J1754" s="1047"/>
      <c r="K1754" s="383">
        <v>4060</v>
      </c>
      <c r="L1754" s="383">
        <v>8080</v>
      </c>
    </row>
    <row r="1755" spans="2:12">
      <c r="B1755" s="1050"/>
      <c r="C1755" s="1050"/>
      <c r="D1755" s="382" t="s">
        <v>2771</v>
      </c>
      <c r="E1755" s="382" t="s">
        <v>2193</v>
      </c>
      <c r="F1755" s="382" t="s">
        <v>2342</v>
      </c>
      <c r="G1755" s="382" t="s">
        <v>2344</v>
      </c>
      <c r="H1755" s="383">
        <v>5260</v>
      </c>
      <c r="I1755" s="1046">
        <v>0</v>
      </c>
      <c r="J1755" s="1047"/>
      <c r="K1755" s="383">
        <v>3930</v>
      </c>
      <c r="L1755" s="383">
        <v>9190</v>
      </c>
    </row>
    <row r="1756" spans="2:12">
      <c r="B1756" s="1050"/>
      <c r="C1756" s="1050"/>
      <c r="D1756" s="382" t="s">
        <v>2771</v>
      </c>
      <c r="E1756" s="382" t="s">
        <v>2193</v>
      </c>
      <c r="F1756" s="382" t="s">
        <v>2342</v>
      </c>
      <c r="G1756" s="382" t="s">
        <v>2345</v>
      </c>
      <c r="H1756" s="383">
        <v>3010</v>
      </c>
      <c r="I1756" s="1046">
        <v>0</v>
      </c>
      <c r="J1756" s="1047"/>
      <c r="K1756" s="383">
        <v>2800</v>
      </c>
      <c r="L1756" s="383">
        <v>5810</v>
      </c>
    </row>
    <row r="1757" spans="2:12">
      <c r="B1757" s="1050"/>
      <c r="C1757" s="1050"/>
      <c r="D1757" s="382" t="s">
        <v>2771</v>
      </c>
      <c r="E1757" s="382" t="s">
        <v>2193</v>
      </c>
      <c r="F1757" s="382" t="s">
        <v>2342</v>
      </c>
      <c r="G1757" s="382" t="s">
        <v>2346</v>
      </c>
      <c r="H1757" s="383">
        <v>6020</v>
      </c>
      <c r="I1757" s="1046">
        <v>0</v>
      </c>
      <c r="J1757" s="1047"/>
      <c r="K1757" s="383">
        <v>4640</v>
      </c>
      <c r="L1757" s="383">
        <v>10660</v>
      </c>
    </row>
    <row r="1758" spans="2:12">
      <c r="B1758" s="1050"/>
      <c r="C1758" s="1050"/>
      <c r="D1758" s="382" t="s">
        <v>2771</v>
      </c>
      <c r="E1758" s="382" t="s">
        <v>2193</v>
      </c>
      <c r="F1758" s="382" t="s">
        <v>2342</v>
      </c>
      <c r="G1758" s="382" t="s">
        <v>2347</v>
      </c>
      <c r="H1758" s="383">
        <v>9196</v>
      </c>
      <c r="I1758" s="1046">
        <v>0</v>
      </c>
      <c r="J1758" s="1047"/>
      <c r="K1758" s="383">
        <v>8462</v>
      </c>
      <c r="L1758" s="383">
        <v>17658</v>
      </c>
    </row>
    <row r="1759" spans="2:12">
      <c r="B1759" s="1050"/>
      <c r="C1759" s="1050"/>
      <c r="D1759" s="382" t="s">
        <v>2771</v>
      </c>
      <c r="E1759" s="382" t="s">
        <v>2193</v>
      </c>
      <c r="F1759" s="382" t="s">
        <v>2342</v>
      </c>
      <c r="G1759" s="382" t="s">
        <v>2348</v>
      </c>
      <c r="H1759" s="383">
        <v>8200</v>
      </c>
      <c r="I1759" s="1046">
        <v>0</v>
      </c>
      <c r="J1759" s="1047"/>
      <c r="K1759" s="383">
        <v>1070</v>
      </c>
      <c r="L1759" s="383">
        <v>9270</v>
      </c>
    </row>
    <row r="1760" spans="2:12">
      <c r="B1760" s="1050"/>
      <c r="C1760" s="1050"/>
      <c r="D1760" s="382" t="s">
        <v>2771</v>
      </c>
      <c r="E1760" s="382" t="s">
        <v>2193</v>
      </c>
      <c r="F1760" s="382" t="s">
        <v>2342</v>
      </c>
      <c r="G1760" s="382" t="s">
        <v>2349</v>
      </c>
      <c r="H1760" s="383">
        <v>12750</v>
      </c>
      <c r="I1760" s="1046">
        <v>0</v>
      </c>
      <c r="J1760" s="1047"/>
      <c r="K1760" s="383">
        <v>6220</v>
      </c>
      <c r="L1760" s="383">
        <v>18970</v>
      </c>
    </row>
    <row r="1761" spans="2:12">
      <c r="B1761" s="1050"/>
      <c r="C1761" s="1050"/>
      <c r="D1761" s="382" t="s">
        <v>2771</v>
      </c>
      <c r="E1761" s="382" t="s">
        <v>2193</v>
      </c>
      <c r="F1761" s="382" t="s">
        <v>2342</v>
      </c>
      <c r="G1761" s="382" t="s">
        <v>2350</v>
      </c>
      <c r="H1761" s="383">
        <v>7100</v>
      </c>
      <c r="I1761" s="1046">
        <v>0</v>
      </c>
      <c r="J1761" s="1047"/>
      <c r="K1761" s="383">
        <v>6000</v>
      </c>
      <c r="L1761" s="383">
        <v>13100</v>
      </c>
    </row>
    <row r="1762" spans="2:12">
      <c r="B1762" s="1050"/>
      <c r="C1762" s="1050"/>
      <c r="D1762" s="382" t="s">
        <v>2771</v>
      </c>
      <c r="E1762" s="382" t="s">
        <v>2193</v>
      </c>
      <c r="F1762" s="382" t="s">
        <v>2342</v>
      </c>
      <c r="G1762" s="382" t="s">
        <v>2351</v>
      </c>
      <c r="H1762" s="383">
        <v>6120</v>
      </c>
      <c r="I1762" s="1046">
        <v>0</v>
      </c>
      <c r="J1762" s="1047"/>
      <c r="K1762" s="383">
        <v>2440</v>
      </c>
      <c r="L1762" s="383">
        <v>8560</v>
      </c>
    </row>
    <row r="1763" spans="2:12">
      <c r="B1763" s="1050"/>
      <c r="C1763" s="1050"/>
      <c r="D1763" s="382" t="s">
        <v>2771</v>
      </c>
      <c r="E1763" s="382" t="s">
        <v>2193</v>
      </c>
      <c r="F1763" s="382" t="s">
        <v>2342</v>
      </c>
      <c r="G1763" s="382" t="s">
        <v>2352</v>
      </c>
      <c r="H1763" s="383">
        <v>7300</v>
      </c>
      <c r="I1763" s="1046">
        <v>0</v>
      </c>
      <c r="J1763" s="1047"/>
      <c r="K1763" s="383">
        <v>5530</v>
      </c>
      <c r="L1763" s="383">
        <v>12830</v>
      </c>
    </row>
    <row r="1764" spans="2:12">
      <c r="B1764" s="1050"/>
      <c r="C1764" s="1050"/>
      <c r="D1764" s="382" t="s">
        <v>2771</v>
      </c>
      <c r="E1764" s="382" t="s">
        <v>2193</v>
      </c>
      <c r="F1764" s="382" t="s">
        <v>2342</v>
      </c>
      <c r="G1764" s="382" t="s">
        <v>2353</v>
      </c>
      <c r="H1764" s="383">
        <v>5990</v>
      </c>
      <c r="I1764" s="1046">
        <v>0</v>
      </c>
      <c r="J1764" s="1047"/>
      <c r="K1764" s="383">
        <v>4260</v>
      </c>
      <c r="L1764" s="383">
        <v>10250</v>
      </c>
    </row>
    <row r="1765" spans="2:12">
      <c r="B1765" s="1050"/>
      <c r="C1765" s="1050"/>
      <c r="D1765" s="382" t="s">
        <v>2771</v>
      </c>
      <c r="E1765" s="382" t="s">
        <v>2193</v>
      </c>
      <c r="F1765" s="382" t="s">
        <v>2342</v>
      </c>
      <c r="G1765" s="382" t="s">
        <v>405</v>
      </c>
      <c r="H1765" s="383">
        <v>3520</v>
      </c>
      <c r="I1765" s="1046">
        <v>0</v>
      </c>
      <c r="J1765" s="1047"/>
      <c r="K1765" s="383">
        <v>2820</v>
      </c>
      <c r="L1765" s="383">
        <v>6340</v>
      </c>
    </row>
    <row r="1766" spans="2:12">
      <c r="B1766" s="1050"/>
      <c r="C1766" s="1050"/>
      <c r="D1766" s="382" t="s">
        <v>2771</v>
      </c>
      <c r="E1766" s="382" t="s">
        <v>2193</v>
      </c>
      <c r="F1766" s="382" t="s">
        <v>2342</v>
      </c>
      <c r="G1766" s="382" t="s">
        <v>2354</v>
      </c>
      <c r="H1766" s="383">
        <v>1010</v>
      </c>
      <c r="I1766" s="1046">
        <v>0</v>
      </c>
      <c r="J1766" s="1047"/>
      <c r="K1766" s="383">
        <v>1560</v>
      </c>
      <c r="L1766" s="383">
        <v>2570</v>
      </c>
    </row>
    <row r="1767" spans="2:12">
      <c r="B1767" s="1050"/>
      <c r="C1767" s="1050"/>
      <c r="D1767" s="382" t="s">
        <v>2772</v>
      </c>
      <c r="E1767" s="382" t="s">
        <v>2165</v>
      </c>
      <c r="F1767" s="382" t="s">
        <v>2342</v>
      </c>
      <c r="G1767" s="382" t="s">
        <v>2343</v>
      </c>
      <c r="H1767" s="383">
        <v>61377.39</v>
      </c>
      <c r="I1767" s="1046">
        <v>0</v>
      </c>
      <c r="J1767" s="1047"/>
      <c r="K1767" s="383">
        <v>21926.43</v>
      </c>
      <c r="L1767" s="383">
        <v>83303.820000000007</v>
      </c>
    </row>
    <row r="1768" spans="2:12">
      <c r="B1768" s="1050"/>
      <c r="C1768" s="1050"/>
      <c r="D1768" s="382" t="s">
        <v>2772</v>
      </c>
      <c r="E1768" s="382" t="s">
        <v>2165</v>
      </c>
      <c r="F1768" s="382" t="s">
        <v>2342</v>
      </c>
      <c r="G1768" s="382" t="s">
        <v>2344</v>
      </c>
      <c r="H1768" s="383">
        <v>58088.77</v>
      </c>
      <c r="I1768" s="1046">
        <v>0</v>
      </c>
      <c r="J1768" s="1047"/>
      <c r="K1768" s="383">
        <v>26763.21</v>
      </c>
      <c r="L1768" s="383">
        <v>84851.98</v>
      </c>
    </row>
    <row r="1769" spans="2:12">
      <c r="B1769" s="1050"/>
      <c r="C1769" s="1050"/>
      <c r="D1769" s="382" t="s">
        <v>2772</v>
      </c>
      <c r="E1769" s="382" t="s">
        <v>2165</v>
      </c>
      <c r="F1769" s="382" t="s">
        <v>2342</v>
      </c>
      <c r="G1769" s="382" t="s">
        <v>2345</v>
      </c>
      <c r="H1769" s="383">
        <v>49032.29</v>
      </c>
      <c r="I1769" s="1046">
        <v>0</v>
      </c>
      <c r="J1769" s="1047"/>
      <c r="K1769" s="383">
        <v>21784.85</v>
      </c>
      <c r="L1769" s="383">
        <v>70817.14</v>
      </c>
    </row>
    <row r="1770" spans="2:12">
      <c r="B1770" s="1050"/>
      <c r="C1770" s="1050"/>
      <c r="D1770" s="382" t="s">
        <v>2772</v>
      </c>
      <c r="E1770" s="382" t="s">
        <v>2165</v>
      </c>
      <c r="F1770" s="382" t="s">
        <v>2342</v>
      </c>
      <c r="G1770" s="382" t="s">
        <v>2346</v>
      </c>
      <c r="H1770" s="383">
        <v>40700.699999999997</v>
      </c>
      <c r="I1770" s="1046">
        <v>0</v>
      </c>
      <c r="J1770" s="1047"/>
      <c r="K1770" s="383">
        <v>17121.900000000001</v>
      </c>
      <c r="L1770" s="383">
        <v>57822.6</v>
      </c>
    </row>
    <row r="1771" spans="2:12">
      <c r="B1771" s="1050"/>
      <c r="C1771" s="1050"/>
      <c r="D1771" s="382" t="s">
        <v>2772</v>
      </c>
      <c r="E1771" s="382" t="s">
        <v>2165</v>
      </c>
      <c r="F1771" s="382" t="s">
        <v>2342</v>
      </c>
      <c r="G1771" s="382" t="s">
        <v>2347</v>
      </c>
      <c r="H1771" s="383">
        <v>98687.19</v>
      </c>
      <c r="I1771" s="1046">
        <v>0</v>
      </c>
      <c r="J1771" s="1047"/>
      <c r="K1771" s="383">
        <v>41772.03</v>
      </c>
      <c r="L1771" s="383">
        <v>140459.22</v>
      </c>
    </row>
    <row r="1772" spans="2:12">
      <c r="B1772" s="1050"/>
      <c r="C1772" s="1050"/>
      <c r="D1772" s="382" t="s">
        <v>2772</v>
      </c>
      <c r="E1772" s="382" t="s">
        <v>2165</v>
      </c>
      <c r="F1772" s="382" t="s">
        <v>2342</v>
      </c>
      <c r="G1772" s="382" t="s">
        <v>2348</v>
      </c>
      <c r="H1772" s="383">
        <v>59796.9</v>
      </c>
      <c r="I1772" s="1046">
        <v>0</v>
      </c>
      <c r="J1772" s="1047"/>
      <c r="K1772" s="383">
        <v>28502.720000000001</v>
      </c>
      <c r="L1772" s="383">
        <v>88299.62</v>
      </c>
    </row>
    <row r="1773" spans="2:12">
      <c r="B1773" s="1050"/>
      <c r="C1773" s="1050"/>
      <c r="D1773" s="382" t="s">
        <v>2772</v>
      </c>
      <c r="E1773" s="382" t="s">
        <v>2165</v>
      </c>
      <c r="F1773" s="382" t="s">
        <v>2342</v>
      </c>
      <c r="G1773" s="382" t="s">
        <v>2349</v>
      </c>
      <c r="H1773" s="383">
        <v>96843.25</v>
      </c>
      <c r="I1773" s="1046">
        <v>0</v>
      </c>
      <c r="J1773" s="1047"/>
      <c r="K1773" s="383">
        <v>45578.21</v>
      </c>
      <c r="L1773" s="383">
        <v>142421.46</v>
      </c>
    </row>
    <row r="1774" spans="2:12">
      <c r="B1774" s="1050"/>
      <c r="C1774" s="1050"/>
      <c r="D1774" s="382" t="s">
        <v>2772</v>
      </c>
      <c r="E1774" s="382" t="s">
        <v>2165</v>
      </c>
      <c r="F1774" s="382" t="s">
        <v>2342</v>
      </c>
      <c r="G1774" s="382" t="s">
        <v>2350</v>
      </c>
      <c r="H1774" s="383">
        <v>70045.990000000005</v>
      </c>
      <c r="I1774" s="1046">
        <v>0</v>
      </c>
      <c r="J1774" s="1047"/>
      <c r="K1774" s="383">
        <v>34497.230000000003</v>
      </c>
      <c r="L1774" s="383">
        <v>104543.22</v>
      </c>
    </row>
    <row r="1775" spans="2:12">
      <c r="B1775" s="1050"/>
      <c r="C1775" s="1050"/>
      <c r="D1775" s="382" t="s">
        <v>2772</v>
      </c>
      <c r="E1775" s="382" t="s">
        <v>2165</v>
      </c>
      <c r="F1775" s="382" t="s">
        <v>2342</v>
      </c>
      <c r="G1775" s="382" t="s">
        <v>2351</v>
      </c>
      <c r="H1775" s="383">
        <v>43074.96</v>
      </c>
      <c r="I1775" s="1046">
        <v>0</v>
      </c>
      <c r="J1775" s="1047"/>
      <c r="K1775" s="383">
        <v>19812.400000000001</v>
      </c>
      <c r="L1775" s="383">
        <v>62887.360000000001</v>
      </c>
    </row>
    <row r="1776" spans="2:12">
      <c r="B1776" s="1050"/>
      <c r="C1776" s="1050"/>
      <c r="D1776" s="382" t="s">
        <v>2772</v>
      </c>
      <c r="E1776" s="382" t="s">
        <v>2165</v>
      </c>
      <c r="F1776" s="382" t="s">
        <v>2342</v>
      </c>
      <c r="G1776" s="382" t="s">
        <v>2352</v>
      </c>
      <c r="H1776" s="383">
        <v>43356.06</v>
      </c>
      <c r="I1776" s="1046">
        <v>0</v>
      </c>
      <c r="J1776" s="1047"/>
      <c r="K1776" s="383">
        <v>22914.85</v>
      </c>
      <c r="L1776" s="383">
        <v>66270.91</v>
      </c>
    </row>
    <row r="1777" spans="2:12">
      <c r="B1777" s="1050"/>
      <c r="C1777" s="1050"/>
      <c r="D1777" s="382" t="s">
        <v>2772</v>
      </c>
      <c r="E1777" s="382" t="s">
        <v>2165</v>
      </c>
      <c r="F1777" s="382" t="s">
        <v>2342</v>
      </c>
      <c r="G1777" s="382" t="s">
        <v>2353</v>
      </c>
      <c r="H1777" s="383">
        <v>50866.51</v>
      </c>
      <c r="I1777" s="1046">
        <v>0</v>
      </c>
      <c r="J1777" s="1047"/>
      <c r="K1777" s="383">
        <v>23380.33</v>
      </c>
      <c r="L1777" s="383">
        <v>74246.84</v>
      </c>
    </row>
    <row r="1778" spans="2:12">
      <c r="B1778" s="1050"/>
      <c r="C1778" s="1050"/>
      <c r="D1778" s="382" t="s">
        <v>2772</v>
      </c>
      <c r="E1778" s="382" t="s">
        <v>2165</v>
      </c>
      <c r="F1778" s="382" t="s">
        <v>2342</v>
      </c>
      <c r="G1778" s="382" t="s">
        <v>405</v>
      </c>
      <c r="H1778" s="383">
        <v>26943.38</v>
      </c>
      <c r="I1778" s="1046">
        <v>0</v>
      </c>
      <c r="J1778" s="1047"/>
      <c r="K1778" s="383">
        <v>17016.52</v>
      </c>
      <c r="L1778" s="383">
        <v>43959.9</v>
      </c>
    </row>
    <row r="1779" spans="2:12">
      <c r="B1779" s="1050"/>
      <c r="C1779" s="1050"/>
      <c r="D1779" s="382" t="s">
        <v>2772</v>
      </c>
      <c r="E1779" s="382" t="s">
        <v>2165</v>
      </c>
      <c r="F1779" s="382" t="s">
        <v>2342</v>
      </c>
      <c r="G1779" s="382" t="s">
        <v>2354</v>
      </c>
      <c r="H1779" s="383">
        <v>672.12</v>
      </c>
      <c r="I1779" s="1046">
        <v>0</v>
      </c>
      <c r="J1779" s="1047"/>
      <c r="K1779" s="383">
        <v>672.12</v>
      </c>
      <c r="L1779" s="383">
        <v>1344.24</v>
      </c>
    </row>
    <row r="1780" spans="2:12">
      <c r="B1780" s="1050"/>
      <c r="C1780" s="1050"/>
      <c r="D1780" s="382" t="s">
        <v>2772</v>
      </c>
      <c r="E1780" s="382" t="s">
        <v>2165</v>
      </c>
      <c r="F1780" s="382" t="s">
        <v>2342</v>
      </c>
      <c r="G1780" s="382" t="s">
        <v>2355</v>
      </c>
      <c r="H1780" s="383">
        <v>1405316.19</v>
      </c>
      <c r="I1780" s="1046">
        <v>0</v>
      </c>
      <c r="J1780" s="1047"/>
      <c r="K1780" s="383">
        <v>0</v>
      </c>
      <c r="L1780" s="383">
        <v>1405316.19</v>
      </c>
    </row>
    <row r="1781" spans="2:12">
      <c r="B1781" s="1050"/>
      <c r="C1781" s="1050"/>
      <c r="D1781" s="382" t="s">
        <v>2773</v>
      </c>
      <c r="E1781" s="382" t="s">
        <v>2194</v>
      </c>
      <c r="F1781" s="382" t="s">
        <v>2342</v>
      </c>
      <c r="G1781" s="382" t="s">
        <v>2343</v>
      </c>
      <c r="H1781" s="383">
        <v>17180.77</v>
      </c>
      <c r="I1781" s="1046">
        <v>0</v>
      </c>
      <c r="J1781" s="1047"/>
      <c r="K1781" s="383">
        <v>10598.39</v>
      </c>
      <c r="L1781" s="383">
        <v>27779.16</v>
      </c>
    </row>
    <row r="1782" spans="2:12">
      <c r="B1782" s="1050"/>
      <c r="C1782" s="1050"/>
      <c r="D1782" s="382" t="s">
        <v>2773</v>
      </c>
      <c r="E1782" s="382" t="s">
        <v>2194</v>
      </c>
      <c r="F1782" s="382" t="s">
        <v>2342</v>
      </c>
      <c r="G1782" s="382" t="s">
        <v>2344</v>
      </c>
      <c r="H1782" s="383">
        <v>13859.17</v>
      </c>
      <c r="I1782" s="1046">
        <v>0</v>
      </c>
      <c r="J1782" s="1047"/>
      <c r="K1782" s="383">
        <v>10232.07</v>
      </c>
      <c r="L1782" s="383">
        <v>24091.24</v>
      </c>
    </row>
    <row r="1783" spans="2:12">
      <c r="B1783" s="1050"/>
      <c r="C1783" s="1050"/>
      <c r="D1783" s="382" t="s">
        <v>2773</v>
      </c>
      <c r="E1783" s="382" t="s">
        <v>2194</v>
      </c>
      <c r="F1783" s="382" t="s">
        <v>2342</v>
      </c>
      <c r="G1783" s="382" t="s">
        <v>2345</v>
      </c>
      <c r="H1783" s="383">
        <v>11452.54</v>
      </c>
      <c r="I1783" s="1046">
        <v>0</v>
      </c>
      <c r="J1783" s="1047"/>
      <c r="K1783" s="383">
        <v>7150.55</v>
      </c>
      <c r="L1783" s="383">
        <v>18603.09</v>
      </c>
    </row>
    <row r="1784" spans="2:12">
      <c r="B1784" s="1050"/>
      <c r="C1784" s="1050"/>
      <c r="D1784" s="382" t="s">
        <v>2773</v>
      </c>
      <c r="E1784" s="382" t="s">
        <v>2194</v>
      </c>
      <c r="F1784" s="382" t="s">
        <v>2342</v>
      </c>
      <c r="G1784" s="382" t="s">
        <v>2346</v>
      </c>
      <c r="H1784" s="383">
        <v>8111.78</v>
      </c>
      <c r="I1784" s="1046">
        <v>0</v>
      </c>
      <c r="J1784" s="1047"/>
      <c r="K1784" s="383">
        <v>5481.02</v>
      </c>
      <c r="L1784" s="383">
        <v>13592.8</v>
      </c>
    </row>
    <row r="1785" spans="2:12">
      <c r="B1785" s="1050"/>
      <c r="C1785" s="1050"/>
      <c r="D1785" s="382" t="s">
        <v>2773</v>
      </c>
      <c r="E1785" s="382" t="s">
        <v>2194</v>
      </c>
      <c r="F1785" s="382" t="s">
        <v>2342</v>
      </c>
      <c r="G1785" s="382" t="s">
        <v>2347</v>
      </c>
      <c r="H1785" s="383">
        <v>24273.18</v>
      </c>
      <c r="I1785" s="1046">
        <v>0</v>
      </c>
      <c r="J1785" s="1047"/>
      <c r="K1785" s="383">
        <v>16933.150000000001</v>
      </c>
      <c r="L1785" s="383">
        <v>41206.33</v>
      </c>
    </row>
    <row r="1786" spans="2:12">
      <c r="B1786" s="1050"/>
      <c r="C1786" s="1050"/>
      <c r="D1786" s="382" t="s">
        <v>2773</v>
      </c>
      <c r="E1786" s="382" t="s">
        <v>2194</v>
      </c>
      <c r="F1786" s="382" t="s">
        <v>2342</v>
      </c>
      <c r="G1786" s="382" t="s">
        <v>2348</v>
      </c>
      <c r="H1786" s="383">
        <v>15038.41</v>
      </c>
      <c r="I1786" s="1046">
        <v>0</v>
      </c>
      <c r="J1786" s="1047"/>
      <c r="K1786" s="383">
        <v>12905.22</v>
      </c>
      <c r="L1786" s="383">
        <v>27943.63</v>
      </c>
    </row>
    <row r="1787" spans="2:12">
      <c r="B1787" s="1050"/>
      <c r="C1787" s="1050"/>
      <c r="D1787" s="382" t="s">
        <v>2773</v>
      </c>
      <c r="E1787" s="382" t="s">
        <v>2194</v>
      </c>
      <c r="F1787" s="382" t="s">
        <v>2342</v>
      </c>
      <c r="G1787" s="382" t="s">
        <v>2349</v>
      </c>
      <c r="H1787" s="383">
        <v>22192.25</v>
      </c>
      <c r="I1787" s="1046">
        <v>0</v>
      </c>
      <c r="J1787" s="1047"/>
      <c r="K1787" s="383">
        <v>15598.61</v>
      </c>
      <c r="L1787" s="383">
        <v>37790.86</v>
      </c>
    </row>
    <row r="1788" spans="2:12">
      <c r="B1788" s="1050"/>
      <c r="C1788" s="1050"/>
      <c r="D1788" s="382" t="s">
        <v>2773</v>
      </c>
      <c r="E1788" s="382" t="s">
        <v>2194</v>
      </c>
      <c r="F1788" s="382" t="s">
        <v>2342</v>
      </c>
      <c r="G1788" s="382" t="s">
        <v>2350</v>
      </c>
      <c r="H1788" s="383">
        <v>12951.39</v>
      </c>
      <c r="I1788" s="1046">
        <v>0</v>
      </c>
      <c r="J1788" s="1047"/>
      <c r="K1788" s="383">
        <v>15696.85</v>
      </c>
      <c r="L1788" s="383">
        <v>28648.240000000002</v>
      </c>
    </row>
    <row r="1789" spans="2:12">
      <c r="B1789" s="1050"/>
      <c r="C1789" s="1050"/>
      <c r="D1789" s="382" t="s">
        <v>2773</v>
      </c>
      <c r="E1789" s="382" t="s">
        <v>2194</v>
      </c>
      <c r="F1789" s="382" t="s">
        <v>2342</v>
      </c>
      <c r="G1789" s="382" t="s">
        <v>2351</v>
      </c>
      <c r="H1789" s="383">
        <v>10001.200000000001</v>
      </c>
      <c r="I1789" s="1046">
        <v>0</v>
      </c>
      <c r="J1789" s="1047"/>
      <c r="K1789" s="383">
        <v>7087.2</v>
      </c>
      <c r="L1789" s="383">
        <v>17088.400000000001</v>
      </c>
    </row>
    <row r="1790" spans="2:12">
      <c r="B1790" s="1050"/>
      <c r="C1790" s="1050"/>
      <c r="D1790" s="382" t="s">
        <v>2773</v>
      </c>
      <c r="E1790" s="382" t="s">
        <v>2194</v>
      </c>
      <c r="F1790" s="382" t="s">
        <v>2342</v>
      </c>
      <c r="G1790" s="382" t="s">
        <v>2352</v>
      </c>
      <c r="H1790" s="383">
        <v>7842.48</v>
      </c>
      <c r="I1790" s="1046">
        <v>0</v>
      </c>
      <c r="J1790" s="1047"/>
      <c r="K1790" s="383">
        <v>7528.45</v>
      </c>
      <c r="L1790" s="383">
        <v>15370.93</v>
      </c>
    </row>
    <row r="1791" spans="2:12">
      <c r="B1791" s="1050"/>
      <c r="C1791" s="1050"/>
      <c r="D1791" s="382" t="s">
        <v>2773</v>
      </c>
      <c r="E1791" s="382" t="s">
        <v>2194</v>
      </c>
      <c r="F1791" s="382" t="s">
        <v>2342</v>
      </c>
      <c r="G1791" s="382" t="s">
        <v>2353</v>
      </c>
      <c r="H1791" s="383">
        <v>14292.87</v>
      </c>
      <c r="I1791" s="1046">
        <v>0</v>
      </c>
      <c r="J1791" s="1047"/>
      <c r="K1791" s="383">
        <v>11216.33</v>
      </c>
      <c r="L1791" s="383">
        <v>25509.200000000001</v>
      </c>
    </row>
    <row r="1792" spans="2:12">
      <c r="B1792" s="1050"/>
      <c r="C1792" s="1050"/>
      <c r="D1792" s="382" t="s">
        <v>2773</v>
      </c>
      <c r="E1792" s="382" t="s">
        <v>2194</v>
      </c>
      <c r="F1792" s="382" t="s">
        <v>2342</v>
      </c>
      <c r="G1792" s="382" t="s">
        <v>405</v>
      </c>
      <c r="H1792" s="383">
        <v>3086.09</v>
      </c>
      <c r="I1792" s="1046">
        <v>0</v>
      </c>
      <c r="J1792" s="1047"/>
      <c r="K1792" s="383">
        <v>5833.03</v>
      </c>
      <c r="L1792" s="383">
        <v>8919.1200000000008</v>
      </c>
    </row>
    <row r="1793" spans="2:12">
      <c r="B1793" s="1050"/>
      <c r="C1793" s="1050"/>
      <c r="D1793" s="382" t="s">
        <v>2773</v>
      </c>
      <c r="E1793" s="382" t="s">
        <v>2194</v>
      </c>
      <c r="F1793" s="382" t="s">
        <v>2342</v>
      </c>
      <c r="G1793" s="382" t="s">
        <v>2354</v>
      </c>
      <c r="H1793" s="383">
        <v>583.65</v>
      </c>
      <c r="I1793" s="1046">
        <v>272.39999999999998</v>
      </c>
      <c r="J1793" s="1047"/>
      <c r="K1793" s="383">
        <v>583.65</v>
      </c>
      <c r="L1793" s="383">
        <v>894.9</v>
      </c>
    </row>
    <row r="1794" spans="2:12">
      <c r="B1794" s="1050"/>
      <c r="C1794" s="1050"/>
      <c r="D1794" s="382" t="s">
        <v>2773</v>
      </c>
      <c r="E1794" s="382" t="s">
        <v>2194</v>
      </c>
      <c r="F1794" s="382" t="s">
        <v>2342</v>
      </c>
      <c r="G1794" s="382" t="s">
        <v>2355</v>
      </c>
      <c r="H1794" s="383">
        <v>561742.26</v>
      </c>
      <c r="I1794" s="1046">
        <v>0</v>
      </c>
      <c r="J1794" s="1047"/>
      <c r="K1794" s="383">
        <v>298390.06</v>
      </c>
      <c r="L1794" s="383">
        <v>860132.32</v>
      </c>
    </row>
    <row r="1795" spans="2:12">
      <c r="B1795" s="1050"/>
      <c r="C1795" s="1050"/>
      <c r="D1795" s="382" t="s">
        <v>2774</v>
      </c>
      <c r="E1795" s="382" t="s">
        <v>2195</v>
      </c>
      <c r="F1795" s="382" t="s">
        <v>2342</v>
      </c>
      <c r="G1795" s="382" t="s">
        <v>2343</v>
      </c>
      <c r="H1795" s="383">
        <v>4400</v>
      </c>
      <c r="I1795" s="1046">
        <v>0</v>
      </c>
      <c r="J1795" s="1047"/>
      <c r="K1795" s="383">
        <v>4000</v>
      </c>
      <c r="L1795" s="383">
        <v>8400</v>
      </c>
    </row>
    <row r="1796" spans="2:12">
      <c r="B1796" s="1050"/>
      <c r="C1796" s="1050"/>
      <c r="D1796" s="382" t="s">
        <v>2774</v>
      </c>
      <c r="E1796" s="382" t="s">
        <v>2195</v>
      </c>
      <c r="F1796" s="382" t="s">
        <v>2342</v>
      </c>
      <c r="G1796" s="382" t="s">
        <v>2344</v>
      </c>
      <c r="H1796" s="383">
        <v>3600</v>
      </c>
      <c r="I1796" s="1046">
        <v>0</v>
      </c>
      <c r="J1796" s="1047"/>
      <c r="K1796" s="383">
        <v>4400</v>
      </c>
      <c r="L1796" s="383">
        <v>8000</v>
      </c>
    </row>
    <row r="1797" spans="2:12">
      <c r="B1797" s="1050"/>
      <c r="C1797" s="1050"/>
      <c r="D1797" s="382" t="s">
        <v>2774</v>
      </c>
      <c r="E1797" s="382" t="s">
        <v>2195</v>
      </c>
      <c r="F1797" s="382" t="s">
        <v>2342</v>
      </c>
      <c r="G1797" s="382" t="s">
        <v>2345</v>
      </c>
      <c r="H1797" s="383">
        <v>5200</v>
      </c>
      <c r="I1797" s="1046">
        <v>0</v>
      </c>
      <c r="J1797" s="1047"/>
      <c r="K1797" s="383">
        <v>5600</v>
      </c>
      <c r="L1797" s="383">
        <v>10800</v>
      </c>
    </row>
    <row r="1798" spans="2:12">
      <c r="B1798" s="1050"/>
      <c r="C1798" s="1050"/>
      <c r="D1798" s="382" t="s">
        <v>2774</v>
      </c>
      <c r="E1798" s="382" t="s">
        <v>2195</v>
      </c>
      <c r="F1798" s="382" t="s">
        <v>2342</v>
      </c>
      <c r="G1798" s="382" t="s">
        <v>2346</v>
      </c>
      <c r="H1798" s="383">
        <v>1200</v>
      </c>
      <c r="I1798" s="1046">
        <v>0</v>
      </c>
      <c r="J1798" s="1047"/>
      <c r="K1798" s="383">
        <v>2000</v>
      </c>
      <c r="L1798" s="383">
        <v>3200</v>
      </c>
    </row>
    <row r="1799" spans="2:12">
      <c r="B1799" s="1050"/>
      <c r="C1799" s="1050"/>
      <c r="D1799" s="382" t="s">
        <v>2774</v>
      </c>
      <c r="E1799" s="382" t="s">
        <v>2195</v>
      </c>
      <c r="F1799" s="382" t="s">
        <v>2342</v>
      </c>
      <c r="G1799" s="382" t="s">
        <v>2347</v>
      </c>
      <c r="H1799" s="383">
        <v>4400</v>
      </c>
      <c r="I1799" s="1046">
        <v>0</v>
      </c>
      <c r="J1799" s="1047"/>
      <c r="K1799" s="383">
        <v>1200</v>
      </c>
      <c r="L1799" s="383">
        <v>5600</v>
      </c>
    </row>
    <row r="1800" spans="2:12">
      <c r="B1800" s="1050"/>
      <c r="C1800" s="1050"/>
      <c r="D1800" s="382" t="s">
        <v>2774</v>
      </c>
      <c r="E1800" s="382" t="s">
        <v>2195</v>
      </c>
      <c r="F1800" s="382" t="s">
        <v>2342</v>
      </c>
      <c r="G1800" s="382" t="s">
        <v>2348</v>
      </c>
      <c r="H1800" s="383">
        <v>5600</v>
      </c>
      <c r="I1800" s="1046">
        <v>0</v>
      </c>
      <c r="J1800" s="1047"/>
      <c r="K1800" s="383">
        <v>1600</v>
      </c>
      <c r="L1800" s="383">
        <v>7200</v>
      </c>
    </row>
    <row r="1801" spans="2:12">
      <c r="B1801" s="1050"/>
      <c r="C1801" s="1050"/>
      <c r="D1801" s="382" t="s">
        <v>2774</v>
      </c>
      <c r="E1801" s="382" t="s">
        <v>2195</v>
      </c>
      <c r="F1801" s="382" t="s">
        <v>2342</v>
      </c>
      <c r="G1801" s="382" t="s">
        <v>2349</v>
      </c>
      <c r="H1801" s="383">
        <v>9600</v>
      </c>
      <c r="I1801" s="1046">
        <v>800</v>
      </c>
      <c r="J1801" s="1047"/>
      <c r="K1801" s="383">
        <v>4800</v>
      </c>
      <c r="L1801" s="383">
        <v>13600</v>
      </c>
    </row>
    <row r="1802" spans="2:12">
      <c r="B1802" s="1050"/>
      <c r="C1802" s="1050"/>
      <c r="D1802" s="382" t="s">
        <v>2774</v>
      </c>
      <c r="E1802" s="382" t="s">
        <v>2195</v>
      </c>
      <c r="F1802" s="382" t="s">
        <v>2342</v>
      </c>
      <c r="G1802" s="382" t="s">
        <v>2350</v>
      </c>
      <c r="H1802" s="383">
        <v>13600</v>
      </c>
      <c r="I1802" s="1046">
        <v>0</v>
      </c>
      <c r="J1802" s="1047"/>
      <c r="K1802" s="383">
        <v>8400</v>
      </c>
      <c r="L1802" s="383">
        <v>22000</v>
      </c>
    </row>
    <row r="1803" spans="2:12">
      <c r="B1803" s="1050"/>
      <c r="C1803" s="1050"/>
      <c r="D1803" s="382" t="s">
        <v>2774</v>
      </c>
      <c r="E1803" s="382" t="s">
        <v>2195</v>
      </c>
      <c r="F1803" s="382" t="s">
        <v>2342</v>
      </c>
      <c r="G1803" s="382" t="s">
        <v>2351</v>
      </c>
      <c r="H1803" s="383">
        <v>3600</v>
      </c>
      <c r="I1803" s="1046">
        <v>0</v>
      </c>
      <c r="J1803" s="1047"/>
      <c r="K1803" s="383">
        <v>2800</v>
      </c>
      <c r="L1803" s="383">
        <v>6400</v>
      </c>
    </row>
    <row r="1804" spans="2:12">
      <c r="B1804" s="1050"/>
      <c r="C1804" s="1050"/>
      <c r="D1804" s="382" t="s">
        <v>2774</v>
      </c>
      <c r="E1804" s="382" t="s">
        <v>2195</v>
      </c>
      <c r="F1804" s="382" t="s">
        <v>2342</v>
      </c>
      <c r="G1804" s="382" t="s">
        <v>2352</v>
      </c>
      <c r="H1804" s="383">
        <v>4000</v>
      </c>
      <c r="I1804" s="1046">
        <v>0</v>
      </c>
      <c r="J1804" s="1047"/>
      <c r="K1804" s="383">
        <v>5200</v>
      </c>
      <c r="L1804" s="383">
        <v>9200</v>
      </c>
    </row>
    <row r="1805" spans="2:12">
      <c r="B1805" s="1050"/>
      <c r="C1805" s="1050"/>
      <c r="D1805" s="382" t="s">
        <v>2774</v>
      </c>
      <c r="E1805" s="382" t="s">
        <v>2195</v>
      </c>
      <c r="F1805" s="382" t="s">
        <v>2342</v>
      </c>
      <c r="G1805" s="382" t="s">
        <v>2353</v>
      </c>
      <c r="H1805" s="383">
        <v>4000</v>
      </c>
      <c r="I1805" s="1046">
        <v>0</v>
      </c>
      <c r="J1805" s="1047"/>
      <c r="K1805" s="383">
        <v>2800</v>
      </c>
      <c r="L1805" s="383">
        <v>6800</v>
      </c>
    </row>
    <row r="1806" spans="2:12">
      <c r="B1806" s="1050"/>
      <c r="C1806" s="1050"/>
      <c r="D1806" s="382" t="s">
        <v>2774</v>
      </c>
      <c r="E1806" s="382" t="s">
        <v>2195</v>
      </c>
      <c r="F1806" s="382" t="s">
        <v>2342</v>
      </c>
      <c r="G1806" s="382" t="s">
        <v>405</v>
      </c>
      <c r="H1806" s="383">
        <v>3600</v>
      </c>
      <c r="I1806" s="1046">
        <v>0</v>
      </c>
      <c r="J1806" s="1047"/>
      <c r="K1806" s="383">
        <v>2400</v>
      </c>
      <c r="L1806" s="383">
        <v>6000</v>
      </c>
    </row>
    <row r="1807" spans="2:12">
      <c r="B1807" s="1050"/>
      <c r="C1807" s="1050"/>
      <c r="D1807" s="382" t="s">
        <v>2774</v>
      </c>
      <c r="E1807" s="382" t="s">
        <v>2195</v>
      </c>
      <c r="F1807" s="382" t="s">
        <v>2342</v>
      </c>
      <c r="G1807" s="382" t="s">
        <v>2354</v>
      </c>
      <c r="H1807" s="383">
        <v>-400</v>
      </c>
      <c r="I1807" s="1046">
        <v>0</v>
      </c>
      <c r="J1807" s="1047"/>
      <c r="K1807" s="383">
        <v>2800</v>
      </c>
      <c r="L1807" s="383">
        <v>2400</v>
      </c>
    </row>
    <row r="1808" spans="2:12">
      <c r="B1808" s="1050"/>
      <c r="C1808" s="1050"/>
      <c r="D1808" s="382" t="s">
        <v>2774</v>
      </c>
      <c r="E1808" s="382" t="s">
        <v>2195</v>
      </c>
      <c r="F1808" s="382" t="s">
        <v>2342</v>
      </c>
      <c r="G1808" s="382" t="s">
        <v>2355</v>
      </c>
      <c r="H1808" s="383">
        <v>2622917.83</v>
      </c>
      <c r="I1808" s="1046">
        <v>0</v>
      </c>
      <c r="J1808" s="1047"/>
      <c r="K1808" s="383">
        <v>0</v>
      </c>
      <c r="L1808" s="383">
        <v>2622917.83</v>
      </c>
    </row>
    <row r="1809" spans="2:12">
      <c r="B1809" s="1050"/>
      <c r="C1809" s="1050"/>
      <c r="D1809" s="382" t="s">
        <v>2775</v>
      </c>
      <c r="E1809" s="382" t="s">
        <v>2196</v>
      </c>
      <c r="F1809" s="382" t="s">
        <v>2342</v>
      </c>
      <c r="G1809" s="382" t="s">
        <v>2343</v>
      </c>
      <c r="H1809" s="383">
        <v>1100</v>
      </c>
      <c r="I1809" s="1046">
        <v>0</v>
      </c>
      <c r="J1809" s="1047"/>
      <c r="K1809" s="383">
        <v>1000</v>
      </c>
      <c r="L1809" s="383">
        <v>2100</v>
      </c>
    </row>
    <row r="1810" spans="2:12">
      <c r="B1810" s="1050"/>
      <c r="C1810" s="1050"/>
      <c r="D1810" s="382" t="s">
        <v>2775</v>
      </c>
      <c r="E1810" s="382" t="s">
        <v>2196</v>
      </c>
      <c r="F1810" s="382" t="s">
        <v>2342</v>
      </c>
      <c r="G1810" s="382" t="s">
        <v>2344</v>
      </c>
      <c r="H1810" s="383">
        <v>900</v>
      </c>
      <c r="I1810" s="1046">
        <v>0</v>
      </c>
      <c r="J1810" s="1047"/>
      <c r="K1810" s="383">
        <v>1100</v>
      </c>
      <c r="L1810" s="383">
        <v>2000</v>
      </c>
    </row>
    <row r="1811" spans="2:12">
      <c r="B1811" s="1050"/>
      <c r="C1811" s="1050"/>
      <c r="D1811" s="382" t="s">
        <v>2775</v>
      </c>
      <c r="E1811" s="382" t="s">
        <v>2196</v>
      </c>
      <c r="F1811" s="382" t="s">
        <v>2342</v>
      </c>
      <c r="G1811" s="382" t="s">
        <v>2345</v>
      </c>
      <c r="H1811" s="383">
        <v>1300</v>
      </c>
      <c r="I1811" s="1046">
        <v>0</v>
      </c>
      <c r="J1811" s="1047"/>
      <c r="K1811" s="383">
        <v>1400</v>
      </c>
      <c r="L1811" s="383">
        <v>2700</v>
      </c>
    </row>
    <row r="1812" spans="2:12">
      <c r="B1812" s="1050"/>
      <c r="C1812" s="1050"/>
      <c r="D1812" s="382" t="s">
        <v>2775</v>
      </c>
      <c r="E1812" s="382" t="s">
        <v>2196</v>
      </c>
      <c r="F1812" s="382" t="s">
        <v>2342</v>
      </c>
      <c r="G1812" s="382" t="s">
        <v>2346</v>
      </c>
      <c r="H1812" s="383">
        <v>300</v>
      </c>
      <c r="I1812" s="1046">
        <v>0</v>
      </c>
      <c r="J1812" s="1047"/>
      <c r="K1812" s="383">
        <v>500</v>
      </c>
      <c r="L1812" s="383">
        <v>800</v>
      </c>
    </row>
    <row r="1813" spans="2:12">
      <c r="B1813" s="1050"/>
      <c r="C1813" s="1050"/>
      <c r="D1813" s="382" t="s">
        <v>2775</v>
      </c>
      <c r="E1813" s="382" t="s">
        <v>2196</v>
      </c>
      <c r="F1813" s="382" t="s">
        <v>2342</v>
      </c>
      <c r="G1813" s="382" t="s">
        <v>2347</v>
      </c>
      <c r="H1813" s="383">
        <v>1100</v>
      </c>
      <c r="I1813" s="1046">
        <v>0</v>
      </c>
      <c r="J1813" s="1047"/>
      <c r="K1813" s="383">
        <v>300</v>
      </c>
      <c r="L1813" s="383">
        <v>1400</v>
      </c>
    </row>
    <row r="1814" spans="2:12">
      <c r="B1814" s="1050"/>
      <c r="C1814" s="1050"/>
      <c r="D1814" s="382" t="s">
        <v>2775</v>
      </c>
      <c r="E1814" s="382" t="s">
        <v>2196</v>
      </c>
      <c r="F1814" s="382" t="s">
        <v>2342</v>
      </c>
      <c r="G1814" s="382" t="s">
        <v>2348</v>
      </c>
      <c r="H1814" s="383">
        <v>1400</v>
      </c>
      <c r="I1814" s="1046">
        <v>0</v>
      </c>
      <c r="J1814" s="1047"/>
      <c r="K1814" s="383">
        <v>400</v>
      </c>
      <c r="L1814" s="383">
        <v>1800</v>
      </c>
    </row>
    <row r="1815" spans="2:12">
      <c r="B1815" s="1050"/>
      <c r="C1815" s="1050"/>
      <c r="D1815" s="382" t="s">
        <v>2775</v>
      </c>
      <c r="E1815" s="382" t="s">
        <v>2196</v>
      </c>
      <c r="F1815" s="382" t="s">
        <v>2342</v>
      </c>
      <c r="G1815" s="382" t="s">
        <v>2349</v>
      </c>
      <c r="H1815" s="383">
        <v>2400</v>
      </c>
      <c r="I1815" s="1046">
        <v>200</v>
      </c>
      <c r="J1815" s="1047"/>
      <c r="K1815" s="383">
        <v>1200</v>
      </c>
      <c r="L1815" s="383">
        <v>3400</v>
      </c>
    </row>
    <row r="1816" spans="2:12">
      <c r="B1816" s="1050"/>
      <c r="C1816" s="1050"/>
      <c r="D1816" s="382" t="s">
        <v>2775</v>
      </c>
      <c r="E1816" s="382" t="s">
        <v>2196</v>
      </c>
      <c r="F1816" s="382" t="s">
        <v>2342</v>
      </c>
      <c r="G1816" s="382" t="s">
        <v>2350</v>
      </c>
      <c r="H1816" s="383">
        <v>3400</v>
      </c>
      <c r="I1816" s="1046">
        <v>0</v>
      </c>
      <c r="J1816" s="1047"/>
      <c r="K1816" s="383">
        <v>2100</v>
      </c>
      <c r="L1816" s="383">
        <v>5500</v>
      </c>
    </row>
    <row r="1817" spans="2:12">
      <c r="B1817" s="1050"/>
      <c r="C1817" s="1050"/>
      <c r="D1817" s="382" t="s">
        <v>2775</v>
      </c>
      <c r="E1817" s="382" t="s">
        <v>2196</v>
      </c>
      <c r="F1817" s="382" t="s">
        <v>2342</v>
      </c>
      <c r="G1817" s="382" t="s">
        <v>2351</v>
      </c>
      <c r="H1817" s="383">
        <v>900</v>
      </c>
      <c r="I1817" s="1046">
        <v>0</v>
      </c>
      <c r="J1817" s="1047"/>
      <c r="K1817" s="383">
        <v>700</v>
      </c>
      <c r="L1817" s="383">
        <v>1600</v>
      </c>
    </row>
    <row r="1818" spans="2:12">
      <c r="B1818" s="1050"/>
      <c r="C1818" s="1050"/>
      <c r="D1818" s="382" t="s">
        <v>2775</v>
      </c>
      <c r="E1818" s="382" t="s">
        <v>2196</v>
      </c>
      <c r="F1818" s="382" t="s">
        <v>2342</v>
      </c>
      <c r="G1818" s="382" t="s">
        <v>2352</v>
      </c>
      <c r="H1818" s="383">
        <v>1000</v>
      </c>
      <c r="I1818" s="1046">
        <v>0</v>
      </c>
      <c r="J1818" s="1047"/>
      <c r="K1818" s="383">
        <v>1300</v>
      </c>
      <c r="L1818" s="383">
        <v>2300</v>
      </c>
    </row>
    <row r="1819" spans="2:12">
      <c r="B1819" s="1050"/>
      <c r="C1819" s="1050"/>
      <c r="D1819" s="382" t="s">
        <v>2775</v>
      </c>
      <c r="E1819" s="382" t="s">
        <v>2196</v>
      </c>
      <c r="F1819" s="382" t="s">
        <v>2342</v>
      </c>
      <c r="G1819" s="382" t="s">
        <v>2353</v>
      </c>
      <c r="H1819" s="383">
        <v>1000</v>
      </c>
      <c r="I1819" s="1046">
        <v>0</v>
      </c>
      <c r="J1819" s="1047"/>
      <c r="K1819" s="383">
        <v>700</v>
      </c>
      <c r="L1819" s="383">
        <v>1700</v>
      </c>
    </row>
    <row r="1820" spans="2:12">
      <c r="B1820" s="1050"/>
      <c r="C1820" s="1050"/>
      <c r="D1820" s="382" t="s">
        <v>2775</v>
      </c>
      <c r="E1820" s="382" t="s">
        <v>2196</v>
      </c>
      <c r="F1820" s="382" t="s">
        <v>2342</v>
      </c>
      <c r="G1820" s="382" t="s">
        <v>405</v>
      </c>
      <c r="H1820" s="383">
        <v>900</v>
      </c>
      <c r="I1820" s="1046">
        <v>0</v>
      </c>
      <c r="J1820" s="1047"/>
      <c r="K1820" s="383">
        <v>600</v>
      </c>
      <c r="L1820" s="383">
        <v>1500</v>
      </c>
    </row>
    <row r="1821" spans="2:12">
      <c r="B1821" s="1050"/>
      <c r="C1821" s="1050"/>
      <c r="D1821" s="382" t="s">
        <v>2775</v>
      </c>
      <c r="E1821" s="382" t="s">
        <v>2196</v>
      </c>
      <c r="F1821" s="382" t="s">
        <v>2342</v>
      </c>
      <c r="G1821" s="382" t="s">
        <v>2354</v>
      </c>
      <c r="H1821" s="383">
        <v>-100</v>
      </c>
      <c r="I1821" s="1046">
        <v>0</v>
      </c>
      <c r="J1821" s="1047"/>
      <c r="K1821" s="383">
        <v>700</v>
      </c>
      <c r="L1821" s="383">
        <v>600</v>
      </c>
    </row>
    <row r="1822" spans="2:12">
      <c r="B1822" s="1050"/>
      <c r="C1822" s="1050"/>
      <c r="D1822" s="382" t="s">
        <v>2775</v>
      </c>
      <c r="E1822" s="382" t="s">
        <v>2196</v>
      </c>
      <c r="F1822" s="382" t="s">
        <v>2342</v>
      </c>
      <c r="G1822" s="382" t="s">
        <v>2355</v>
      </c>
      <c r="H1822" s="383">
        <v>379473.74</v>
      </c>
      <c r="I1822" s="1046">
        <v>0</v>
      </c>
      <c r="J1822" s="1047"/>
      <c r="K1822" s="383">
        <v>0</v>
      </c>
      <c r="L1822" s="383">
        <v>379473.74</v>
      </c>
    </row>
    <row r="1823" spans="2:12">
      <c r="B1823" s="1050"/>
      <c r="C1823" s="1050"/>
      <c r="D1823" s="382" t="s">
        <v>2776</v>
      </c>
      <c r="E1823" s="382" t="s">
        <v>2197</v>
      </c>
      <c r="F1823" s="382" t="s">
        <v>2342</v>
      </c>
      <c r="G1823" s="382" t="s">
        <v>2343</v>
      </c>
      <c r="H1823" s="383">
        <v>6970</v>
      </c>
      <c r="I1823" s="1046">
        <v>0</v>
      </c>
      <c r="J1823" s="1047"/>
      <c r="K1823" s="383">
        <v>5840</v>
      </c>
      <c r="L1823" s="383">
        <v>12810</v>
      </c>
    </row>
    <row r="1824" spans="2:12">
      <c r="B1824" s="1050"/>
      <c r="C1824" s="1050"/>
      <c r="D1824" s="382" t="s">
        <v>2776</v>
      </c>
      <c r="E1824" s="382" t="s">
        <v>2197</v>
      </c>
      <c r="F1824" s="382" t="s">
        <v>2342</v>
      </c>
      <c r="G1824" s="382" t="s">
        <v>2344</v>
      </c>
      <c r="H1824" s="383">
        <v>5260</v>
      </c>
      <c r="I1824" s="1046">
        <v>0</v>
      </c>
      <c r="J1824" s="1047"/>
      <c r="K1824" s="383">
        <v>7800</v>
      </c>
      <c r="L1824" s="383">
        <v>13060</v>
      </c>
    </row>
    <row r="1825" spans="2:12">
      <c r="B1825" s="1050"/>
      <c r="C1825" s="1050"/>
      <c r="D1825" s="382" t="s">
        <v>2776</v>
      </c>
      <c r="E1825" s="382" t="s">
        <v>2197</v>
      </c>
      <c r="F1825" s="382" t="s">
        <v>2342</v>
      </c>
      <c r="G1825" s="382" t="s">
        <v>2345</v>
      </c>
      <c r="H1825" s="383">
        <v>8480</v>
      </c>
      <c r="I1825" s="1046">
        <v>0</v>
      </c>
      <c r="J1825" s="1047"/>
      <c r="K1825" s="383">
        <v>9560</v>
      </c>
      <c r="L1825" s="383">
        <v>18040</v>
      </c>
    </row>
    <row r="1826" spans="2:12">
      <c r="B1826" s="1050"/>
      <c r="C1826" s="1050"/>
      <c r="D1826" s="382" t="s">
        <v>2776</v>
      </c>
      <c r="E1826" s="382" t="s">
        <v>2197</v>
      </c>
      <c r="F1826" s="382" t="s">
        <v>2342</v>
      </c>
      <c r="G1826" s="382" t="s">
        <v>2346</v>
      </c>
      <c r="H1826" s="383">
        <v>1500</v>
      </c>
      <c r="I1826" s="1046">
        <v>0</v>
      </c>
      <c r="J1826" s="1047"/>
      <c r="K1826" s="383">
        <v>3500</v>
      </c>
      <c r="L1826" s="383">
        <v>5000</v>
      </c>
    </row>
    <row r="1827" spans="2:12">
      <c r="B1827" s="1050"/>
      <c r="C1827" s="1050"/>
      <c r="D1827" s="382" t="s">
        <v>2776</v>
      </c>
      <c r="E1827" s="382" t="s">
        <v>2197</v>
      </c>
      <c r="F1827" s="382" t="s">
        <v>2342</v>
      </c>
      <c r="G1827" s="382" t="s">
        <v>2347</v>
      </c>
      <c r="H1827" s="383">
        <v>7150</v>
      </c>
      <c r="I1827" s="1046">
        <v>0</v>
      </c>
      <c r="J1827" s="1047"/>
      <c r="K1827" s="383">
        <v>1500</v>
      </c>
      <c r="L1827" s="383">
        <v>8650</v>
      </c>
    </row>
    <row r="1828" spans="2:12">
      <c r="B1828" s="1050"/>
      <c r="C1828" s="1050"/>
      <c r="D1828" s="382" t="s">
        <v>2776</v>
      </c>
      <c r="E1828" s="382" t="s">
        <v>2197</v>
      </c>
      <c r="F1828" s="382" t="s">
        <v>2342</v>
      </c>
      <c r="G1828" s="382" t="s">
        <v>2348</v>
      </c>
      <c r="H1828" s="383">
        <v>9680</v>
      </c>
      <c r="I1828" s="1046">
        <v>0</v>
      </c>
      <c r="J1828" s="1047"/>
      <c r="K1828" s="383">
        <v>1720</v>
      </c>
      <c r="L1828" s="383">
        <v>11400</v>
      </c>
    </row>
    <row r="1829" spans="2:12">
      <c r="B1829" s="1050"/>
      <c r="C1829" s="1050"/>
      <c r="D1829" s="382" t="s">
        <v>2776</v>
      </c>
      <c r="E1829" s="382" t="s">
        <v>2197</v>
      </c>
      <c r="F1829" s="382" t="s">
        <v>2342</v>
      </c>
      <c r="G1829" s="382" t="s">
        <v>2349</v>
      </c>
      <c r="H1829" s="383">
        <v>15620</v>
      </c>
      <c r="I1829" s="1046">
        <v>1160</v>
      </c>
      <c r="J1829" s="1047"/>
      <c r="K1829" s="383">
        <v>6820</v>
      </c>
      <c r="L1829" s="383">
        <v>21280</v>
      </c>
    </row>
    <row r="1830" spans="2:12">
      <c r="B1830" s="1050"/>
      <c r="C1830" s="1050"/>
      <c r="D1830" s="382" t="s">
        <v>2776</v>
      </c>
      <c r="E1830" s="382" t="s">
        <v>2197</v>
      </c>
      <c r="F1830" s="382" t="s">
        <v>2342</v>
      </c>
      <c r="G1830" s="382" t="s">
        <v>2350</v>
      </c>
      <c r="H1830" s="383">
        <v>21840</v>
      </c>
      <c r="I1830" s="1046">
        <v>0</v>
      </c>
      <c r="J1830" s="1047"/>
      <c r="K1830" s="383">
        <v>16400</v>
      </c>
      <c r="L1830" s="383">
        <v>38240</v>
      </c>
    </row>
    <row r="1831" spans="2:12">
      <c r="B1831" s="1050"/>
      <c r="C1831" s="1050"/>
      <c r="D1831" s="382" t="s">
        <v>2776</v>
      </c>
      <c r="E1831" s="382" t="s">
        <v>2197</v>
      </c>
      <c r="F1831" s="382" t="s">
        <v>2342</v>
      </c>
      <c r="G1831" s="382" t="s">
        <v>2351</v>
      </c>
      <c r="H1831" s="383">
        <v>4280</v>
      </c>
      <c r="I1831" s="1046">
        <v>0</v>
      </c>
      <c r="J1831" s="1047"/>
      <c r="K1831" s="383">
        <v>4520</v>
      </c>
      <c r="L1831" s="383">
        <v>8800</v>
      </c>
    </row>
    <row r="1832" spans="2:12">
      <c r="B1832" s="1050"/>
      <c r="C1832" s="1050"/>
      <c r="D1832" s="382" t="s">
        <v>2776</v>
      </c>
      <c r="E1832" s="382" t="s">
        <v>2197</v>
      </c>
      <c r="F1832" s="382" t="s">
        <v>2342</v>
      </c>
      <c r="G1832" s="382" t="s">
        <v>2352</v>
      </c>
      <c r="H1832" s="383">
        <v>8760</v>
      </c>
      <c r="I1832" s="1046">
        <v>0</v>
      </c>
      <c r="J1832" s="1047"/>
      <c r="K1832" s="383">
        <v>7080</v>
      </c>
      <c r="L1832" s="383">
        <v>15840</v>
      </c>
    </row>
    <row r="1833" spans="2:12">
      <c r="B1833" s="1050"/>
      <c r="C1833" s="1050"/>
      <c r="D1833" s="382" t="s">
        <v>2776</v>
      </c>
      <c r="E1833" s="382" t="s">
        <v>2197</v>
      </c>
      <c r="F1833" s="382" t="s">
        <v>2342</v>
      </c>
      <c r="G1833" s="382" t="s">
        <v>2353</v>
      </c>
      <c r="H1833" s="383">
        <v>5580</v>
      </c>
      <c r="I1833" s="1046">
        <v>0</v>
      </c>
      <c r="J1833" s="1047"/>
      <c r="K1833" s="383">
        <v>3320</v>
      </c>
      <c r="L1833" s="383">
        <v>8900</v>
      </c>
    </row>
    <row r="1834" spans="2:12">
      <c r="B1834" s="1050"/>
      <c r="C1834" s="1050"/>
      <c r="D1834" s="382" t="s">
        <v>2776</v>
      </c>
      <c r="E1834" s="382" t="s">
        <v>2197</v>
      </c>
      <c r="F1834" s="382" t="s">
        <v>2342</v>
      </c>
      <c r="G1834" s="382" t="s">
        <v>405</v>
      </c>
      <c r="H1834" s="383">
        <v>5440</v>
      </c>
      <c r="I1834" s="1046">
        <v>0</v>
      </c>
      <c r="J1834" s="1047"/>
      <c r="K1834" s="383">
        <v>3500</v>
      </c>
      <c r="L1834" s="383">
        <v>8940</v>
      </c>
    </row>
    <row r="1835" spans="2:12">
      <c r="B1835" s="1050"/>
      <c r="C1835" s="1050"/>
      <c r="D1835" s="382" t="s">
        <v>2776</v>
      </c>
      <c r="E1835" s="382" t="s">
        <v>2197</v>
      </c>
      <c r="F1835" s="382" t="s">
        <v>2342</v>
      </c>
      <c r="G1835" s="382" t="s">
        <v>2354</v>
      </c>
      <c r="H1835" s="383">
        <v>-44</v>
      </c>
      <c r="I1835" s="1046">
        <v>0</v>
      </c>
      <c r="J1835" s="1047"/>
      <c r="K1835" s="383">
        <v>3500</v>
      </c>
      <c r="L1835" s="383">
        <v>3456</v>
      </c>
    </row>
    <row r="1836" spans="2:12">
      <c r="B1836" s="1050"/>
      <c r="C1836" s="1050"/>
      <c r="D1836" s="382" t="s">
        <v>2776</v>
      </c>
      <c r="E1836" s="382" t="s">
        <v>2197</v>
      </c>
      <c r="F1836" s="382" t="s">
        <v>2342</v>
      </c>
      <c r="G1836" s="382" t="s">
        <v>2355</v>
      </c>
      <c r="H1836" s="383">
        <v>1481977.5</v>
      </c>
      <c r="I1836" s="1046">
        <v>0</v>
      </c>
      <c r="J1836" s="1047"/>
      <c r="K1836" s="383">
        <v>0</v>
      </c>
      <c r="L1836" s="383">
        <v>1481977.5</v>
      </c>
    </row>
    <row r="1837" spans="2:12">
      <c r="B1837" s="1050"/>
      <c r="C1837" s="1050"/>
      <c r="D1837" s="382" t="s">
        <v>2777</v>
      </c>
      <c r="E1837" s="382" t="s">
        <v>2198</v>
      </c>
      <c r="F1837" s="382" t="s">
        <v>2342</v>
      </c>
      <c r="G1837" s="382" t="s">
        <v>2343</v>
      </c>
      <c r="H1837" s="383">
        <v>0</v>
      </c>
      <c r="I1837" s="1046">
        <v>0</v>
      </c>
      <c r="J1837" s="1047"/>
      <c r="K1837" s="383">
        <v>1000</v>
      </c>
      <c r="L1837" s="383">
        <v>1000</v>
      </c>
    </row>
    <row r="1838" spans="2:12">
      <c r="B1838" s="1050"/>
      <c r="C1838" s="1050"/>
      <c r="D1838" s="382" t="s">
        <v>2777</v>
      </c>
      <c r="E1838" s="382" t="s">
        <v>2198</v>
      </c>
      <c r="F1838" s="382" t="s">
        <v>2342</v>
      </c>
      <c r="G1838" s="382" t="s">
        <v>2345</v>
      </c>
      <c r="H1838" s="383">
        <v>1000</v>
      </c>
      <c r="I1838" s="1046">
        <v>0</v>
      </c>
      <c r="J1838" s="1047"/>
      <c r="K1838" s="383">
        <v>0</v>
      </c>
      <c r="L1838" s="383">
        <v>1000</v>
      </c>
    </row>
    <row r="1839" spans="2:12">
      <c r="B1839" s="1050"/>
      <c r="C1839" s="1050"/>
      <c r="D1839" s="382" t="s">
        <v>2777</v>
      </c>
      <c r="E1839" s="382" t="s">
        <v>2198</v>
      </c>
      <c r="F1839" s="382" t="s">
        <v>2342</v>
      </c>
      <c r="G1839" s="382" t="s">
        <v>2346</v>
      </c>
      <c r="H1839" s="383">
        <v>2000</v>
      </c>
      <c r="I1839" s="1046">
        <v>0</v>
      </c>
      <c r="J1839" s="1047"/>
      <c r="K1839" s="383">
        <v>0</v>
      </c>
      <c r="L1839" s="383">
        <v>2000</v>
      </c>
    </row>
    <row r="1840" spans="2:12">
      <c r="B1840" s="1050"/>
      <c r="C1840" s="1050"/>
      <c r="D1840" s="382" t="s">
        <v>2777</v>
      </c>
      <c r="E1840" s="382" t="s">
        <v>2198</v>
      </c>
      <c r="F1840" s="382" t="s">
        <v>2342</v>
      </c>
      <c r="G1840" s="382" t="s">
        <v>2347</v>
      </c>
      <c r="H1840" s="383">
        <v>7000</v>
      </c>
      <c r="I1840" s="1046">
        <v>0</v>
      </c>
      <c r="J1840" s="1047"/>
      <c r="K1840" s="383">
        <v>0</v>
      </c>
      <c r="L1840" s="383">
        <v>7000</v>
      </c>
    </row>
    <row r="1841" spans="2:12">
      <c r="B1841" s="1050"/>
      <c r="C1841" s="1050"/>
      <c r="D1841" s="382" t="s">
        <v>2777</v>
      </c>
      <c r="E1841" s="382" t="s">
        <v>2198</v>
      </c>
      <c r="F1841" s="382" t="s">
        <v>2342</v>
      </c>
      <c r="G1841" s="382" t="s">
        <v>2348</v>
      </c>
      <c r="H1841" s="383">
        <v>2000</v>
      </c>
      <c r="I1841" s="1046">
        <v>0</v>
      </c>
      <c r="J1841" s="1047"/>
      <c r="K1841" s="383">
        <v>2000</v>
      </c>
      <c r="L1841" s="383">
        <v>4000</v>
      </c>
    </row>
    <row r="1842" spans="2:12">
      <c r="B1842" s="1050"/>
      <c r="C1842" s="1050"/>
      <c r="D1842" s="382" t="s">
        <v>2777</v>
      </c>
      <c r="E1842" s="382" t="s">
        <v>2198</v>
      </c>
      <c r="F1842" s="382" t="s">
        <v>2342</v>
      </c>
      <c r="G1842" s="382" t="s">
        <v>2349</v>
      </c>
      <c r="H1842" s="383">
        <v>1000</v>
      </c>
      <c r="I1842" s="1046">
        <v>2000</v>
      </c>
      <c r="J1842" s="1047"/>
      <c r="K1842" s="383">
        <v>2000</v>
      </c>
      <c r="L1842" s="383">
        <v>1000</v>
      </c>
    </row>
    <row r="1843" spans="2:12">
      <c r="B1843" s="1050"/>
      <c r="C1843" s="1050"/>
      <c r="D1843" s="382" t="s">
        <v>2777</v>
      </c>
      <c r="E1843" s="382" t="s">
        <v>2198</v>
      </c>
      <c r="F1843" s="382" t="s">
        <v>2342</v>
      </c>
      <c r="G1843" s="382" t="s">
        <v>2350</v>
      </c>
      <c r="H1843" s="383">
        <v>3000</v>
      </c>
      <c r="I1843" s="1046">
        <v>0</v>
      </c>
      <c r="J1843" s="1047"/>
      <c r="K1843" s="383">
        <v>1000</v>
      </c>
      <c r="L1843" s="383">
        <v>4000</v>
      </c>
    </row>
    <row r="1844" spans="2:12">
      <c r="B1844" s="1050"/>
      <c r="C1844" s="1050"/>
      <c r="D1844" s="382" t="s">
        <v>2777</v>
      </c>
      <c r="E1844" s="382" t="s">
        <v>2198</v>
      </c>
      <c r="F1844" s="382" t="s">
        <v>2342</v>
      </c>
      <c r="G1844" s="382" t="s">
        <v>2351</v>
      </c>
      <c r="H1844" s="383">
        <v>0</v>
      </c>
      <c r="I1844" s="1046">
        <v>0</v>
      </c>
      <c r="J1844" s="1047"/>
      <c r="K1844" s="383">
        <v>2000</v>
      </c>
      <c r="L1844" s="383">
        <v>2000</v>
      </c>
    </row>
    <row r="1845" spans="2:12">
      <c r="B1845" s="1050"/>
      <c r="C1845" s="1050"/>
      <c r="D1845" s="382" t="s">
        <v>2777</v>
      </c>
      <c r="E1845" s="382" t="s">
        <v>2198</v>
      </c>
      <c r="F1845" s="382" t="s">
        <v>2342</v>
      </c>
      <c r="G1845" s="382" t="s">
        <v>2353</v>
      </c>
      <c r="H1845" s="383">
        <v>1000</v>
      </c>
      <c r="I1845" s="1046">
        <v>0</v>
      </c>
      <c r="J1845" s="1047"/>
      <c r="K1845" s="383">
        <v>1000</v>
      </c>
      <c r="L1845" s="383">
        <v>2000</v>
      </c>
    </row>
    <row r="1846" spans="2:12">
      <c r="B1846" s="1050"/>
      <c r="C1846" s="1050"/>
      <c r="D1846" s="382" t="s">
        <v>2777</v>
      </c>
      <c r="E1846" s="382" t="s">
        <v>2198</v>
      </c>
      <c r="F1846" s="382" t="s">
        <v>2342</v>
      </c>
      <c r="G1846" s="382" t="s">
        <v>2355</v>
      </c>
      <c r="H1846" s="383">
        <v>0</v>
      </c>
      <c r="I1846" s="1046">
        <v>0</v>
      </c>
      <c r="J1846" s="1047"/>
      <c r="K1846" s="383">
        <v>1000</v>
      </c>
      <c r="L1846" s="383">
        <v>1000</v>
      </c>
    </row>
    <row r="1847" spans="2:12">
      <c r="B1847" s="1050"/>
      <c r="C1847" s="1050"/>
      <c r="D1847" s="382" t="s">
        <v>2778</v>
      </c>
      <c r="E1847" s="382" t="s">
        <v>2199</v>
      </c>
      <c r="F1847" s="382" t="s">
        <v>2342</v>
      </c>
      <c r="G1847" s="382" t="s">
        <v>2343</v>
      </c>
      <c r="H1847" s="383">
        <v>0</v>
      </c>
      <c r="I1847" s="1046">
        <v>0</v>
      </c>
      <c r="J1847" s="1047"/>
      <c r="K1847" s="383">
        <v>200</v>
      </c>
      <c r="L1847" s="383">
        <v>200</v>
      </c>
    </row>
    <row r="1848" spans="2:12">
      <c r="B1848" s="1050"/>
      <c r="C1848" s="1050"/>
      <c r="D1848" s="382" t="s">
        <v>2778</v>
      </c>
      <c r="E1848" s="382" t="s">
        <v>2199</v>
      </c>
      <c r="F1848" s="382" t="s">
        <v>2342</v>
      </c>
      <c r="G1848" s="382" t="s">
        <v>2345</v>
      </c>
      <c r="H1848" s="383">
        <v>200</v>
      </c>
      <c r="I1848" s="1046">
        <v>0</v>
      </c>
      <c r="J1848" s="1047"/>
      <c r="K1848" s="383">
        <v>0</v>
      </c>
      <c r="L1848" s="383">
        <v>200</v>
      </c>
    </row>
    <row r="1849" spans="2:12">
      <c r="B1849" s="1050"/>
      <c r="C1849" s="1050"/>
      <c r="D1849" s="382" t="s">
        <v>2778</v>
      </c>
      <c r="E1849" s="382" t="s">
        <v>2199</v>
      </c>
      <c r="F1849" s="382" t="s">
        <v>2342</v>
      </c>
      <c r="G1849" s="382" t="s">
        <v>2346</v>
      </c>
      <c r="H1849" s="383">
        <v>400</v>
      </c>
      <c r="I1849" s="1046">
        <v>0</v>
      </c>
      <c r="J1849" s="1047"/>
      <c r="K1849" s="383">
        <v>0</v>
      </c>
      <c r="L1849" s="383">
        <v>400</v>
      </c>
    </row>
    <row r="1850" spans="2:12">
      <c r="B1850" s="1050"/>
      <c r="C1850" s="1050"/>
      <c r="D1850" s="382" t="s">
        <v>2778</v>
      </c>
      <c r="E1850" s="382" t="s">
        <v>2199</v>
      </c>
      <c r="F1850" s="382" t="s">
        <v>2342</v>
      </c>
      <c r="G1850" s="382" t="s">
        <v>2347</v>
      </c>
      <c r="H1850" s="383">
        <v>1400</v>
      </c>
      <c r="I1850" s="1046">
        <v>0</v>
      </c>
      <c r="J1850" s="1047"/>
      <c r="K1850" s="383">
        <v>0</v>
      </c>
      <c r="L1850" s="383">
        <v>1400</v>
      </c>
    </row>
    <row r="1851" spans="2:12">
      <c r="B1851" s="1050"/>
      <c r="C1851" s="1050"/>
      <c r="D1851" s="382" t="s">
        <v>2778</v>
      </c>
      <c r="E1851" s="382" t="s">
        <v>2199</v>
      </c>
      <c r="F1851" s="382" t="s">
        <v>2342</v>
      </c>
      <c r="G1851" s="382" t="s">
        <v>2348</v>
      </c>
      <c r="H1851" s="383">
        <v>400</v>
      </c>
      <c r="I1851" s="1046">
        <v>0</v>
      </c>
      <c r="J1851" s="1047"/>
      <c r="K1851" s="383">
        <v>400</v>
      </c>
      <c r="L1851" s="383">
        <v>800</v>
      </c>
    </row>
    <row r="1852" spans="2:12">
      <c r="B1852" s="1050"/>
      <c r="C1852" s="1050"/>
      <c r="D1852" s="382" t="s">
        <v>2778</v>
      </c>
      <c r="E1852" s="382" t="s">
        <v>2199</v>
      </c>
      <c r="F1852" s="382" t="s">
        <v>2342</v>
      </c>
      <c r="G1852" s="382" t="s">
        <v>2349</v>
      </c>
      <c r="H1852" s="383">
        <v>200</v>
      </c>
      <c r="I1852" s="1046">
        <v>400</v>
      </c>
      <c r="J1852" s="1047"/>
      <c r="K1852" s="383">
        <v>400</v>
      </c>
      <c r="L1852" s="383">
        <v>200</v>
      </c>
    </row>
    <row r="1853" spans="2:12">
      <c r="B1853" s="1050"/>
      <c r="C1853" s="1050"/>
      <c r="D1853" s="382" t="s">
        <v>2778</v>
      </c>
      <c r="E1853" s="382" t="s">
        <v>2199</v>
      </c>
      <c r="F1853" s="382" t="s">
        <v>2342</v>
      </c>
      <c r="G1853" s="382" t="s">
        <v>2350</v>
      </c>
      <c r="H1853" s="383">
        <v>600</v>
      </c>
      <c r="I1853" s="1046">
        <v>0</v>
      </c>
      <c r="J1853" s="1047"/>
      <c r="K1853" s="383">
        <v>200</v>
      </c>
      <c r="L1853" s="383">
        <v>800</v>
      </c>
    </row>
    <row r="1854" spans="2:12">
      <c r="B1854" s="1050"/>
      <c r="C1854" s="1050"/>
      <c r="D1854" s="382" t="s">
        <v>2778</v>
      </c>
      <c r="E1854" s="382" t="s">
        <v>2199</v>
      </c>
      <c r="F1854" s="382" t="s">
        <v>2342</v>
      </c>
      <c r="G1854" s="382" t="s">
        <v>2351</v>
      </c>
      <c r="H1854" s="383">
        <v>0</v>
      </c>
      <c r="I1854" s="1046">
        <v>0</v>
      </c>
      <c r="J1854" s="1047"/>
      <c r="K1854" s="383">
        <v>400</v>
      </c>
      <c r="L1854" s="383">
        <v>400</v>
      </c>
    </row>
    <row r="1855" spans="2:12">
      <c r="B1855" s="1050"/>
      <c r="C1855" s="1050"/>
      <c r="D1855" s="382" t="s">
        <v>2778</v>
      </c>
      <c r="E1855" s="382" t="s">
        <v>2199</v>
      </c>
      <c r="F1855" s="382" t="s">
        <v>2342</v>
      </c>
      <c r="G1855" s="382" t="s">
        <v>2353</v>
      </c>
      <c r="H1855" s="383">
        <v>200</v>
      </c>
      <c r="I1855" s="1046">
        <v>0</v>
      </c>
      <c r="J1855" s="1047"/>
      <c r="K1855" s="383">
        <v>200</v>
      </c>
      <c r="L1855" s="383">
        <v>400</v>
      </c>
    </row>
    <row r="1856" spans="2:12">
      <c r="B1856" s="1050"/>
      <c r="C1856" s="1050"/>
      <c r="D1856" s="382" t="s">
        <v>2778</v>
      </c>
      <c r="E1856" s="382" t="s">
        <v>2199</v>
      </c>
      <c r="F1856" s="382" t="s">
        <v>2342</v>
      </c>
      <c r="G1856" s="382" t="s">
        <v>2355</v>
      </c>
      <c r="H1856" s="383">
        <v>0</v>
      </c>
      <c r="I1856" s="1046">
        <v>0</v>
      </c>
      <c r="J1856" s="1047"/>
      <c r="K1856" s="383">
        <v>200</v>
      </c>
      <c r="L1856" s="383">
        <v>200</v>
      </c>
    </row>
    <row r="1857" spans="2:12">
      <c r="B1857" s="1050"/>
      <c r="C1857" s="1050"/>
      <c r="D1857" s="382" t="s">
        <v>2779</v>
      </c>
      <c r="E1857" s="382" t="s">
        <v>2200</v>
      </c>
      <c r="F1857" s="382" t="s">
        <v>2342</v>
      </c>
      <c r="G1857" s="382" t="s">
        <v>2343</v>
      </c>
      <c r="H1857" s="383">
        <v>0</v>
      </c>
      <c r="I1857" s="1046">
        <v>0</v>
      </c>
      <c r="J1857" s="1047"/>
      <c r="K1857" s="383">
        <v>2400</v>
      </c>
      <c r="L1857" s="383">
        <v>2400</v>
      </c>
    </row>
    <row r="1858" spans="2:12">
      <c r="B1858" s="1050"/>
      <c r="C1858" s="1050"/>
      <c r="D1858" s="382" t="s">
        <v>2779</v>
      </c>
      <c r="E1858" s="382" t="s">
        <v>2200</v>
      </c>
      <c r="F1858" s="382" t="s">
        <v>2342</v>
      </c>
      <c r="G1858" s="382" t="s">
        <v>2345</v>
      </c>
      <c r="H1858" s="383">
        <v>2800</v>
      </c>
      <c r="I1858" s="1046">
        <v>0</v>
      </c>
      <c r="J1858" s="1047"/>
      <c r="K1858" s="383">
        <v>0</v>
      </c>
      <c r="L1858" s="383">
        <v>2800</v>
      </c>
    </row>
    <row r="1859" spans="2:12">
      <c r="B1859" s="1050"/>
      <c r="C1859" s="1050"/>
      <c r="D1859" s="382" t="s">
        <v>2779</v>
      </c>
      <c r="E1859" s="382" t="s">
        <v>2200</v>
      </c>
      <c r="F1859" s="382" t="s">
        <v>2342</v>
      </c>
      <c r="G1859" s="382" t="s">
        <v>2346</v>
      </c>
      <c r="H1859" s="383">
        <v>4000</v>
      </c>
      <c r="I1859" s="1046">
        <v>0</v>
      </c>
      <c r="J1859" s="1047"/>
      <c r="K1859" s="383">
        <v>0</v>
      </c>
      <c r="L1859" s="383">
        <v>4000</v>
      </c>
    </row>
    <row r="1860" spans="2:12">
      <c r="B1860" s="1050"/>
      <c r="C1860" s="1050"/>
      <c r="D1860" s="382" t="s">
        <v>2779</v>
      </c>
      <c r="E1860" s="382" t="s">
        <v>2200</v>
      </c>
      <c r="F1860" s="382" t="s">
        <v>2342</v>
      </c>
      <c r="G1860" s="382" t="s">
        <v>2347</v>
      </c>
      <c r="H1860" s="383">
        <v>18000</v>
      </c>
      <c r="I1860" s="1046">
        <v>0</v>
      </c>
      <c r="J1860" s="1047"/>
      <c r="K1860" s="383">
        <v>0</v>
      </c>
      <c r="L1860" s="383">
        <v>18000</v>
      </c>
    </row>
    <row r="1861" spans="2:12">
      <c r="B1861" s="1050"/>
      <c r="C1861" s="1050"/>
      <c r="D1861" s="382" t="s">
        <v>2779</v>
      </c>
      <c r="E1861" s="382" t="s">
        <v>2200</v>
      </c>
      <c r="F1861" s="382" t="s">
        <v>2342</v>
      </c>
      <c r="G1861" s="382" t="s">
        <v>2348</v>
      </c>
      <c r="H1861" s="383">
        <v>8100</v>
      </c>
      <c r="I1861" s="1046">
        <v>0</v>
      </c>
      <c r="J1861" s="1047"/>
      <c r="K1861" s="383">
        <v>8600</v>
      </c>
      <c r="L1861" s="383">
        <v>16700</v>
      </c>
    </row>
    <row r="1862" spans="2:12">
      <c r="B1862" s="1050"/>
      <c r="C1862" s="1050"/>
      <c r="D1862" s="382" t="s">
        <v>2779</v>
      </c>
      <c r="E1862" s="382" t="s">
        <v>2200</v>
      </c>
      <c r="F1862" s="382" t="s">
        <v>2342</v>
      </c>
      <c r="G1862" s="382" t="s">
        <v>2349</v>
      </c>
      <c r="H1862" s="383">
        <v>2000</v>
      </c>
      <c r="I1862" s="1046">
        <v>4000</v>
      </c>
      <c r="J1862" s="1047"/>
      <c r="K1862" s="383">
        <v>4000</v>
      </c>
      <c r="L1862" s="383">
        <v>2000</v>
      </c>
    </row>
    <row r="1863" spans="2:12">
      <c r="B1863" s="1050"/>
      <c r="C1863" s="1050"/>
      <c r="D1863" s="382" t="s">
        <v>2779</v>
      </c>
      <c r="E1863" s="382" t="s">
        <v>2200</v>
      </c>
      <c r="F1863" s="382" t="s">
        <v>2342</v>
      </c>
      <c r="G1863" s="382" t="s">
        <v>2350</v>
      </c>
      <c r="H1863" s="383">
        <v>8400</v>
      </c>
      <c r="I1863" s="1046">
        <v>0</v>
      </c>
      <c r="J1863" s="1047"/>
      <c r="K1863" s="383">
        <v>10000</v>
      </c>
      <c r="L1863" s="383">
        <v>18400</v>
      </c>
    </row>
    <row r="1864" spans="2:12">
      <c r="B1864" s="1050"/>
      <c r="C1864" s="1050"/>
      <c r="D1864" s="382" t="s">
        <v>2779</v>
      </c>
      <c r="E1864" s="382" t="s">
        <v>2200</v>
      </c>
      <c r="F1864" s="382" t="s">
        <v>2342</v>
      </c>
      <c r="G1864" s="382" t="s">
        <v>2351</v>
      </c>
      <c r="H1864" s="383">
        <v>0</v>
      </c>
      <c r="I1864" s="1046">
        <v>0</v>
      </c>
      <c r="J1864" s="1047"/>
      <c r="K1864" s="383">
        <v>5000</v>
      </c>
      <c r="L1864" s="383">
        <v>5000</v>
      </c>
    </row>
    <row r="1865" spans="2:12">
      <c r="B1865" s="1050"/>
      <c r="C1865" s="1050"/>
      <c r="D1865" s="382" t="s">
        <v>2779</v>
      </c>
      <c r="E1865" s="382" t="s">
        <v>2200</v>
      </c>
      <c r="F1865" s="382" t="s">
        <v>2342</v>
      </c>
      <c r="G1865" s="382" t="s">
        <v>2353</v>
      </c>
      <c r="H1865" s="383">
        <v>3600</v>
      </c>
      <c r="I1865" s="1046">
        <v>0</v>
      </c>
      <c r="J1865" s="1047"/>
      <c r="K1865" s="383">
        <v>2400</v>
      </c>
      <c r="L1865" s="383">
        <v>6000</v>
      </c>
    </row>
    <row r="1866" spans="2:12">
      <c r="B1866" s="1050"/>
      <c r="C1866" s="1050"/>
      <c r="D1866" s="382" t="s">
        <v>2779</v>
      </c>
      <c r="E1866" s="382" t="s">
        <v>2200</v>
      </c>
      <c r="F1866" s="382" t="s">
        <v>2342</v>
      </c>
      <c r="G1866" s="382" t="s">
        <v>2355</v>
      </c>
      <c r="H1866" s="383">
        <v>0</v>
      </c>
      <c r="I1866" s="1046">
        <v>0</v>
      </c>
      <c r="J1866" s="1047"/>
      <c r="K1866" s="383">
        <v>2000</v>
      </c>
      <c r="L1866" s="383">
        <v>2000</v>
      </c>
    </row>
    <row r="1867" spans="2:12">
      <c r="B1867" s="1050"/>
      <c r="C1867" s="1050"/>
      <c r="D1867" s="382" t="s">
        <v>2780</v>
      </c>
      <c r="E1867" s="382" t="s">
        <v>2201</v>
      </c>
      <c r="F1867" s="382" t="s">
        <v>2342</v>
      </c>
      <c r="G1867" s="382" t="s">
        <v>2343</v>
      </c>
      <c r="H1867" s="383">
        <v>900</v>
      </c>
      <c r="I1867" s="1046">
        <v>0</v>
      </c>
      <c r="J1867" s="1047"/>
      <c r="K1867" s="383">
        <v>1975</v>
      </c>
      <c r="L1867" s="383">
        <v>2875</v>
      </c>
    </row>
    <row r="1868" spans="2:12">
      <c r="B1868" s="1050"/>
      <c r="C1868" s="1050"/>
      <c r="D1868" s="382" t="s">
        <v>2780</v>
      </c>
      <c r="E1868" s="382" t="s">
        <v>2201</v>
      </c>
      <c r="F1868" s="382" t="s">
        <v>2342</v>
      </c>
      <c r="G1868" s="382" t="s">
        <v>2344</v>
      </c>
      <c r="H1868" s="383">
        <v>800</v>
      </c>
      <c r="I1868" s="1046">
        <v>0</v>
      </c>
      <c r="J1868" s="1047"/>
      <c r="K1868" s="383">
        <v>2375</v>
      </c>
      <c r="L1868" s="383">
        <v>3175</v>
      </c>
    </row>
    <row r="1869" spans="2:12">
      <c r="B1869" s="1050"/>
      <c r="C1869" s="1050"/>
      <c r="D1869" s="382" t="s">
        <v>2780</v>
      </c>
      <c r="E1869" s="382" t="s">
        <v>2201</v>
      </c>
      <c r="F1869" s="382" t="s">
        <v>2342</v>
      </c>
      <c r="G1869" s="382" t="s">
        <v>2345</v>
      </c>
      <c r="H1869" s="383">
        <v>800</v>
      </c>
      <c r="I1869" s="1046">
        <v>0</v>
      </c>
      <c r="J1869" s="1047"/>
      <c r="K1869" s="383">
        <v>2050</v>
      </c>
      <c r="L1869" s="383">
        <v>2850</v>
      </c>
    </row>
    <row r="1870" spans="2:12">
      <c r="B1870" s="1050"/>
      <c r="C1870" s="1050"/>
      <c r="D1870" s="382" t="s">
        <v>2780</v>
      </c>
      <c r="E1870" s="382" t="s">
        <v>2201</v>
      </c>
      <c r="F1870" s="382" t="s">
        <v>2342</v>
      </c>
      <c r="G1870" s="382" t="s">
        <v>2346</v>
      </c>
      <c r="H1870" s="383">
        <v>250</v>
      </c>
      <c r="I1870" s="1046">
        <v>0</v>
      </c>
      <c r="J1870" s="1047"/>
      <c r="K1870" s="383">
        <v>775</v>
      </c>
      <c r="L1870" s="383">
        <v>1025</v>
      </c>
    </row>
    <row r="1871" spans="2:12">
      <c r="B1871" s="1050"/>
      <c r="C1871" s="1050"/>
      <c r="D1871" s="382" t="s">
        <v>2780</v>
      </c>
      <c r="E1871" s="382" t="s">
        <v>2201</v>
      </c>
      <c r="F1871" s="382" t="s">
        <v>2342</v>
      </c>
      <c r="G1871" s="382" t="s">
        <v>2347</v>
      </c>
      <c r="H1871" s="383">
        <v>1375</v>
      </c>
      <c r="I1871" s="1046">
        <v>200</v>
      </c>
      <c r="J1871" s="1047"/>
      <c r="K1871" s="383">
        <v>6225</v>
      </c>
      <c r="L1871" s="383">
        <v>7400</v>
      </c>
    </row>
    <row r="1872" spans="2:12">
      <c r="B1872" s="1050"/>
      <c r="C1872" s="1050"/>
      <c r="D1872" s="382" t="s">
        <v>2780</v>
      </c>
      <c r="E1872" s="382" t="s">
        <v>2201</v>
      </c>
      <c r="F1872" s="382" t="s">
        <v>2342</v>
      </c>
      <c r="G1872" s="382" t="s">
        <v>2348</v>
      </c>
      <c r="H1872" s="383">
        <v>375</v>
      </c>
      <c r="I1872" s="1046">
        <v>0</v>
      </c>
      <c r="J1872" s="1047"/>
      <c r="K1872" s="383">
        <v>1950</v>
      </c>
      <c r="L1872" s="383">
        <v>2325</v>
      </c>
    </row>
    <row r="1873" spans="2:12">
      <c r="B1873" s="1050"/>
      <c r="C1873" s="1050"/>
      <c r="D1873" s="382" t="s">
        <v>2780</v>
      </c>
      <c r="E1873" s="382" t="s">
        <v>2201</v>
      </c>
      <c r="F1873" s="382" t="s">
        <v>2342</v>
      </c>
      <c r="G1873" s="382" t="s">
        <v>2349</v>
      </c>
      <c r="H1873" s="383">
        <v>675</v>
      </c>
      <c r="I1873" s="1046">
        <v>50</v>
      </c>
      <c r="J1873" s="1047"/>
      <c r="K1873" s="383">
        <v>1675</v>
      </c>
      <c r="L1873" s="383">
        <v>2300</v>
      </c>
    </row>
    <row r="1874" spans="2:12">
      <c r="B1874" s="1050"/>
      <c r="C1874" s="1050"/>
      <c r="D1874" s="382" t="s">
        <v>2780</v>
      </c>
      <c r="E1874" s="382" t="s">
        <v>2201</v>
      </c>
      <c r="F1874" s="382" t="s">
        <v>2342</v>
      </c>
      <c r="G1874" s="382" t="s">
        <v>2350</v>
      </c>
      <c r="H1874" s="383">
        <v>925</v>
      </c>
      <c r="I1874" s="1046">
        <v>0</v>
      </c>
      <c r="J1874" s="1047"/>
      <c r="K1874" s="383">
        <v>5050</v>
      </c>
      <c r="L1874" s="383">
        <v>5975</v>
      </c>
    </row>
    <row r="1875" spans="2:12">
      <c r="B1875" s="1050"/>
      <c r="C1875" s="1050"/>
      <c r="D1875" s="382" t="s">
        <v>2780</v>
      </c>
      <c r="E1875" s="382" t="s">
        <v>2201</v>
      </c>
      <c r="F1875" s="382" t="s">
        <v>2342</v>
      </c>
      <c r="G1875" s="382" t="s">
        <v>2351</v>
      </c>
      <c r="H1875" s="383">
        <v>0</v>
      </c>
      <c r="I1875" s="1046">
        <v>0</v>
      </c>
      <c r="J1875" s="1047"/>
      <c r="K1875" s="383">
        <v>775</v>
      </c>
      <c r="L1875" s="383">
        <v>775</v>
      </c>
    </row>
    <row r="1876" spans="2:12">
      <c r="B1876" s="1050"/>
      <c r="C1876" s="1050"/>
      <c r="D1876" s="382" t="s">
        <v>2780</v>
      </c>
      <c r="E1876" s="382" t="s">
        <v>2201</v>
      </c>
      <c r="F1876" s="382" t="s">
        <v>2342</v>
      </c>
      <c r="G1876" s="382" t="s">
        <v>2352</v>
      </c>
      <c r="H1876" s="383">
        <v>375</v>
      </c>
      <c r="I1876" s="1046">
        <v>0</v>
      </c>
      <c r="J1876" s="1047"/>
      <c r="K1876" s="383">
        <v>1425</v>
      </c>
      <c r="L1876" s="383">
        <v>1800</v>
      </c>
    </row>
    <row r="1877" spans="2:12">
      <c r="B1877" s="1050"/>
      <c r="C1877" s="1050"/>
      <c r="D1877" s="382" t="s">
        <v>2780</v>
      </c>
      <c r="E1877" s="382" t="s">
        <v>2201</v>
      </c>
      <c r="F1877" s="382" t="s">
        <v>2342</v>
      </c>
      <c r="G1877" s="382" t="s">
        <v>2353</v>
      </c>
      <c r="H1877" s="383">
        <v>1025</v>
      </c>
      <c r="I1877" s="1046">
        <v>0</v>
      </c>
      <c r="J1877" s="1047"/>
      <c r="K1877" s="383">
        <v>3950</v>
      </c>
      <c r="L1877" s="383">
        <v>4975</v>
      </c>
    </row>
    <row r="1878" spans="2:12">
      <c r="B1878" s="1050"/>
      <c r="C1878" s="1050"/>
      <c r="D1878" s="382" t="s">
        <v>2780</v>
      </c>
      <c r="E1878" s="382" t="s">
        <v>2201</v>
      </c>
      <c r="F1878" s="382" t="s">
        <v>2342</v>
      </c>
      <c r="G1878" s="382" t="s">
        <v>405</v>
      </c>
      <c r="H1878" s="383">
        <v>375</v>
      </c>
      <c r="I1878" s="1046">
        <v>0</v>
      </c>
      <c r="J1878" s="1047"/>
      <c r="K1878" s="383">
        <v>1400</v>
      </c>
      <c r="L1878" s="383">
        <v>1775</v>
      </c>
    </row>
    <row r="1879" spans="2:12">
      <c r="B1879" s="1050"/>
      <c r="C1879" s="1050"/>
      <c r="D1879" s="382" t="s">
        <v>2780</v>
      </c>
      <c r="E1879" s="382" t="s">
        <v>2201</v>
      </c>
      <c r="F1879" s="382" t="s">
        <v>2342</v>
      </c>
      <c r="G1879" s="382" t="s">
        <v>2354</v>
      </c>
      <c r="H1879" s="383">
        <v>275</v>
      </c>
      <c r="I1879" s="1046">
        <v>0</v>
      </c>
      <c r="J1879" s="1047"/>
      <c r="K1879" s="383">
        <v>2025</v>
      </c>
      <c r="L1879" s="383">
        <v>2300</v>
      </c>
    </row>
    <row r="1880" spans="2:12">
      <c r="B1880" s="1050"/>
      <c r="C1880" s="1051"/>
      <c r="D1880" s="359" t="s">
        <v>12</v>
      </c>
      <c r="E1880" s="359" t="s">
        <v>111</v>
      </c>
      <c r="F1880" s="359" t="s">
        <v>111</v>
      </c>
      <c r="G1880" s="359" t="s">
        <v>111</v>
      </c>
      <c r="H1880" s="384">
        <v>15520659.59</v>
      </c>
      <c r="I1880" s="1048">
        <v>11411.7</v>
      </c>
      <c r="J1880" s="1047"/>
      <c r="K1880" s="384">
        <v>1214470.1100000001</v>
      </c>
      <c r="L1880" s="384">
        <v>16723718</v>
      </c>
    </row>
    <row r="1881" spans="2:12">
      <c r="B1881" s="1050"/>
      <c r="C1881" s="1049" t="s">
        <v>2781</v>
      </c>
      <c r="D1881" s="382" t="s">
        <v>2782</v>
      </c>
      <c r="E1881" s="382" t="s">
        <v>2202</v>
      </c>
      <c r="F1881" s="382" t="s">
        <v>2342</v>
      </c>
      <c r="G1881" s="382" t="s">
        <v>2355</v>
      </c>
      <c r="H1881" s="383">
        <v>5550885.9400000004</v>
      </c>
      <c r="I1881" s="1046">
        <v>0</v>
      </c>
      <c r="J1881" s="1047"/>
      <c r="K1881" s="383">
        <v>0</v>
      </c>
      <c r="L1881" s="383">
        <v>5550885.9400000004</v>
      </c>
    </row>
    <row r="1882" spans="2:12">
      <c r="B1882" s="1050"/>
      <c r="C1882" s="1051"/>
      <c r="D1882" s="359" t="s">
        <v>12</v>
      </c>
      <c r="E1882" s="359" t="s">
        <v>111</v>
      </c>
      <c r="F1882" s="359" t="s">
        <v>111</v>
      </c>
      <c r="G1882" s="359" t="s">
        <v>111</v>
      </c>
      <c r="H1882" s="384">
        <v>5550885.9400000004</v>
      </c>
      <c r="I1882" s="1048">
        <v>0</v>
      </c>
      <c r="J1882" s="1047"/>
      <c r="K1882" s="384">
        <v>0</v>
      </c>
      <c r="L1882" s="384">
        <v>5550885.9400000004</v>
      </c>
    </row>
    <row r="1883" spans="2:12">
      <c r="B1883" s="1050"/>
      <c r="C1883" s="1049" t="s">
        <v>2783</v>
      </c>
      <c r="D1883" s="382" t="s">
        <v>2784</v>
      </c>
      <c r="E1883" s="382" t="s">
        <v>2203</v>
      </c>
      <c r="F1883" s="382" t="s">
        <v>2342</v>
      </c>
      <c r="G1883" s="382" t="s">
        <v>2355</v>
      </c>
      <c r="H1883" s="383">
        <v>515279.11</v>
      </c>
      <c r="I1883" s="1046">
        <v>0</v>
      </c>
      <c r="J1883" s="1047"/>
      <c r="K1883" s="383">
        <v>67160.84</v>
      </c>
      <c r="L1883" s="383">
        <v>582439.94999999995</v>
      </c>
    </row>
    <row r="1884" spans="2:12">
      <c r="B1884" s="1050"/>
      <c r="C1884" s="1050"/>
      <c r="D1884" s="382" t="s">
        <v>2785</v>
      </c>
      <c r="E1884" s="382" t="s">
        <v>2204</v>
      </c>
      <c r="F1884" s="382" t="s">
        <v>2342</v>
      </c>
      <c r="G1884" s="382" t="s">
        <v>2355</v>
      </c>
      <c r="H1884" s="383">
        <v>121123.46</v>
      </c>
      <c r="I1884" s="1046">
        <v>0</v>
      </c>
      <c r="J1884" s="1047"/>
      <c r="K1884" s="383">
        <v>0</v>
      </c>
      <c r="L1884" s="383">
        <v>121123.46</v>
      </c>
    </row>
    <row r="1885" spans="2:12">
      <c r="B1885" s="1050"/>
      <c r="C1885" s="1051"/>
      <c r="D1885" s="359" t="s">
        <v>12</v>
      </c>
      <c r="E1885" s="359" t="s">
        <v>111</v>
      </c>
      <c r="F1885" s="359" t="s">
        <v>111</v>
      </c>
      <c r="G1885" s="359" t="s">
        <v>111</v>
      </c>
      <c r="H1885" s="384">
        <v>636402.56999999995</v>
      </c>
      <c r="I1885" s="1048">
        <v>0</v>
      </c>
      <c r="J1885" s="1047"/>
      <c r="K1885" s="384">
        <v>67160.84</v>
      </c>
      <c r="L1885" s="384">
        <v>703563.41</v>
      </c>
    </row>
    <row r="1886" spans="2:12">
      <c r="B1886" s="1050"/>
      <c r="C1886" s="1049" t="s">
        <v>2786</v>
      </c>
      <c r="D1886" s="382" t="s">
        <v>2787</v>
      </c>
      <c r="E1886" s="382" t="s">
        <v>2205</v>
      </c>
      <c r="F1886" s="382" t="s">
        <v>2342</v>
      </c>
      <c r="G1886" s="382" t="s">
        <v>2355</v>
      </c>
      <c r="H1886" s="383">
        <v>13979.1</v>
      </c>
      <c r="I1886" s="1046">
        <v>0</v>
      </c>
      <c r="J1886" s="1047"/>
      <c r="K1886" s="383">
        <v>762.13</v>
      </c>
      <c r="L1886" s="383">
        <v>14741.23</v>
      </c>
    </row>
    <row r="1887" spans="2:12">
      <c r="B1887" s="1050"/>
      <c r="C1887" s="1051"/>
      <c r="D1887" s="359" t="s">
        <v>12</v>
      </c>
      <c r="E1887" s="359" t="s">
        <v>111</v>
      </c>
      <c r="F1887" s="359" t="s">
        <v>111</v>
      </c>
      <c r="G1887" s="359" t="s">
        <v>111</v>
      </c>
      <c r="H1887" s="384">
        <v>13979.1</v>
      </c>
      <c r="I1887" s="1048">
        <v>0</v>
      </c>
      <c r="J1887" s="1047"/>
      <c r="K1887" s="384">
        <v>762.13</v>
      </c>
      <c r="L1887" s="384">
        <v>14741.23</v>
      </c>
    </row>
    <row r="1888" spans="2:12">
      <c r="B1888" s="1050"/>
      <c r="C1888" s="1049" t="s">
        <v>2788</v>
      </c>
      <c r="D1888" s="382" t="s">
        <v>2789</v>
      </c>
      <c r="E1888" s="382" t="s">
        <v>2206</v>
      </c>
      <c r="F1888" s="382" t="s">
        <v>2342</v>
      </c>
      <c r="G1888" s="382" t="s">
        <v>2355</v>
      </c>
      <c r="H1888" s="383">
        <v>-525.51</v>
      </c>
      <c r="I1888" s="1046">
        <v>0</v>
      </c>
      <c r="J1888" s="1047"/>
      <c r="K1888" s="383">
        <v>0</v>
      </c>
      <c r="L1888" s="383">
        <v>-525.51</v>
      </c>
    </row>
    <row r="1889" spans="2:12">
      <c r="B1889" s="1050"/>
      <c r="C1889" s="1051"/>
      <c r="D1889" s="359" t="s">
        <v>12</v>
      </c>
      <c r="E1889" s="359" t="s">
        <v>111</v>
      </c>
      <c r="F1889" s="359" t="s">
        <v>111</v>
      </c>
      <c r="G1889" s="359" t="s">
        <v>111</v>
      </c>
      <c r="H1889" s="384">
        <v>-525.51</v>
      </c>
      <c r="I1889" s="1048">
        <v>0</v>
      </c>
      <c r="J1889" s="1047"/>
      <c r="K1889" s="384">
        <v>0</v>
      </c>
      <c r="L1889" s="384">
        <v>-525.51</v>
      </c>
    </row>
    <row r="1890" spans="2:12">
      <c r="B1890" s="1050"/>
      <c r="C1890" s="1049" t="s">
        <v>2790</v>
      </c>
      <c r="D1890" s="382" t="s">
        <v>2791</v>
      </c>
      <c r="E1890" s="382" t="s">
        <v>2207</v>
      </c>
      <c r="F1890" s="382" t="s">
        <v>2342</v>
      </c>
      <c r="G1890" s="382" t="s">
        <v>2343</v>
      </c>
      <c r="H1890" s="383">
        <v>1568</v>
      </c>
      <c r="I1890" s="1046">
        <v>0</v>
      </c>
      <c r="J1890" s="1047"/>
      <c r="K1890" s="383">
        <v>1260</v>
      </c>
      <c r="L1890" s="383">
        <v>2828</v>
      </c>
    </row>
    <row r="1891" spans="2:12">
      <c r="B1891" s="1050"/>
      <c r="C1891" s="1050"/>
      <c r="D1891" s="382" t="s">
        <v>2791</v>
      </c>
      <c r="E1891" s="382" t="s">
        <v>2207</v>
      </c>
      <c r="F1891" s="382" t="s">
        <v>2342</v>
      </c>
      <c r="G1891" s="382" t="s">
        <v>2344</v>
      </c>
      <c r="H1891" s="383">
        <v>917</v>
      </c>
      <c r="I1891" s="1046">
        <v>0</v>
      </c>
      <c r="J1891" s="1047"/>
      <c r="K1891" s="383">
        <v>770</v>
      </c>
      <c r="L1891" s="383">
        <v>1687</v>
      </c>
    </row>
    <row r="1892" spans="2:12">
      <c r="B1892" s="1050"/>
      <c r="C1892" s="1050"/>
      <c r="D1892" s="382" t="s">
        <v>2791</v>
      </c>
      <c r="E1892" s="382" t="s">
        <v>2207</v>
      </c>
      <c r="F1892" s="382" t="s">
        <v>2342</v>
      </c>
      <c r="G1892" s="382" t="s">
        <v>2345</v>
      </c>
      <c r="H1892" s="383">
        <v>945</v>
      </c>
      <c r="I1892" s="1046">
        <v>0</v>
      </c>
      <c r="J1892" s="1047"/>
      <c r="K1892" s="383">
        <v>826</v>
      </c>
      <c r="L1892" s="383">
        <v>1771</v>
      </c>
    </row>
    <row r="1893" spans="2:12">
      <c r="B1893" s="1050"/>
      <c r="C1893" s="1050"/>
      <c r="D1893" s="382" t="s">
        <v>2791</v>
      </c>
      <c r="E1893" s="382" t="s">
        <v>2207</v>
      </c>
      <c r="F1893" s="382" t="s">
        <v>2342</v>
      </c>
      <c r="G1893" s="382" t="s">
        <v>2346</v>
      </c>
      <c r="H1893" s="383">
        <v>1435</v>
      </c>
      <c r="I1893" s="1046">
        <v>0</v>
      </c>
      <c r="J1893" s="1047"/>
      <c r="K1893" s="383">
        <v>665</v>
      </c>
      <c r="L1893" s="383">
        <v>2100</v>
      </c>
    </row>
    <row r="1894" spans="2:12">
      <c r="B1894" s="1050"/>
      <c r="C1894" s="1050"/>
      <c r="D1894" s="382" t="s">
        <v>2791</v>
      </c>
      <c r="E1894" s="382" t="s">
        <v>2207</v>
      </c>
      <c r="F1894" s="382" t="s">
        <v>2342</v>
      </c>
      <c r="G1894" s="382" t="s">
        <v>2347</v>
      </c>
      <c r="H1894" s="383">
        <v>1064</v>
      </c>
      <c r="I1894" s="1046">
        <v>0</v>
      </c>
      <c r="J1894" s="1047"/>
      <c r="K1894" s="383">
        <v>1134</v>
      </c>
      <c r="L1894" s="383">
        <v>2198</v>
      </c>
    </row>
    <row r="1895" spans="2:12">
      <c r="B1895" s="1050"/>
      <c r="C1895" s="1050"/>
      <c r="D1895" s="382" t="s">
        <v>2791</v>
      </c>
      <c r="E1895" s="382" t="s">
        <v>2207</v>
      </c>
      <c r="F1895" s="382" t="s">
        <v>2342</v>
      </c>
      <c r="G1895" s="382" t="s">
        <v>2348</v>
      </c>
      <c r="H1895" s="383">
        <v>1225</v>
      </c>
      <c r="I1895" s="1046">
        <v>0</v>
      </c>
      <c r="J1895" s="1047"/>
      <c r="K1895" s="383">
        <v>868</v>
      </c>
      <c r="L1895" s="383">
        <v>2093</v>
      </c>
    </row>
    <row r="1896" spans="2:12">
      <c r="B1896" s="1050"/>
      <c r="C1896" s="1050"/>
      <c r="D1896" s="382" t="s">
        <v>2791</v>
      </c>
      <c r="E1896" s="382" t="s">
        <v>2207</v>
      </c>
      <c r="F1896" s="382" t="s">
        <v>2342</v>
      </c>
      <c r="G1896" s="382" t="s">
        <v>2349</v>
      </c>
      <c r="H1896" s="383">
        <v>2156</v>
      </c>
      <c r="I1896" s="1046">
        <v>0</v>
      </c>
      <c r="J1896" s="1047"/>
      <c r="K1896" s="383">
        <v>1036</v>
      </c>
      <c r="L1896" s="383">
        <v>3192</v>
      </c>
    </row>
    <row r="1897" spans="2:12">
      <c r="B1897" s="1050"/>
      <c r="C1897" s="1050"/>
      <c r="D1897" s="382" t="s">
        <v>2791</v>
      </c>
      <c r="E1897" s="382" t="s">
        <v>2207</v>
      </c>
      <c r="F1897" s="382" t="s">
        <v>2342</v>
      </c>
      <c r="G1897" s="382" t="s">
        <v>2350</v>
      </c>
      <c r="H1897" s="383">
        <v>959</v>
      </c>
      <c r="I1897" s="1046">
        <v>0</v>
      </c>
      <c r="J1897" s="1047"/>
      <c r="K1897" s="383">
        <v>1176</v>
      </c>
      <c r="L1897" s="383">
        <v>2135</v>
      </c>
    </row>
    <row r="1898" spans="2:12">
      <c r="B1898" s="1050"/>
      <c r="C1898" s="1050"/>
      <c r="D1898" s="382" t="s">
        <v>2791</v>
      </c>
      <c r="E1898" s="382" t="s">
        <v>2207</v>
      </c>
      <c r="F1898" s="382" t="s">
        <v>2342</v>
      </c>
      <c r="G1898" s="382" t="s">
        <v>2351</v>
      </c>
      <c r="H1898" s="383">
        <v>357</v>
      </c>
      <c r="I1898" s="1046">
        <v>0</v>
      </c>
      <c r="J1898" s="1047"/>
      <c r="K1898" s="383">
        <v>196</v>
      </c>
      <c r="L1898" s="383">
        <v>553</v>
      </c>
    </row>
    <row r="1899" spans="2:12">
      <c r="B1899" s="1050"/>
      <c r="C1899" s="1050"/>
      <c r="D1899" s="382" t="s">
        <v>2791</v>
      </c>
      <c r="E1899" s="382" t="s">
        <v>2207</v>
      </c>
      <c r="F1899" s="382" t="s">
        <v>2342</v>
      </c>
      <c r="G1899" s="382" t="s">
        <v>2352</v>
      </c>
      <c r="H1899" s="383">
        <v>770</v>
      </c>
      <c r="I1899" s="1046">
        <v>0</v>
      </c>
      <c r="J1899" s="1047"/>
      <c r="K1899" s="383">
        <v>392</v>
      </c>
      <c r="L1899" s="383">
        <v>1162</v>
      </c>
    </row>
    <row r="1900" spans="2:12">
      <c r="B1900" s="1050"/>
      <c r="C1900" s="1050"/>
      <c r="D1900" s="382" t="s">
        <v>2791</v>
      </c>
      <c r="E1900" s="382" t="s">
        <v>2207</v>
      </c>
      <c r="F1900" s="382" t="s">
        <v>2342</v>
      </c>
      <c r="G1900" s="382" t="s">
        <v>2353</v>
      </c>
      <c r="H1900" s="383">
        <v>2485</v>
      </c>
      <c r="I1900" s="1046">
        <v>0</v>
      </c>
      <c r="J1900" s="1047"/>
      <c r="K1900" s="383">
        <v>1407</v>
      </c>
      <c r="L1900" s="383">
        <v>3892</v>
      </c>
    </row>
    <row r="1901" spans="2:12">
      <c r="B1901" s="1050"/>
      <c r="C1901" s="1050"/>
      <c r="D1901" s="382" t="s">
        <v>2791</v>
      </c>
      <c r="E1901" s="382" t="s">
        <v>2207</v>
      </c>
      <c r="F1901" s="382" t="s">
        <v>2342</v>
      </c>
      <c r="G1901" s="382" t="s">
        <v>405</v>
      </c>
      <c r="H1901" s="383">
        <v>553</v>
      </c>
      <c r="I1901" s="1046">
        <v>0</v>
      </c>
      <c r="J1901" s="1047"/>
      <c r="K1901" s="383">
        <v>462</v>
      </c>
      <c r="L1901" s="383">
        <v>1015</v>
      </c>
    </row>
    <row r="1902" spans="2:12">
      <c r="B1902" s="1050"/>
      <c r="C1902" s="1050"/>
      <c r="D1902" s="382" t="s">
        <v>2791</v>
      </c>
      <c r="E1902" s="382" t="s">
        <v>2207</v>
      </c>
      <c r="F1902" s="382" t="s">
        <v>2342</v>
      </c>
      <c r="G1902" s="382" t="s">
        <v>2354</v>
      </c>
      <c r="H1902" s="383">
        <v>2205</v>
      </c>
      <c r="I1902" s="1046">
        <v>0</v>
      </c>
      <c r="J1902" s="1047"/>
      <c r="K1902" s="383">
        <v>896</v>
      </c>
      <c r="L1902" s="383">
        <v>3101</v>
      </c>
    </row>
    <row r="1903" spans="2:12">
      <c r="B1903" s="1050"/>
      <c r="C1903" s="1050"/>
      <c r="D1903" s="382" t="s">
        <v>2791</v>
      </c>
      <c r="E1903" s="382" t="s">
        <v>2207</v>
      </c>
      <c r="F1903" s="382" t="s">
        <v>2342</v>
      </c>
      <c r="G1903" s="382" t="s">
        <v>2355</v>
      </c>
      <c r="H1903" s="383">
        <v>86109.62</v>
      </c>
      <c r="I1903" s="1046">
        <v>0</v>
      </c>
      <c r="J1903" s="1047"/>
      <c r="K1903" s="383">
        <v>0</v>
      </c>
      <c r="L1903" s="383">
        <v>86109.62</v>
      </c>
    </row>
    <row r="1904" spans="2:12">
      <c r="B1904" s="1050"/>
      <c r="C1904" s="1050"/>
      <c r="D1904" s="382" t="s">
        <v>2792</v>
      </c>
      <c r="E1904" s="382" t="s">
        <v>2208</v>
      </c>
      <c r="F1904" s="382" t="s">
        <v>2342</v>
      </c>
      <c r="G1904" s="382" t="s">
        <v>2343</v>
      </c>
      <c r="H1904" s="383">
        <v>13573</v>
      </c>
      <c r="I1904" s="1046">
        <v>0</v>
      </c>
      <c r="J1904" s="1047"/>
      <c r="K1904" s="383">
        <v>12775</v>
      </c>
      <c r="L1904" s="383">
        <v>26348</v>
      </c>
    </row>
    <row r="1905" spans="2:12">
      <c r="B1905" s="1050"/>
      <c r="C1905" s="1050"/>
      <c r="D1905" s="382" t="s">
        <v>2792</v>
      </c>
      <c r="E1905" s="382" t="s">
        <v>2208</v>
      </c>
      <c r="F1905" s="382" t="s">
        <v>2342</v>
      </c>
      <c r="G1905" s="382" t="s">
        <v>2344</v>
      </c>
      <c r="H1905" s="383">
        <v>10717</v>
      </c>
      <c r="I1905" s="1046">
        <v>0</v>
      </c>
      <c r="J1905" s="1047"/>
      <c r="K1905" s="383">
        <v>11473</v>
      </c>
      <c r="L1905" s="383">
        <v>22190</v>
      </c>
    </row>
    <row r="1906" spans="2:12">
      <c r="B1906" s="1050"/>
      <c r="C1906" s="1050"/>
      <c r="D1906" s="382" t="s">
        <v>2792</v>
      </c>
      <c r="E1906" s="382" t="s">
        <v>2208</v>
      </c>
      <c r="F1906" s="382" t="s">
        <v>2342</v>
      </c>
      <c r="G1906" s="382" t="s">
        <v>2345</v>
      </c>
      <c r="H1906" s="383">
        <v>8428</v>
      </c>
      <c r="I1906" s="1046">
        <v>0</v>
      </c>
      <c r="J1906" s="1047"/>
      <c r="K1906" s="383">
        <v>8204</v>
      </c>
      <c r="L1906" s="383">
        <v>16632</v>
      </c>
    </row>
    <row r="1907" spans="2:12">
      <c r="B1907" s="1050"/>
      <c r="C1907" s="1050"/>
      <c r="D1907" s="382" t="s">
        <v>2792</v>
      </c>
      <c r="E1907" s="382" t="s">
        <v>2208</v>
      </c>
      <c r="F1907" s="382" t="s">
        <v>2342</v>
      </c>
      <c r="G1907" s="382" t="s">
        <v>2346</v>
      </c>
      <c r="H1907" s="383">
        <v>3787</v>
      </c>
      <c r="I1907" s="1046">
        <v>0</v>
      </c>
      <c r="J1907" s="1047"/>
      <c r="K1907" s="383">
        <v>3444</v>
      </c>
      <c r="L1907" s="383">
        <v>7231</v>
      </c>
    </row>
    <row r="1908" spans="2:12">
      <c r="B1908" s="1050"/>
      <c r="C1908" s="1050"/>
      <c r="D1908" s="382" t="s">
        <v>2792</v>
      </c>
      <c r="E1908" s="382" t="s">
        <v>2208</v>
      </c>
      <c r="F1908" s="382" t="s">
        <v>2342</v>
      </c>
      <c r="G1908" s="382" t="s">
        <v>2347</v>
      </c>
      <c r="H1908" s="383">
        <v>29820</v>
      </c>
      <c r="I1908" s="1046">
        <v>0</v>
      </c>
      <c r="J1908" s="1047"/>
      <c r="K1908" s="383">
        <v>27125</v>
      </c>
      <c r="L1908" s="383">
        <v>56945</v>
      </c>
    </row>
    <row r="1909" spans="2:12">
      <c r="B1909" s="1050"/>
      <c r="C1909" s="1050"/>
      <c r="D1909" s="382" t="s">
        <v>2792</v>
      </c>
      <c r="E1909" s="382" t="s">
        <v>2208</v>
      </c>
      <c r="F1909" s="382" t="s">
        <v>2342</v>
      </c>
      <c r="G1909" s="382" t="s">
        <v>2348</v>
      </c>
      <c r="H1909" s="383">
        <v>22918</v>
      </c>
      <c r="I1909" s="1046">
        <v>0</v>
      </c>
      <c r="J1909" s="1047"/>
      <c r="K1909" s="383">
        <v>17934</v>
      </c>
      <c r="L1909" s="383">
        <v>40852</v>
      </c>
    </row>
    <row r="1910" spans="2:12">
      <c r="B1910" s="1050"/>
      <c r="C1910" s="1050"/>
      <c r="D1910" s="382" t="s">
        <v>2792</v>
      </c>
      <c r="E1910" s="382" t="s">
        <v>2208</v>
      </c>
      <c r="F1910" s="382" t="s">
        <v>2342</v>
      </c>
      <c r="G1910" s="382" t="s">
        <v>2349</v>
      </c>
      <c r="H1910" s="383">
        <v>17815</v>
      </c>
      <c r="I1910" s="1046">
        <v>0</v>
      </c>
      <c r="J1910" s="1047"/>
      <c r="K1910" s="383">
        <v>16681</v>
      </c>
      <c r="L1910" s="383">
        <v>34496</v>
      </c>
    </row>
    <row r="1911" spans="2:12">
      <c r="B1911" s="1050"/>
      <c r="C1911" s="1050"/>
      <c r="D1911" s="382" t="s">
        <v>2792</v>
      </c>
      <c r="E1911" s="382" t="s">
        <v>2208</v>
      </c>
      <c r="F1911" s="382" t="s">
        <v>2342</v>
      </c>
      <c r="G1911" s="382" t="s">
        <v>2350</v>
      </c>
      <c r="H1911" s="383">
        <v>23429</v>
      </c>
      <c r="I1911" s="1046">
        <v>0</v>
      </c>
      <c r="J1911" s="1047"/>
      <c r="K1911" s="383">
        <v>22610</v>
      </c>
      <c r="L1911" s="383">
        <v>46039</v>
      </c>
    </row>
    <row r="1912" spans="2:12">
      <c r="B1912" s="1050"/>
      <c r="C1912" s="1050"/>
      <c r="D1912" s="382" t="s">
        <v>2792</v>
      </c>
      <c r="E1912" s="382" t="s">
        <v>2208</v>
      </c>
      <c r="F1912" s="382" t="s">
        <v>2342</v>
      </c>
      <c r="G1912" s="382" t="s">
        <v>2351</v>
      </c>
      <c r="H1912" s="383">
        <v>12691</v>
      </c>
      <c r="I1912" s="1046">
        <v>0</v>
      </c>
      <c r="J1912" s="1047"/>
      <c r="K1912" s="383">
        <v>10367</v>
      </c>
      <c r="L1912" s="383">
        <v>23058</v>
      </c>
    </row>
    <row r="1913" spans="2:12">
      <c r="B1913" s="1050"/>
      <c r="C1913" s="1050"/>
      <c r="D1913" s="382" t="s">
        <v>2792</v>
      </c>
      <c r="E1913" s="382" t="s">
        <v>2208</v>
      </c>
      <c r="F1913" s="382" t="s">
        <v>2342</v>
      </c>
      <c r="G1913" s="382" t="s">
        <v>2352</v>
      </c>
      <c r="H1913" s="383">
        <v>10654</v>
      </c>
      <c r="I1913" s="1046">
        <v>0</v>
      </c>
      <c r="J1913" s="1047"/>
      <c r="K1913" s="383">
        <v>14252</v>
      </c>
      <c r="L1913" s="383">
        <v>24906</v>
      </c>
    </row>
    <row r="1914" spans="2:12">
      <c r="B1914" s="1050"/>
      <c r="C1914" s="1050"/>
      <c r="D1914" s="382" t="s">
        <v>2792</v>
      </c>
      <c r="E1914" s="382" t="s">
        <v>2208</v>
      </c>
      <c r="F1914" s="382" t="s">
        <v>2342</v>
      </c>
      <c r="G1914" s="382" t="s">
        <v>2353</v>
      </c>
      <c r="H1914" s="383">
        <v>21910</v>
      </c>
      <c r="I1914" s="1046">
        <v>0</v>
      </c>
      <c r="J1914" s="1047"/>
      <c r="K1914" s="383">
        <v>17759</v>
      </c>
      <c r="L1914" s="383">
        <v>39669</v>
      </c>
    </row>
    <row r="1915" spans="2:12">
      <c r="B1915" s="1050"/>
      <c r="C1915" s="1050"/>
      <c r="D1915" s="382" t="s">
        <v>2792</v>
      </c>
      <c r="E1915" s="382" t="s">
        <v>2208</v>
      </c>
      <c r="F1915" s="382" t="s">
        <v>2342</v>
      </c>
      <c r="G1915" s="382" t="s">
        <v>405</v>
      </c>
      <c r="H1915" s="383">
        <v>10465</v>
      </c>
      <c r="I1915" s="1046">
        <v>0</v>
      </c>
      <c r="J1915" s="1047"/>
      <c r="K1915" s="383">
        <v>10346</v>
      </c>
      <c r="L1915" s="383">
        <v>20811</v>
      </c>
    </row>
    <row r="1916" spans="2:12">
      <c r="B1916" s="1050"/>
      <c r="C1916" s="1050"/>
      <c r="D1916" s="382" t="s">
        <v>2792</v>
      </c>
      <c r="E1916" s="382" t="s">
        <v>2208</v>
      </c>
      <c r="F1916" s="382" t="s">
        <v>2342</v>
      </c>
      <c r="G1916" s="382" t="s">
        <v>2354</v>
      </c>
      <c r="H1916" s="383">
        <v>1330</v>
      </c>
      <c r="I1916" s="1046">
        <v>0</v>
      </c>
      <c r="J1916" s="1047"/>
      <c r="K1916" s="383">
        <v>2891</v>
      </c>
      <c r="L1916" s="383">
        <v>4221</v>
      </c>
    </row>
    <row r="1917" spans="2:12">
      <c r="B1917" s="1050"/>
      <c r="C1917" s="1050"/>
      <c r="D1917" s="382" t="s">
        <v>2792</v>
      </c>
      <c r="E1917" s="382" t="s">
        <v>2208</v>
      </c>
      <c r="F1917" s="382" t="s">
        <v>2342</v>
      </c>
      <c r="G1917" s="382" t="s">
        <v>2355</v>
      </c>
      <c r="H1917" s="383">
        <v>2232981.5099999998</v>
      </c>
      <c r="I1917" s="1046">
        <v>6020.03</v>
      </c>
      <c r="J1917" s="1047"/>
      <c r="K1917" s="383">
        <v>0</v>
      </c>
      <c r="L1917" s="383">
        <v>2226961.48</v>
      </c>
    </row>
    <row r="1918" spans="2:12">
      <c r="B1918" s="1050"/>
      <c r="C1918" s="1050"/>
      <c r="D1918" s="382" t="s">
        <v>2793</v>
      </c>
      <c r="E1918" s="382" t="s">
        <v>2209</v>
      </c>
      <c r="F1918" s="382" t="s">
        <v>2342</v>
      </c>
      <c r="G1918" s="382" t="s">
        <v>2343</v>
      </c>
      <c r="H1918" s="383">
        <v>113205</v>
      </c>
      <c r="I1918" s="1046">
        <v>0</v>
      </c>
      <c r="J1918" s="1047"/>
      <c r="K1918" s="383">
        <v>100704</v>
      </c>
      <c r="L1918" s="383">
        <v>213909</v>
      </c>
    </row>
    <row r="1919" spans="2:12">
      <c r="B1919" s="1050"/>
      <c r="C1919" s="1050"/>
      <c r="D1919" s="382" t="s">
        <v>2793</v>
      </c>
      <c r="E1919" s="382" t="s">
        <v>2209</v>
      </c>
      <c r="F1919" s="382" t="s">
        <v>2342</v>
      </c>
      <c r="G1919" s="382" t="s">
        <v>2344</v>
      </c>
      <c r="H1919" s="383">
        <v>74460.820000000007</v>
      </c>
      <c r="I1919" s="1046">
        <v>0</v>
      </c>
      <c r="J1919" s="1047"/>
      <c r="K1919" s="383">
        <v>62463.6</v>
      </c>
      <c r="L1919" s="383">
        <v>136924.42000000001</v>
      </c>
    </row>
    <row r="1920" spans="2:12">
      <c r="B1920" s="1050"/>
      <c r="C1920" s="1050"/>
      <c r="D1920" s="382" t="s">
        <v>2793</v>
      </c>
      <c r="E1920" s="382" t="s">
        <v>2209</v>
      </c>
      <c r="F1920" s="382" t="s">
        <v>2342</v>
      </c>
      <c r="G1920" s="382" t="s">
        <v>2345</v>
      </c>
      <c r="H1920" s="383">
        <v>69520</v>
      </c>
      <c r="I1920" s="1046">
        <v>0</v>
      </c>
      <c r="J1920" s="1047"/>
      <c r="K1920" s="383">
        <v>60693</v>
      </c>
      <c r="L1920" s="383">
        <v>130213</v>
      </c>
    </row>
    <row r="1921" spans="2:12">
      <c r="B1921" s="1050"/>
      <c r="C1921" s="1050"/>
      <c r="D1921" s="382" t="s">
        <v>2793</v>
      </c>
      <c r="E1921" s="382" t="s">
        <v>2209</v>
      </c>
      <c r="F1921" s="382" t="s">
        <v>2342</v>
      </c>
      <c r="G1921" s="382" t="s">
        <v>2346</v>
      </c>
      <c r="H1921" s="383">
        <v>56332</v>
      </c>
      <c r="I1921" s="1046">
        <v>0</v>
      </c>
      <c r="J1921" s="1047"/>
      <c r="K1921" s="383">
        <v>31674</v>
      </c>
      <c r="L1921" s="383">
        <v>88006</v>
      </c>
    </row>
    <row r="1922" spans="2:12">
      <c r="B1922" s="1050"/>
      <c r="C1922" s="1050"/>
      <c r="D1922" s="382" t="s">
        <v>2793</v>
      </c>
      <c r="E1922" s="382" t="s">
        <v>2209</v>
      </c>
      <c r="F1922" s="382" t="s">
        <v>2342</v>
      </c>
      <c r="G1922" s="382" t="s">
        <v>2347</v>
      </c>
      <c r="H1922" s="383">
        <v>153810</v>
      </c>
      <c r="I1922" s="1046">
        <v>0</v>
      </c>
      <c r="J1922" s="1047"/>
      <c r="K1922" s="383">
        <v>99594</v>
      </c>
      <c r="L1922" s="383">
        <v>253404</v>
      </c>
    </row>
    <row r="1923" spans="2:12">
      <c r="B1923" s="1050"/>
      <c r="C1923" s="1050"/>
      <c r="D1923" s="382" t="s">
        <v>2793</v>
      </c>
      <c r="E1923" s="382" t="s">
        <v>2209</v>
      </c>
      <c r="F1923" s="382" t="s">
        <v>2342</v>
      </c>
      <c r="G1923" s="382" t="s">
        <v>2348</v>
      </c>
      <c r="H1923" s="383">
        <v>147351</v>
      </c>
      <c r="I1923" s="1046">
        <v>0</v>
      </c>
      <c r="J1923" s="1047"/>
      <c r="K1923" s="383">
        <v>55694</v>
      </c>
      <c r="L1923" s="383">
        <v>203045</v>
      </c>
    </row>
    <row r="1924" spans="2:12">
      <c r="B1924" s="1050"/>
      <c r="C1924" s="1050"/>
      <c r="D1924" s="382" t="s">
        <v>2793</v>
      </c>
      <c r="E1924" s="382" t="s">
        <v>2209</v>
      </c>
      <c r="F1924" s="382" t="s">
        <v>2342</v>
      </c>
      <c r="G1924" s="382" t="s">
        <v>2349</v>
      </c>
      <c r="H1924" s="383">
        <v>156254</v>
      </c>
      <c r="I1924" s="1046">
        <v>0</v>
      </c>
      <c r="J1924" s="1047"/>
      <c r="K1924" s="383">
        <v>89036</v>
      </c>
      <c r="L1924" s="383">
        <v>245290</v>
      </c>
    </row>
    <row r="1925" spans="2:12">
      <c r="B1925" s="1050"/>
      <c r="C1925" s="1050"/>
      <c r="D1925" s="382" t="s">
        <v>2793</v>
      </c>
      <c r="E1925" s="382" t="s">
        <v>2209</v>
      </c>
      <c r="F1925" s="382" t="s">
        <v>2342</v>
      </c>
      <c r="G1925" s="382" t="s">
        <v>2350</v>
      </c>
      <c r="H1925" s="383">
        <v>207690</v>
      </c>
      <c r="I1925" s="1046">
        <v>0</v>
      </c>
      <c r="J1925" s="1047"/>
      <c r="K1925" s="383">
        <v>174304</v>
      </c>
      <c r="L1925" s="383">
        <v>381994</v>
      </c>
    </row>
    <row r="1926" spans="2:12">
      <c r="B1926" s="1050"/>
      <c r="C1926" s="1050"/>
      <c r="D1926" s="382" t="s">
        <v>2793</v>
      </c>
      <c r="E1926" s="382" t="s">
        <v>2209</v>
      </c>
      <c r="F1926" s="382" t="s">
        <v>2342</v>
      </c>
      <c r="G1926" s="382" t="s">
        <v>2351</v>
      </c>
      <c r="H1926" s="383">
        <v>46338</v>
      </c>
      <c r="I1926" s="1046">
        <v>0</v>
      </c>
      <c r="J1926" s="1047"/>
      <c r="K1926" s="383">
        <v>35504</v>
      </c>
      <c r="L1926" s="383">
        <v>81842</v>
      </c>
    </row>
    <row r="1927" spans="2:12">
      <c r="B1927" s="1050"/>
      <c r="C1927" s="1050"/>
      <c r="D1927" s="382" t="s">
        <v>2793</v>
      </c>
      <c r="E1927" s="382" t="s">
        <v>2209</v>
      </c>
      <c r="F1927" s="382" t="s">
        <v>2342</v>
      </c>
      <c r="G1927" s="382" t="s">
        <v>2352</v>
      </c>
      <c r="H1927" s="383">
        <v>80796</v>
      </c>
      <c r="I1927" s="1046">
        <v>0</v>
      </c>
      <c r="J1927" s="1047"/>
      <c r="K1927" s="383">
        <v>59004</v>
      </c>
      <c r="L1927" s="383">
        <v>139800</v>
      </c>
    </row>
    <row r="1928" spans="2:12">
      <c r="B1928" s="1050"/>
      <c r="C1928" s="1050"/>
      <c r="D1928" s="382" t="s">
        <v>2793</v>
      </c>
      <c r="E1928" s="382" t="s">
        <v>2209</v>
      </c>
      <c r="F1928" s="382" t="s">
        <v>2342</v>
      </c>
      <c r="G1928" s="382" t="s">
        <v>2353</v>
      </c>
      <c r="H1928" s="383">
        <v>127485</v>
      </c>
      <c r="I1928" s="1046">
        <v>0</v>
      </c>
      <c r="J1928" s="1047"/>
      <c r="K1928" s="383">
        <v>87168</v>
      </c>
      <c r="L1928" s="383">
        <v>214653</v>
      </c>
    </row>
    <row r="1929" spans="2:12">
      <c r="B1929" s="1050"/>
      <c r="C1929" s="1050"/>
      <c r="D1929" s="382" t="s">
        <v>2793</v>
      </c>
      <c r="E1929" s="382" t="s">
        <v>2209</v>
      </c>
      <c r="F1929" s="382" t="s">
        <v>2342</v>
      </c>
      <c r="G1929" s="382" t="s">
        <v>405</v>
      </c>
      <c r="H1929" s="383">
        <v>60456</v>
      </c>
      <c r="I1929" s="1046">
        <v>0</v>
      </c>
      <c r="J1929" s="1047"/>
      <c r="K1929" s="383">
        <v>50868</v>
      </c>
      <c r="L1929" s="383">
        <v>111324</v>
      </c>
    </row>
    <row r="1930" spans="2:12">
      <c r="B1930" s="1050"/>
      <c r="C1930" s="1050"/>
      <c r="D1930" s="382" t="s">
        <v>2793</v>
      </c>
      <c r="E1930" s="382" t="s">
        <v>2209</v>
      </c>
      <c r="F1930" s="382" t="s">
        <v>2342</v>
      </c>
      <c r="G1930" s="382" t="s">
        <v>2354</v>
      </c>
      <c r="H1930" s="383">
        <v>23949</v>
      </c>
      <c r="I1930" s="1046">
        <v>0</v>
      </c>
      <c r="J1930" s="1047"/>
      <c r="K1930" s="383">
        <v>43848</v>
      </c>
      <c r="L1930" s="383">
        <v>67797</v>
      </c>
    </row>
    <row r="1931" spans="2:12">
      <c r="B1931" s="1050"/>
      <c r="C1931" s="1050"/>
      <c r="D1931" s="382" t="s">
        <v>2794</v>
      </c>
      <c r="E1931" s="382" t="s">
        <v>2210</v>
      </c>
      <c r="F1931" s="382" t="s">
        <v>2342</v>
      </c>
      <c r="G1931" s="382" t="s">
        <v>2343</v>
      </c>
      <c r="H1931" s="383">
        <v>15</v>
      </c>
      <c r="I1931" s="1046">
        <v>0</v>
      </c>
      <c r="J1931" s="1047"/>
      <c r="K1931" s="383">
        <v>0</v>
      </c>
      <c r="L1931" s="383">
        <v>15</v>
      </c>
    </row>
    <row r="1932" spans="2:12">
      <c r="B1932" s="1050"/>
      <c r="C1932" s="1050"/>
      <c r="D1932" s="382" t="s">
        <v>2794</v>
      </c>
      <c r="E1932" s="382" t="s">
        <v>2210</v>
      </c>
      <c r="F1932" s="382" t="s">
        <v>2342</v>
      </c>
      <c r="G1932" s="382" t="s">
        <v>2347</v>
      </c>
      <c r="H1932" s="383">
        <v>132</v>
      </c>
      <c r="I1932" s="1046">
        <v>0</v>
      </c>
      <c r="J1932" s="1047"/>
      <c r="K1932" s="383">
        <v>135</v>
      </c>
      <c r="L1932" s="383">
        <v>267</v>
      </c>
    </row>
    <row r="1933" spans="2:12">
      <c r="B1933" s="1050"/>
      <c r="C1933" s="1050"/>
      <c r="D1933" s="382" t="s">
        <v>2794</v>
      </c>
      <c r="E1933" s="382" t="s">
        <v>2210</v>
      </c>
      <c r="F1933" s="382" t="s">
        <v>2342</v>
      </c>
      <c r="G1933" s="382" t="s">
        <v>2348</v>
      </c>
      <c r="H1933" s="383">
        <v>3</v>
      </c>
      <c r="I1933" s="1046">
        <v>0</v>
      </c>
      <c r="J1933" s="1047"/>
      <c r="K1933" s="383">
        <v>0</v>
      </c>
      <c r="L1933" s="383">
        <v>3</v>
      </c>
    </row>
    <row r="1934" spans="2:12">
      <c r="B1934" s="1050"/>
      <c r="C1934" s="1050"/>
      <c r="D1934" s="382" t="s">
        <v>2794</v>
      </c>
      <c r="E1934" s="382" t="s">
        <v>2210</v>
      </c>
      <c r="F1934" s="382" t="s">
        <v>2342</v>
      </c>
      <c r="G1934" s="382" t="s">
        <v>2349</v>
      </c>
      <c r="H1934" s="383">
        <v>42</v>
      </c>
      <c r="I1934" s="1046">
        <v>0</v>
      </c>
      <c r="J1934" s="1047"/>
      <c r="K1934" s="383">
        <v>9</v>
      </c>
      <c r="L1934" s="383">
        <v>51</v>
      </c>
    </row>
    <row r="1935" spans="2:12">
      <c r="B1935" s="1050"/>
      <c r="C1935" s="1050"/>
      <c r="D1935" s="382" t="s">
        <v>2795</v>
      </c>
      <c r="E1935" s="382" t="s">
        <v>2796</v>
      </c>
      <c r="F1935" s="382" t="s">
        <v>2342</v>
      </c>
      <c r="G1935" s="382" t="s">
        <v>2343</v>
      </c>
      <c r="H1935" s="383">
        <v>90</v>
      </c>
      <c r="I1935" s="1046">
        <v>0</v>
      </c>
      <c r="J1935" s="1047"/>
      <c r="K1935" s="383">
        <v>180</v>
      </c>
      <c r="L1935" s="383">
        <v>270</v>
      </c>
    </row>
    <row r="1936" spans="2:12">
      <c r="B1936" s="1050"/>
      <c r="C1936" s="1050"/>
      <c r="D1936" s="382" t="s">
        <v>2795</v>
      </c>
      <c r="E1936" s="382" t="s">
        <v>2796</v>
      </c>
      <c r="F1936" s="382" t="s">
        <v>2342</v>
      </c>
      <c r="G1936" s="382" t="s">
        <v>2345</v>
      </c>
      <c r="H1936" s="383">
        <v>60</v>
      </c>
      <c r="I1936" s="1046">
        <v>0</v>
      </c>
      <c r="J1936" s="1047"/>
      <c r="K1936" s="383">
        <v>90</v>
      </c>
      <c r="L1936" s="383">
        <v>150</v>
      </c>
    </row>
    <row r="1937" spans="2:12">
      <c r="B1937" s="1050"/>
      <c r="C1937" s="1050"/>
      <c r="D1937" s="382" t="s">
        <v>2795</v>
      </c>
      <c r="E1937" s="382" t="s">
        <v>2796</v>
      </c>
      <c r="F1937" s="382" t="s">
        <v>2342</v>
      </c>
      <c r="G1937" s="382" t="s">
        <v>2346</v>
      </c>
      <c r="H1937" s="383">
        <v>240</v>
      </c>
      <c r="I1937" s="1046">
        <v>0</v>
      </c>
      <c r="J1937" s="1047"/>
      <c r="K1937" s="383">
        <v>150</v>
      </c>
      <c r="L1937" s="383">
        <v>390</v>
      </c>
    </row>
    <row r="1938" spans="2:12">
      <c r="B1938" s="1050"/>
      <c r="C1938" s="1050"/>
      <c r="D1938" s="382" t="s">
        <v>2795</v>
      </c>
      <c r="E1938" s="382" t="s">
        <v>2796</v>
      </c>
      <c r="F1938" s="382" t="s">
        <v>2342</v>
      </c>
      <c r="G1938" s="382" t="s">
        <v>2347</v>
      </c>
      <c r="H1938" s="383">
        <v>150</v>
      </c>
      <c r="I1938" s="1046">
        <v>0</v>
      </c>
      <c r="J1938" s="1047"/>
      <c r="K1938" s="383">
        <v>120</v>
      </c>
      <c r="L1938" s="383">
        <v>270</v>
      </c>
    </row>
    <row r="1939" spans="2:12">
      <c r="B1939" s="1050"/>
      <c r="C1939" s="1050"/>
      <c r="D1939" s="382" t="s">
        <v>2795</v>
      </c>
      <c r="E1939" s="382" t="s">
        <v>2796</v>
      </c>
      <c r="F1939" s="382" t="s">
        <v>2342</v>
      </c>
      <c r="G1939" s="382" t="s">
        <v>2348</v>
      </c>
      <c r="H1939" s="383">
        <v>300</v>
      </c>
      <c r="I1939" s="1046">
        <v>0</v>
      </c>
      <c r="J1939" s="1047"/>
      <c r="K1939" s="383">
        <v>300</v>
      </c>
      <c r="L1939" s="383">
        <v>600</v>
      </c>
    </row>
    <row r="1940" spans="2:12">
      <c r="B1940" s="1050"/>
      <c r="C1940" s="1050"/>
      <c r="D1940" s="382" t="s">
        <v>2795</v>
      </c>
      <c r="E1940" s="382" t="s">
        <v>2796</v>
      </c>
      <c r="F1940" s="382" t="s">
        <v>2342</v>
      </c>
      <c r="G1940" s="382" t="s">
        <v>2349</v>
      </c>
      <c r="H1940" s="383">
        <v>30</v>
      </c>
      <c r="I1940" s="1046">
        <v>0</v>
      </c>
      <c r="J1940" s="1047"/>
      <c r="K1940" s="383">
        <v>60</v>
      </c>
      <c r="L1940" s="383">
        <v>90</v>
      </c>
    </row>
    <row r="1941" spans="2:12">
      <c r="B1941" s="1050"/>
      <c r="C1941" s="1050"/>
      <c r="D1941" s="382" t="s">
        <v>2795</v>
      </c>
      <c r="E1941" s="382" t="s">
        <v>2796</v>
      </c>
      <c r="F1941" s="382" t="s">
        <v>2342</v>
      </c>
      <c r="G1941" s="382" t="s">
        <v>2350</v>
      </c>
      <c r="H1941" s="383">
        <v>90</v>
      </c>
      <c r="I1941" s="1046">
        <v>0</v>
      </c>
      <c r="J1941" s="1047"/>
      <c r="K1941" s="383">
        <v>120</v>
      </c>
      <c r="L1941" s="383">
        <v>210</v>
      </c>
    </row>
    <row r="1942" spans="2:12">
      <c r="B1942" s="1050"/>
      <c r="C1942" s="1050"/>
      <c r="D1942" s="382" t="s">
        <v>2795</v>
      </c>
      <c r="E1942" s="382" t="s">
        <v>2796</v>
      </c>
      <c r="F1942" s="382" t="s">
        <v>2342</v>
      </c>
      <c r="G1942" s="382" t="s">
        <v>2351</v>
      </c>
      <c r="H1942" s="383">
        <v>90</v>
      </c>
      <c r="I1942" s="1046">
        <v>0</v>
      </c>
      <c r="J1942" s="1047"/>
      <c r="K1942" s="383">
        <v>120</v>
      </c>
      <c r="L1942" s="383">
        <v>210</v>
      </c>
    </row>
    <row r="1943" spans="2:12">
      <c r="B1943" s="1050"/>
      <c r="C1943" s="1050"/>
      <c r="D1943" s="382" t="s">
        <v>2795</v>
      </c>
      <c r="E1943" s="382" t="s">
        <v>2796</v>
      </c>
      <c r="F1943" s="382" t="s">
        <v>2342</v>
      </c>
      <c r="G1943" s="382" t="s">
        <v>2352</v>
      </c>
      <c r="H1943" s="383">
        <v>30</v>
      </c>
      <c r="I1943" s="1046">
        <v>0</v>
      </c>
      <c r="J1943" s="1047"/>
      <c r="K1943" s="383">
        <v>30</v>
      </c>
      <c r="L1943" s="383">
        <v>60</v>
      </c>
    </row>
    <row r="1944" spans="2:12">
      <c r="B1944" s="1050"/>
      <c r="C1944" s="1050"/>
      <c r="D1944" s="382" t="s">
        <v>2795</v>
      </c>
      <c r="E1944" s="382" t="s">
        <v>2796</v>
      </c>
      <c r="F1944" s="382" t="s">
        <v>2342</v>
      </c>
      <c r="G1944" s="382" t="s">
        <v>2353</v>
      </c>
      <c r="H1944" s="383">
        <v>30</v>
      </c>
      <c r="I1944" s="1046">
        <v>0</v>
      </c>
      <c r="J1944" s="1047"/>
      <c r="K1944" s="383">
        <v>60</v>
      </c>
      <c r="L1944" s="383">
        <v>90</v>
      </c>
    </row>
    <row r="1945" spans="2:12">
      <c r="B1945" s="1050"/>
      <c r="C1945" s="1050"/>
      <c r="D1945" s="382" t="s">
        <v>2795</v>
      </c>
      <c r="E1945" s="382" t="s">
        <v>2796</v>
      </c>
      <c r="F1945" s="382" t="s">
        <v>2342</v>
      </c>
      <c r="G1945" s="382" t="s">
        <v>405</v>
      </c>
      <c r="H1945" s="383">
        <v>30</v>
      </c>
      <c r="I1945" s="1046">
        <v>0</v>
      </c>
      <c r="J1945" s="1047"/>
      <c r="K1945" s="383">
        <v>60</v>
      </c>
      <c r="L1945" s="383">
        <v>90</v>
      </c>
    </row>
    <row r="1946" spans="2:12">
      <c r="B1946" s="1050"/>
      <c r="C1946" s="1050"/>
      <c r="D1946" s="382" t="s">
        <v>2795</v>
      </c>
      <c r="E1946" s="382" t="s">
        <v>2796</v>
      </c>
      <c r="F1946" s="382" t="s">
        <v>2342</v>
      </c>
      <c r="G1946" s="382" t="s">
        <v>2355</v>
      </c>
      <c r="H1946" s="383">
        <v>6344</v>
      </c>
      <c r="I1946" s="1046">
        <v>0</v>
      </c>
      <c r="J1946" s="1047"/>
      <c r="K1946" s="383">
        <v>0</v>
      </c>
      <c r="L1946" s="383">
        <v>6344</v>
      </c>
    </row>
    <row r="1947" spans="2:12">
      <c r="B1947" s="1050"/>
      <c r="C1947" s="1051"/>
      <c r="D1947" s="359" t="s">
        <v>12</v>
      </c>
      <c r="E1947" s="359" t="s">
        <v>111</v>
      </c>
      <c r="F1947" s="359" t="s">
        <v>111</v>
      </c>
      <c r="G1947" s="359" t="s">
        <v>111</v>
      </c>
      <c r="H1947" s="384">
        <v>3848589.95</v>
      </c>
      <c r="I1947" s="1048">
        <v>6020.03</v>
      </c>
      <c r="J1947" s="1047"/>
      <c r="K1947" s="384">
        <v>1138937.6000000001</v>
      </c>
      <c r="L1947" s="384">
        <v>4981507.5199999996</v>
      </c>
    </row>
    <row r="1948" spans="2:12">
      <c r="B1948" s="1050"/>
      <c r="C1948" s="1049" t="s">
        <v>2797</v>
      </c>
      <c r="D1948" s="382" t="s">
        <v>2798</v>
      </c>
      <c r="E1948" s="382" t="s">
        <v>2211</v>
      </c>
      <c r="F1948" s="382" t="s">
        <v>2342</v>
      </c>
      <c r="G1948" s="382" t="s">
        <v>2345</v>
      </c>
      <c r="H1948" s="383">
        <v>0</v>
      </c>
      <c r="I1948" s="1046">
        <v>0</v>
      </c>
      <c r="J1948" s="1047"/>
      <c r="K1948" s="383">
        <v>0</v>
      </c>
      <c r="L1948" s="383">
        <v>0</v>
      </c>
    </row>
    <row r="1949" spans="2:12">
      <c r="B1949" s="1050"/>
      <c r="C1949" s="1050"/>
      <c r="D1949" s="382" t="s">
        <v>2798</v>
      </c>
      <c r="E1949" s="382" t="s">
        <v>2211</v>
      </c>
      <c r="F1949" s="382" t="s">
        <v>2342</v>
      </c>
      <c r="G1949" s="382" t="s">
        <v>2347</v>
      </c>
      <c r="H1949" s="383">
        <v>0</v>
      </c>
      <c r="I1949" s="1046">
        <v>29.15</v>
      </c>
      <c r="J1949" s="1047"/>
      <c r="K1949" s="383">
        <v>29.15</v>
      </c>
      <c r="L1949" s="383">
        <v>0</v>
      </c>
    </row>
    <row r="1950" spans="2:12">
      <c r="B1950" s="1050"/>
      <c r="C1950" s="1050"/>
      <c r="D1950" s="382" t="s">
        <v>2798</v>
      </c>
      <c r="E1950" s="382" t="s">
        <v>2211</v>
      </c>
      <c r="F1950" s="382" t="s">
        <v>2342</v>
      </c>
      <c r="G1950" s="382" t="s">
        <v>2348</v>
      </c>
      <c r="H1950" s="383">
        <v>0</v>
      </c>
      <c r="I1950" s="1046">
        <v>0</v>
      </c>
      <c r="J1950" s="1047"/>
      <c r="K1950" s="383">
        <v>0</v>
      </c>
      <c r="L1950" s="383">
        <v>0</v>
      </c>
    </row>
    <row r="1951" spans="2:12">
      <c r="B1951" s="1050"/>
      <c r="C1951" s="1050"/>
      <c r="D1951" s="382" t="s">
        <v>2798</v>
      </c>
      <c r="E1951" s="382" t="s">
        <v>2211</v>
      </c>
      <c r="F1951" s="382" t="s">
        <v>2342</v>
      </c>
      <c r="G1951" s="382" t="s">
        <v>405</v>
      </c>
      <c r="H1951" s="383">
        <v>0</v>
      </c>
      <c r="I1951" s="1046">
        <v>27.1</v>
      </c>
      <c r="J1951" s="1047"/>
      <c r="K1951" s="383">
        <v>27.1</v>
      </c>
      <c r="L1951" s="383">
        <v>0</v>
      </c>
    </row>
    <row r="1952" spans="2:12">
      <c r="B1952" s="1050"/>
      <c r="C1952" s="1050"/>
      <c r="D1952" s="382" t="s">
        <v>2798</v>
      </c>
      <c r="E1952" s="382" t="s">
        <v>2211</v>
      </c>
      <c r="F1952" s="382" t="s">
        <v>2342</v>
      </c>
      <c r="G1952" s="382" t="s">
        <v>2355</v>
      </c>
      <c r="H1952" s="383">
        <v>0</v>
      </c>
      <c r="I1952" s="1046">
        <v>0</v>
      </c>
      <c r="J1952" s="1047"/>
      <c r="K1952" s="383">
        <v>0</v>
      </c>
      <c r="L1952" s="383">
        <v>0</v>
      </c>
    </row>
    <row r="1953" spans="2:12">
      <c r="B1953" s="1050"/>
      <c r="C1953" s="1051"/>
      <c r="D1953" s="359" t="s">
        <v>12</v>
      </c>
      <c r="E1953" s="359" t="s">
        <v>111</v>
      </c>
      <c r="F1953" s="359" t="s">
        <v>111</v>
      </c>
      <c r="G1953" s="359" t="s">
        <v>111</v>
      </c>
      <c r="H1953" s="384">
        <v>0</v>
      </c>
      <c r="I1953" s="1048">
        <v>56.25</v>
      </c>
      <c r="J1953" s="1047"/>
      <c r="K1953" s="384">
        <v>56.25</v>
      </c>
      <c r="L1953" s="384">
        <v>0</v>
      </c>
    </row>
    <row r="1954" spans="2:12">
      <c r="B1954" s="1050"/>
      <c r="C1954" s="1049" t="s">
        <v>2799</v>
      </c>
      <c r="D1954" s="382" t="s">
        <v>2800</v>
      </c>
      <c r="E1954" s="382" t="s">
        <v>2212</v>
      </c>
      <c r="F1954" s="382" t="s">
        <v>2342</v>
      </c>
      <c r="G1954" s="382" t="s">
        <v>2355</v>
      </c>
      <c r="H1954" s="383">
        <v>48001.73</v>
      </c>
      <c r="I1954" s="1046">
        <v>0</v>
      </c>
      <c r="J1954" s="1047"/>
      <c r="K1954" s="383">
        <v>0</v>
      </c>
      <c r="L1954" s="383">
        <v>48001.73</v>
      </c>
    </row>
    <row r="1955" spans="2:12">
      <c r="B1955" s="1050"/>
      <c r="C1955" s="1051"/>
      <c r="D1955" s="359" t="s">
        <v>12</v>
      </c>
      <c r="E1955" s="359" t="s">
        <v>111</v>
      </c>
      <c r="F1955" s="359" t="s">
        <v>111</v>
      </c>
      <c r="G1955" s="359" t="s">
        <v>111</v>
      </c>
      <c r="H1955" s="384">
        <v>48001.73</v>
      </c>
      <c r="I1955" s="1048">
        <v>0</v>
      </c>
      <c r="J1955" s="1047"/>
      <c r="K1955" s="384">
        <v>0</v>
      </c>
      <c r="L1955" s="384">
        <v>48001.73</v>
      </c>
    </row>
    <row r="1956" spans="2:12">
      <c r="B1956" s="1050"/>
      <c r="C1956" s="1049" t="s">
        <v>2801</v>
      </c>
      <c r="D1956" s="382" t="s">
        <v>2802</v>
      </c>
      <c r="E1956" s="382" t="s">
        <v>2213</v>
      </c>
      <c r="F1956" s="382" t="s">
        <v>2342</v>
      </c>
      <c r="G1956" s="382" t="s">
        <v>2355</v>
      </c>
      <c r="H1956" s="383">
        <v>1803.88</v>
      </c>
      <c r="I1956" s="1046">
        <v>0</v>
      </c>
      <c r="J1956" s="1047"/>
      <c r="K1956" s="383">
        <v>0</v>
      </c>
      <c r="L1956" s="383">
        <v>1803.88</v>
      </c>
    </row>
    <row r="1957" spans="2:12">
      <c r="B1957" s="1050"/>
      <c r="C1957" s="1051"/>
      <c r="D1957" s="359" t="s">
        <v>12</v>
      </c>
      <c r="E1957" s="359" t="s">
        <v>111</v>
      </c>
      <c r="F1957" s="359" t="s">
        <v>111</v>
      </c>
      <c r="G1957" s="359" t="s">
        <v>111</v>
      </c>
      <c r="H1957" s="384">
        <v>1803.88</v>
      </c>
      <c r="I1957" s="1048">
        <v>0</v>
      </c>
      <c r="J1957" s="1047"/>
      <c r="K1957" s="384">
        <v>0</v>
      </c>
      <c r="L1957" s="384">
        <v>1803.88</v>
      </c>
    </row>
    <row r="1958" spans="2:12">
      <c r="B1958" s="1050"/>
      <c r="C1958" s="1049" t="s">
        <v>2803</v>
      </c>
      <c r="D1958" s="382" t="s">
        <v>2804</v>
      </c>
      <c r="E1958" s="382" t="s">
        <v>2214</v>
      </c>
      <c r="F1958" s="382" t="s">
        <v>2342</v>
      </c>
      <c r="G1958" s="382" t="s">
        <v>2355</v>
      </c>
      <c r="H1958" s="383">
        <v>829052.36</v>
      </c>
      <c r="I1958" s="1046">
        <v>608250</v>
      </c>
      <c r="J1958" s="1047"/>
      <c r="K1958" s="383">
        <v>0</v>
      </c>
      <c r="L1958" s="383">
        <v>220802.36</v>
      </c>
    </row>
    <row r="1959" spans="2:12">
      <c r="B1959" s="1050"/>
      <c r="C1959" s="1051"/>
      <c r="D1959" s="359" t="s">
        <v>12</v>
      </c>
      <c r="E1959" s="359" t="s">
        <v>111</v>
      </c>
      <c r="F1959" s="359" t="s">
        <v>111</v>
      </c>
      <c r="G1959" s="359" t="s">
        <v>111</v>
      </c>
      <c r="H1959" s="384">
        <v>829052.36</v>
      </c>
      <c r="I1959" s="1048">
        <v>608250</v>
      </c>
      <c r="J1959" s="1047"/>
      <c r="K1959" s="384">
        <v>0</v>
      </c>
      <c r="L1959" s="384">
        <v>220802.36</v>
      </c>
    </row>
    <row r="1960" spans="2:12">
      <c r="B1960" s="1050"/>
      <c r="C1960" s="1049" t="s">
        <v>2805</v>
      </c>
      <c r="D1960" s="382" t="s">
        <v>2806</v>
      </c>
      <c r="E1960" s="382" t="s">
        <v>2215</v>
      </c>
      <c r="F1960" s="382" t="s">
        <v>2342</v>
      </c>
      <c r="G1960" s="382" t="s">
        <v>2344</v>
      </c>
      <c r="H1960" s="383">
        <v>0</v>
      </c>
      <c r="I1960" s="1046">
        <v>0</v>
      </c>
      <c r="J1960" s="1047"/>
      <c r="K1960" s="383">
        <v>482</v>
      </c>
      <c r="L1960" s="383">
        <v>482</v>
      </c>
    </row>
    <row r="1961" spans="2:12">
      <c r="B1961" s="1050"/>
      <c r="C1961" s="1050"/>
      <c r="D1961" s="382" t="s">
        <v>2806</v>
      </c>
      <c r="E1961" s="382" t="s">
        <v>2215</v>
      </c>
      <c r="F1961" s="382" t="s">
        <v>2342</v>
      </c>
      <c r="G1961" s="382" t="s">
        <v>2349</v>
      </c>
      <c r="H1961" s="383">
        <v>241</v>
      </c>
      <c r="I1961" s="1046">
        <v>0</v>
      </c>
      <c r="J1961" s="1047"/>
      <c r="K1961" s="383">
        <v>0</v>
      </c>
      <c r="L1961" s="383">
        <v>241</v>
      </c>
    </row>
    <row r="1962" spans="2:12">
      <c r="B1962" s="1050"/>
      <c r="C1962" s="1050"/>
      <c r="D1962" s="382" t="s">
        <v>2806</v>
      </c>
      <c r="E1962" s="382" t="s">
        <v>2215</v>
      </c>
      <c r="F1962" s="382" t="s">
        <v>2342</v>
      </c>
      <c r="G1962" s="382" t="s">
        <v>2350</v>
      </c>
      <c r="H1962" s="383">
        <v>100</v>
      </c>
      <c r="I1962" s="1046">
        <v>0</v>
      </c>
      <c r="J1962" s="1047"/>
      <c r="K1962" s="383">
        <v>460.84</v>
      </c>
      <c r="L1962" s="383">
        <v>560.84</v>
      </c>
    </row>
    <row r="1963" spans="2:12">
      <c r="B1963" s="1050"/>
      <c r="C1963" s="1050"/>
      <c r="D1963" s="382" t="s">
        <v>2806</v>
      </c>
      <c r="E1963" s="382" t="s">
        <v>2215</v>
      </c>
      <c r="F1963" s="382" t="s">
        <v>2342</v>
      </c>
      <c r="G1963" s="382" t="s">
        <v>2351</v>
      </c>
      <c r="H1963" s="383">
        <v>100</v>
      </c>
      <c r="I1963" s="1046">
        <v>0</v>
      </c>
      <c r="J1963" s="1047"/>
      <c r="K1963" s="383">
        <v>116</v>
      </c>
      <c r="L1963" s="383">
        <v>216</v>
      </c>
    </row>
    <row r="1964" spans="2:12">
      <c r="B1964" s="1050"/>
      <c r="C1964" s="1050"/>
      <c r="D1964" s="382" t="s">
        <v>2806</v>
      </c>
      <c r="E1964" s="382" t="s">
        <v>2215</v>
      </c>
      <c r="F1964" s="382" t="s">
        <v>2342</v>
      </c>
      <c r="G1964" s="382" t="s">
        <v>2353</v>
      </c>
      <c r="H1964" s="383">
        <v>1178</v>
      </c>
      <c r="I1964" s="1046">
        <v>0</v>
      </c>
      <c r="J1964" s="1047"/>
      <c r="K1964" s="383">
        <v>0</v>
      </c>
      <c r="L1964" s="383">
        <v>1178</v>
      </c>
    </row>
    <row r="1965" spans="2:12">
      <c r="B1965" s="1050"/>
      <c r="C1965" s="1050"/>
      <c r="D1965" s="382" t="s">
        <v>2806</v>
      </c>
      <c r="E1965" s="382" t="s">
        <v>2215</v>
      </c>
      <c r="F1965" s="382" t="s">
        <v>2342</v>
      </c>
      <c r="G1965" s="382" t="s">
        <v>2355</v>
      </c>
      <c r="H1965" s="383">
        <v>52859.86</v>
      </c>
      <c r="I1965" s="1046">
        <v>0</v>
      </c>
      <c r="J1965" s="1047"/>
      <c r="K1965" s="383">
        <v>0</v>
      </c>
      <c r="L1965" s="383">
        <v>52859.86</v>
      </c>
    </row>
    <row r="1966" spans="2:12">
      <c r="B1966" s="1050"/>
      <c r="C1966" s="1050"/>
      <c r="D1966" s="382" t="s">
        <v>2807</v>
      </c>
      <c r="E1966" s="382" t="s">
        <v>2216</v>
      </c>
      <c r="F1966" s="382" t="s">
        <v>2342</v>
      </c>
      <c r="G1966" s="382" t="s">
        <v>2344</v>
      </c>
      <c r="H1966" s="383">
        <v>500</v>
      </c>
      <c r="I1966" s="1046">
        <v>0</v>
      </c>
      <c r="J1966" s="1047"/>
      <c r="K1966" s="383">
        <v>0</v>
      </c>
      <c r="L1966" s="383">
        <v>500</v>
      </c>
    </row>
    <row r="1967" spans="2:12">
      <c r="B1967" s="1050"/>
      <c r="C1967" s="1050"/>
      <c r="D1967" s="382" t="s">
        <v>2807</v>
      </c>
      <c r="E1967" s="382" t="s">
        <v>2216</v>
      </c>
      <c r="F1967" s="382" t="s">
        <v>2342</v>
      </c>
      <c r="G1967" s="382" t="s">
        <v>2348</v>
      </c>
      <c r="H1967" s="383">
        <v>100</v>
      </c>
      <c r="I1967" s="1046">
        <v>0</v>
      </c>
      <c r="J1967" s="1047"/>
      <c r="K1967" s="383">
        <v>500</v>
      </c>
      <c r="L1967" s="383">
        <v>600</v>
      </c>
    </row>
    <row r="1968" spans="2:12">
      <c r="B1968" s="1050"/>
      <c r="C1968" s="1050"/>
      <c r="D1968" s="382" t="s">
        <v>2807</v>
      </c>
      <c r="E1968" s="382" t="s">
        <v>2216</v>
      </c>
      <c r="F1968" s="382" t="s">
        <v>2342</v>
      </c>
      <c r="G1968" s="382" t="s">
        <v>2351</v>
      </c>
      <c r="H1968" s="383">
        <v>301.89999999999998</v>
      </c>
      <c r="I1968" s="1046">
        <v>0</v>
      </c>
      <c r="J1968" s="1047"/>
      <c r="K1968" s="383">
        <v>0</v>
      </c>
      <c r="L1968" s="383">
        <v>301.89999999999998</v>
      </c>
    </row>
    <row r="1969" spans="2:12">
      <c r="B1969" s="1050"/>
      <c r="C1969" s="1050"/>
      <c r="D1969" s="382" t="s">
        <v>2807</v>
      </c>
      <c r="E1969" s="382" t="s">
        <v>2216</v>
      </c>
      <c r="F1969" s="382" t="s">
        <v>2342</v>
      </c>
      <c r="G1969" s="382" t="s">
        <v>2355</v>
      </c>
      <c r="H1969" s="383">
        <v>26404.49</v>
      </c>
      <c r="I1969" s="1046">
        <v>100</v>
      </c>
      <c r="J1969" s="1047"/>
      <c r="K1969" s="383">
        <v>0</v>
      </c>
      <c r="L1969" s="383">
        <v>26304.49</v>
      </c>
    </row>
    <row r="1970" spans="2:12">
      <c r="B1970" s="1050"/>
      <c r="C1970" s="1050"/>
      <c r="D1970" s="382" t="s">
        <v>2808</v>
      </c>
      <c r="E1970" s="382" t="s">
        <v>2217</v>
      </c>
      <c r="F1970" s="382" t="s">
        <v>2342</v>
      </c>
      <c r="G1970" s="382" t="s">
        <v>2343</v>
      </c>
      <c r="H1970" s="383">
        <v>0</v>
      </c>
      <c r="I1970" s="1046">
        <v>0</v>
      </c>
      <c r="J1970" s="1047"/>
      <c r="K1970" s="383">
        <v>2000</v>
      </c>
      <c r="L1970" s="383">
        <v>2000</v>
      </c>
    </row>
    <row r="1971" spans="2:12">
      <c r="B1971" s="1050"/>
      <c r="C1971" s="1050"/>
      <c r="D1971" s="382" t="s">
        <v>2808</v>
      </c>
      <c r="E1971" s="382" t="s">
        <v>2217</v>
      </c>
      <c r="F1971" s="382" t="s">
        <v>2342</v>
      </c>
      <c r="G1971" s="382" t="s">
        <v>2344</v>
      </c>
      <c r="H1971" s="383">
        <v>790</v>
      </c>
      <c r="I1971" s="1046">
        <v>0</v>
      </c>
      <c r="J1971" s="1047"/>
      <c r="K1971" s="383">
        <v>700</v>
      </c>
      <c r="L1971" s="383">
        <v>1490</v>
      </c>
    </row>
    <row r="1972" spans="2:12">
      <c r="B1972" s="1050"/>
      <c r="C1972" s="1050"/>
      <c r="D1972" s="382" t="s">
        <v>2809</v>
      </c>
      <c r="E1972" s="382" t="s">
        <v>2218</v>
      </c>
      <c r="F1972" s="382" t="s">
        <v>2342</v>
      </c>
      <c r="G1972" s="382" t="s">
        <v>2343</v>
      </c>
      <c r="H1972" s="383">
        <v>5000</v>
      </c>
      <c r="I1972" s="1046">
        <v>1000</v>
      </c>
      <c r="J1972" s="1047"/>
      <c r="K1972" s="383">
        <f>200+1000.12</f>
        <v>1200.1199999999999</v>
      </c>
      <c r="L1972" s="383">
        <f>H1972+K1972-I1972</f>
        <v>5200.12</v>
      </c>
    </row>
    <row r="1973" spans="2:12">
      <c r="B1973" s="1050"/>
      <c r="C1973" s="1050"/>
      <c r="D1973" s="382" t="s">
        <v>2809</v>
      </c>
      <c r="E1973" s="382" t="s">
        <v>2218</v>
      </c>
      <c r="F1973" s="382" t="s">
        <v>2342</v>
      </c>
      <c r="G1973" s="382" t="s">
        <v>2350</v>
      </c>
      <c r="H1973" s="383">
        <v>1220</v>
      </c>
      <c r="I1973" s="1046">
        <v>0</v>
      </c>
      <c r="J1973" s="1047"/>
      <c r="K1973" s="383">
        <v>500</v>
      </c>
      <c r="L1973" s="383">
        <v>1720</v>
      </c>
    </row>
    <row r="1974" spans="2:12">
      <c r="B1974" s="1050"/>
      <c r="C1974" s="1050"/>
      <c r="D1974" s="382" t="s">
        <v>2809</v>
      </c>
      <c r="E1974" s="382" t="s">
        <v>2218</v>
      </c>
      <c r="F1974" s="382" t="s">
        <v>2342</v>
      </c>
      <c r="G1974" s="382" t="s">
        <v>2352</v>
      </c>
      <c r="H1974" s="383">
        <v>0</v>
      </c>
      <c r="I1974" s="1046">
        <v>0</v>
      </c>
      <c r="J1974" s="1047"/>
      <c r="K1974" s="383">
        <v>500</v>
      </c>
      <c r="L1974" s="383">
        <v>500</v>
      </c>
    </row>
    <row r="1975" spans="2:12">
      <c r="B1975" s="1050"/>
      <c r="C1975" s="1050"/>
      <c r="D1975" s="382" t="s">
        <v>2809</v>
      </c>
      <c r="E1975" s="382" t="s">
        <v>2218</v>
      </c>
      <c r="F1975" s="382" t="s">
        <v>2342</v>
      </c>
      <c r="G1975" s="382" t="s">
        <v>2353</v>
      </c>
      <c r="H1975" s="383">
        <v>250</v>
      </c>
      <c r="I1975" s="1046">
        <v>0</v>
      </c>
      <c r="J1975" s="1047"/>
      <c r="K1975" s="383">
        <v>0</v>
      </c>
      <c r="L1975" s="383">
        <v>250</v>
      </c>
    </row>
    <row r="1976" spans="2:12">
      <c r="B1976" s="1050"/>
      <c r="C1976" s="1050"/>
      <c r="D1976" s="382" t="s">
        <v>2809</v>
      </c>
      <c r="E1976" s="382" t="s">
        <v>2218</v>
      </c>
      <c r="F1976" s="382" t="s">
        <v>2342</v>
      </c>
      <c r="G1976" s="382" t="s">
        <v>2355</v>
      </c>
      <c r="H1976" s="383">
        <v>100165</v>
      </c>
      <c r="I1976" s="1046">
        <v>0</v>
      </c>
      <c r="J1976" s="1047"/>
      <c r="K1976" s="383">
        <v>0</v>
      </c>
      <c r="L1976" s="383">
        <v>100165</v>
      </c>
    </row>
    <row r="1977" spans="2:12">
      <c r="B1977" s="1050"/>
      <c r="C1977" s="1051"/>
      <c r="D1977" s="359" t="s">
        <v>12</v>
      </c>
      <c r="E1977" s="359" t="s">
        <v>111</v>
      </c>
      <c r="F1977" s="359" t="s">
        <v>111</v>
      </c>
      <c r="G1977" s="359" t="s">
        <v>111</v>
      </c>
      <c r="H1977" s="384">
        <f>SUM(H1960:H1976)</f>
        <v>189210.25</v>
      </c>
      <c r="I1977" s="1048">
        <f>SUM(I1960:I1976)</f>
        <v>1100</v>
      </c>
      <c r="J1977" s="1047">
        <f>SUM(J1960:J1976)</f>
        <v>0</v>
      </c>
      <c r="K1977" s="384">
        <f>SUM(K1960:K1976)</f>
        <v>6458.96</v>
      </c>
      <c r="L1977" s="384">
        <f>SUM(L1960:L1976)</f>
        <v>194569.21</v>
      </c>
    </row>
    <row r="1978" spans="2:12">
      <c r="B1978" s="1050"/>
      <c r="C1978" s="1049" t="s">
        <v>2810</v>
      </c>
      <c r="D1978" s="382" t="s">
        <v>2811</v>
      </c>
      <c r="E1978" s="382" t="s">
        <v>2219</v>
      </c>
      <c r="F1978" s="382" t="s">
        <v>2342</v>
      </c>
      <c r="G1978" s="382" t="s">
        <v>2355</v>
      </c>
      <c r="H1978" s="383">
        <v>1188927.1000000001</v>
      </c>
      <c r="I1978" s="1046">
        <v>0</v>
      </c>
      <c r="J1978" s="1047"/>
      <c r="K1978" s="383">
        <v>1563012.1</v>
      </c>
      <c r="L1978" s="383">
        <v>2751939.2</v>
      </c>
    </row>
    <row r="1979" spans="2:12">
      <c r="B1979" s="1050"/>
      <c r="C1979" s="1051"/>
      <c r="D1979" s="359" t="s">
        <v>12</v>
      </c>
      <c r="E1979" s="359" t="s">
        <v>111</v>
      </c>
      <c r="F1979" s="359" t="s">
        <v>111</v>
      </c>
      <c r="G1979" s="359" t="s">
        <v>111</v>
      </c>
      <c r="H1979" s="384">
        <v>1188927.1000000001</v>
      </c>
      <c r="I1979" s="1048">
        <v>0</v>
      </c>
      <c r="J1979" s="1047"/>
      <c r="K1979" s="384">
        <v>1563012.1</v>
      </c>
      <c r="L1979" s="384">
        <v>2751939.2</v>
      </c>
    </row>
    <row r="1980" spans="2:12">
      <c r="B1980" s="1050"/>
      <c r="C1980" s="1049" t="s">
        <v>2812</v>
      </c>
      <c r="D1980" s="382" t="s">
        <v>2813</v>
      </c>
      <c r="E1980" s="382" t="s">
        <v>2220</v>
      </c>
      <c r="F1980" s="382" t="s">
        <v>2342</v>
      </c>
      <c r="G1980" s="382" t="s">
        <v>2355</v>
      </c>
      <c r="H1980" s="383">
        <v>902604.53</v>
      </c>
      <c r="I1980" s="1046">
        <v>13211.95</v>
      </c>
      <c r="J1980" s="1047"/>
      <c r="K1980" s="383">
        <v>144839.19</v>
      </c>
      <c r="L1980" s="383">
        <v>1034231.77</v>
      </c>
    </row>
    <row r="1981" spans="2:12">
      <c r="B1981" s="1050"/>
      <c r="C1981" s="1051"/>
      <c r="D1981" s="359" t="s">
        <v>12</v>
      </c>
      <c r="E1981" s="359" t="s">
        <v>111</v>
      </c>
      <c r="F1981" s="359" t="s">
        <v>111</v>
      </c>
      <c r="G1981" s="359" t="s">
        <v>111</v>
      </c>
      <c r="H1981" s="384">
        <v>902604.53</v>
      </c>
      <c r="I1981" s="1048">
        <v>13211.95</v>
      </c>
      <c r="J1981" s="1047"/>
      <c r="K1981" s="384">
        <v>144839.19</v>
      </c>
      <c r="L1981" s="384">
        <v>1034231.77</v>
      </c>
    </row>
    <row r="1982" spans="2:12">
      <c r="B1982" s="1051"/>
      <c r="C1982" s="360" t="s">
        <v>12</v>
      </c>
      <c r="D1982" s="360" t="s">
        <v>111</v>
      </c>
      <c r="E1982" s="360" t="s">
        <v>111</v>
      </c>
      <c r="F1982" s="360" t="s">
        <v>111</v>
      </c>
      <c r="G1982" s="360" t="s">
        <v>111</v>
      </c>
      <c r="H1982" s="385">
        <v>68400021.030000001</v>
      </c>
      <c r="I1982" s="1055">
        <v>768580.24</v>
      </c>
      <c r="J1982" s="1047"/>
      <c r="K1982" s="385">
        <v>8406773.9100000001</v>
      </c>
      <c r="L1982" s="385">
        <v>76038214.700000003</v>
      </c>
    </row>
    <row r="1983" spans="2:12">
      <c r="B1983" s="1049" t="s">
        <v>50</v>
      </c>
      <c r="C1983" s="1049" t="s">
        <v>2814</v>
      </c>
      <c r="D1983" s="382" t="s">
        <v>2815</v>
      </c>
      <c r="E1983" s="382" t="s">
        <v>1967</v>
      </c>
      <c r="F1983" s="382" t="s">
        <v>2342</v>
      </c>
      <c r="G1983" s="382" t="s">
        <v>2343</v>
      </c>
      <c r="H1983" s="383">
        <v>621151.74</v>
      </c>
      <c r="I1983" s="1046">
        <v>2306967.84</v>
      </c>
      <c r="J1983" s="1047"/>
      <c r="K1983" s="383">
        <v>2231243.7000000002</v>
      </c>
      <c r="L1983" s="383">
        <v>545427.6</v>
      </c>
    </row>
    <row r="1984" spans="2:12">
      <c r="B1984" s="1050"/>
      <c r="C1984" s="1050"/>
      <c r="D1984" s="382" t="s">
        <v>2815</v>
      </c>
      <c r="E1984" s="382" t="s">
        <v>1967</v>
      </c>
      <c r="F1984" s="382" t="s">
        <v>2342</v>
      </c>
      <c r="G1984" s="382" t="s">
        <v>2344</v>
      </c>
      <c r="H1984" s="383">
        <v>155535.26999999999</v>
      </c>
      <c r="I1984" s="1046">
        <v>1274718.3500000001</v>
      </c>
      <c r="J1984" s="1047"/>
      <c r="K1984" s="383">
        <v>1301970.69</v>
      </c>
      <c r="L1984" s="383">
        <v>182787.61</v>
      </c>
    </row>
    <row r="1985" spans="2:12">
      <c r="B1985" s="1050"/>
      <c r="C1985" s="1050"/>
      <c r="D1985" s="382" t="s">
        <v>2815</v>
      </c>
      <c r="E1985" s="382" t="s">
        <v>1967</v>
      </c>
      <c r="F1985" s="382" t="s">
        <v>2342</v>
      </c>
      <c r="G1985" s="382" t="s">
        <v>2345</v>
      </c>
      <c r="H1985" s="383">
        <v>348643.45</v>
      </c>
      <c r="I1985" s="1046">
        <v>1140685.46</v>
      </c>
      <c r="J1985" s="1047"/>
      <c r="K1985" s="383">
        <v>1091833.01</v>
      </c>
      <c r="L1985" s="383">
        <v>299791</v>
      </c>
    </row>
    <row r="1986" spans="2:12">
      <c r="B1986" s="1050"/>
      <c r="C1986" s="1050"/>
      <c r="D1986" s="382" t="s">
        <v>2815</v>
      </c>
      <c r="E1986" s="382" t="s">
        <v>1967</v>
      </c>
      <c r="F1986" s="382" t="s">
        <v>2342</v>
      </c>
      <c r="G1986" s="382" t="s">
        <v>2346</v>
      </c>
      <c r="H1986" s="383">
        <v>113338.92</v>
      </c>
      <c r="I1986" s="1046">
        <v>562637.32999999996</v>
      </c>
      <c r="J1986" s="1047"/>
      <c r="K1986" s="383">
        <v>530825.32999999996</v>
      </c>
      <c r="L1986" s="383">
        <v>81526.92</v>
      </c>
    </row>
    <row r="1987" spans="2:12">
      <c r="B1987" s="1050"/>
      <c r="C1987" s="1050"/>
      <c r="D1987" s="382" t="s">
        <v>2815</v>
      </c>
      <c r="E1987" s="382" t="s">
        <v>1967</v>
      </c>
      <c r="F1987" s="382" t="s">
        <v>2342</v>
      </c>
      <c r="G1987" s="382" t="s">
        <v>2347</v>
      </c>
      <c r="H1987" s="383">
        <v>816128.93</v>
      </c>
      <c r="I1987" s="1046">
        <v>1901194.46</v>
      </c>
      <c r="J1987" s="1047"/>
      <c r="K1987" s="383">
        <v>1733371.95</v>
      </c>
      <c r="L1987" s="383">
        <v>648306.42000000004</v>
      </c>
    </row>
    <row r="1988" spans="2:12">
      <c r="B1988" s="1050"/>
      <c r="C1988" s="1050"/>
      <c r="D1988" s="382" t="s">
        <v>2815</v>
      </c>
      <c r="E1988" s="382" t="s">
        <v>1967</v>
      </c>
      <c r="F1988" s="382" t="s">
        <v>2342</v>
      </c>
      <c r="G1988" s="382" t="s">
        <v>2348</v>
      </c>
      <c r="H1988" s="383">
        <v>602834.35</v>
      </c>
      <c r="I1988" s="1046">
        <v>1085151.3400000001</v>
      </c>
      <c r="J1988" s="1047"/>
      <c r="K1988" s="383">
        <v>844929.07</v>
      </c>
      <c r="L1988" s="383">
        <v>362612.08</v>
      </c>
    </row>
    <row r="1989" spans="2:12">
      <c r="B1989" s="1050"/>
      <c r="C1989" s="1050"/>
      <c r="D1989" s="382" t="s">
        <v>2815</v>
      </c>
      <c r="E1989" s="382" t="s">
        <v>1967</v>
      </c>
      <c r="F1989" s="382" t="s">
        <v>2342</v>
      </c>
      <c r="G1989" s="382" t="s">
        <v>2349</v>
      </c>
      <c r="H1989" s="383">
        <v>614802.1</v>
      </c>
      <c r="I1989" s="1046">
        <v>1808689.67</v>
      </c>
      <c r="J1989" s="1047"/>
      <c r="K1989" s="383">
        <v>1486342.24</v>
      </c>
      <c r="L1989" s="383">
        <v>292454.67</v>
      </c>
    </row>
    <row r="1990" spans="2:12">
      <c r="B1990" s="1050"/>
      <c r="C1990" s="1050"/>
      <c r="D1990" s="382" t="s">
        <v>2815</v>
      </c>
      <c r="E1990" s="382" t="s">
        <v>1967</v>
      </c>
      <c r="F1990" s="382" t="s">
        <v>2342</v>
      </c>
      <c r="G1990" s="382" t="s">
        <v>2350</v>
      </c>
      <c r="H1990" s="383">
        <v>1196525.72</v>
      </c>
      <c r="I1990" s="1046">
        <v>2922026.77</v>
      </c>
      <c r="J1990" s="1047"/>
      <c r="K1990" s="383">
        <v>2548771.27</v>
      </c>
      <c r="L1990" s="383">
        <v>823270.22</v>
      </c>
    </row>
    <row r="1991" spans="2:12">
      <c r="B1991" s="1050"/>
      <c r="C1991" s="1050"/>
      <c r="D1991" s="382" t="s">
        <v>2815</v>
      </c>
      <c r="E1991" s="382" t="s">
        <v>1967</v>
      </c>
      <c r="F1991" s="382" t="s">
        <v>2342</v>
      </c>
      <c r="G1991" s="382" t="s">
        <v>2351</v>
      </c>
      <c r="H1991" s="383">
        <v>216670.55</v>
      </c>
      <c r="I1991" s="1046">
        <v>546806.57999999996</v>
      </c>
      <c r="J1991" s="1047"/>
      <c r="K1991" s="383">
        <v>513171.83</v>
      </c>
      <c r="L1991" s="383">
        <v>183035.8</v>
      </c>
    </row>
    <row r="1992" spans="2:12">
      <c r="B1992" s="1050"/>
      <c r="C1992" s="1050"/>
      <c r="D1992" s="382" t="s">
        <v>2815</v>
      </c>
      <c r="E1992" s="382" t="s">
        <v>1967</v>
      </c>
      <c r="F1992" s="382" t="s">
        <v>2342</v>
      </c>
      <c r="G1992" s="382" t="s">
        <v>2352</v>
      </c>
      <c r="H1992" s="383">
        <v>409841.88</v>
      </c>
      <c r="I1992" s="1046">
        <v>1078878.3400000001</v>
      </c>
      <c r="J1992" s="1047"/>
      <c r="K1992" s="383">
        <v>1024648.17</v>
      </c>
      <c r="L1992" s="383">
        <v>355611.71</v>
      </c>
    </row>
    <row r="1993" spans="2:12">
      <c r="B1993" s="1050"/>
      <c r="C1993" s="1050"/>
      <c r="D1993" s="382" t="s">
        <v>2815</v>
      </c>
      <c r="E1993" s="382" t="s">
        <v>1967</v>
      </c>
      <c r="F1993" s="382" t="s">
        <v>2342</v>
      </c>
      <c r="G1993" s="382" t="s">
        <v>2353</v>
      </c>
      <c r="H1993" s="383">
        <v>484674.7</v>
      </c>
      <c r="I1993" s="1046">
        <v>1427356.21</v>
      </c>
      <c r="J1993" s="1047"/>
      <c r="K1993" s="383">
        <v>1462612.56</v>
      </c>
      <c r="L1993" s="383">
        <v>519931.05</v>
      </c>
    </row>
    <row r="1994" spans="2:12">
      <c r="B1994" s="1050"/>
      <c r="C1994" s="1050"/>
      <c r="D1994" s="382" t="s">
        <v>2815</v>
      </c>
      <c r="E1994" s="382" t="s">
        <v>1967</v>
      </c>
      <c r="F1994" s="382" t="s">
        <v>2342</v>
      </c>
      <c r="G1994" s="382" t="s">
        <v>405</v>
      </c>
      <c r="H1994" s="383">
        <v>163944.32000000001</v>
      </c>
      <c r="I1994" s="1046">
        <v>1022685.23</v>
      </c>
      <c r="J1994" s="1047"/>
      <c r="K1994" s="383">
        <v>968396.19</v>
      </c>
      <c r="L1994" s="383">
        <v>109655.28</v>
      </c>
    </row>
    <row r="1995" spans="2:12">
      <c r="B1995" s="1050"/>
      <c r="C1995" s="1050"/>
      <c r="D1995" s="382" t="s">
        <v>2815</v>
      </c>
      <c r="E1995" s="382" t="s">
        <v>1967</v>
      </c>
      <c r="F1995" s="382" t="s">
        <v>2342</v>
      </c>
      <c r="G1995" s="382" t="s">
        <v>2354</v>
      </c>
      <c r="H1995" s="383">
        <v>179791.15</v>
      </c>
      <c r="I1995" s="1046">
        <v>884128.34</v>
      </c>
      <c r="J1995" s="1047"/>
      <c r="K1995" s="383">
        <v>760316.58</v>
      </c>
      <c r="L1995" s="383">
        <v>55979.39</v>
      </c>
    </row>
    <row r="1996" spans="2:12">
      <c r="B1996" s="1050"/>
      <c r="C1996" s="1050"/>
      <c r="D1996" s="382" t="s">
        <v>2815</v>
      </c>
      <c r="E1996" s="382" t="s">
        <v>1967</v>
      </c>
      <c r="F1996" s="382" t="s">
        <v>2342</v>
      </c>
      <c r="G1996" s="382" t="s">
        <v>2355</v>
      </c>
      <c r="H1996" s="383">
        <v>0</v>
      </c>
      <c r="I1996" s="1046">
        <v>0</v>
      </c>
      <c r="J1996" s="1047"/>
      <c r="K1996" s="383">
        <v>0</v>
      </c>
      <c r="L1996" s="383">
        <v>0</v>
      </c>
    </row>
    <row r="1997" spans="2:12">
      <c r="B1997" s="1050"/>
      <c r="C1997" s="1050"/>
      <c r="D1997" s="382" t="s">
        <v>2816</v>
      </c>
      <c r="E1997" s="382" t="s">
        <v>2060</v>
      </c>
      <c r="F1997" s="382" t="s">
        <v>2342</v>
      </c>
      <c r="G1997" s="382" t="s">
        <v>2343</v>
      </c>
      <c r="H1997" s="383">
        <v>867885.57</v>
      </c>
      <c r="I1997" s="1046">
        <v>529026.12</v>
      </c>
      <c r="J1997" s="1047"/>
      <c r="K1997" s="383">
        <v>447990.86</v>
      </c>
      <c r="L1997" s="383">
        <v>786850.31</v>
      </c>
    </row>
    <row r="1998" spans="2:12">
      <c r="B1998" s="1050"/>
      <c r="C1998" s="1050"/>
      <c r="D1998" s="382" t="s">
        <v>2816</v>
      </c>
      <c r="E1998" s="382" t="s">
        <v>2060</v>
      </c>
      <c r="F1998" s="382" t="s">
        <v>2342</v>
      </c>
      <c r="G1998" s="382" t="s">
        <v>2344</v>
      </c>
      <c r="H1998" s="383">
        <v>381884.61</v>
      </c>
      <c r="I1998" s="1046">
        <v>294623.82</v>
      </c>
      <c r="J1998" s="1047"/>
      <c r="K1998" s="383">
        <v>336881.77</v>
      </c>
      <c r="L1998" s="383">
        <v>424142.56</v>
      </c>
    </row>
    <row r="1999" spans="2:12">
      <c r="B1999" s="1050"/>
      <c r="C1999" s="1050"/>
      <c r="D1999" s="382" t="s">
        <v>2816</v>
      </c>
      <c r="E1999" s="382" t="s">
        <v>2060</v>
      </c>
      <c r="F1999" s="382" t="s">
        <v>2342</v>
      </c>
      <c r="G1999" s="382" t="s">
        <v>2345</v>
      </c>
      <c r="H1999" s="383">
        <v>444979.43</v>
      </c>
      <c r="I1999" s="1046">
        <v>334913.96000000002</v>
      </c>
      <c r="J1999" s="1047"/>
      <c r="K1999" s="383">
        <v>322152.49</v>
      </c>
      <c r="L1999" s="383">
        <v>432217.96</v>
      </c>
    </row>
    <row r="2000" spans="2:12">
      <c r="B2000" s="1050"/>
      <c r="C2000" s="1050"/>
      <c r="D2000" s="382" t="s">
        <v>2816</v>
      </c>
      <c r="E2000" s="382" t="s">
        <v>2060</v>
      </c>
      <c r="F2000" s="382" t="s">
        <v>2342</v>
      </c>
      <c r="G2000" s="382" t="s">
        <v>2346</v>
      </c>
      <c r="H2000" s="383">
        <v>103701.24</v>
      </c>
      <c r="I2000" s="1046">
        <v>147891.12</v>
      </c>
      <c r="J2000" s="1047"/>
      <c r="K2000" s="383">
        <v>162489.04</v>
      </c>
      <c r="L2000" s="383">
        <v>118299.16</v>
      </c>
    </row>
    <row r="2001" spans="2:12">
      <c r="B2001" s="1050"/>
      <c r="C2001" s="1050"/>
      <c r="D2001" s="382" t="s">
        <v>2816</v>
      </c>
      <c r="E2001" s="382" t="s">
        <v>2060</v>
      </c>
      <c r="F2001" s="382" t="s">
        <v>2342</v>
      </c>
      <c r="G2001" s="382" t="s">
        <v>2347</v>
      </c>
      <c r="H2001" s="383">
        <v>787337.62</v>
      </c>
      <c r="I2001" s="1046">
        <v>676136.99</v>
      </c>
      <c r="J2001" s="1047"/>
      <c r="K2001" s="383">
        <v>710963.95</v>
      </c>
      <c r="L2001" s="383">
        <v>822164.58</v>
      </c>
    </row>
    <row r="2002" spans="2:12">
      <c r="B2002" s="1050"/>
      <c r="C2002" s="1050"/>
      <c r="D2002" s="382" t="s">
        <v>2816</v>
      </c>
      <c r="E2002" s="382" t="s">
        <v>2060</v>
      </c>
      <c r="F2002" s="382" t="s">
        <v>2342</v>
      </c>
      <c r="G2002" s="382" t="s">
        <v>2348</v>
      </c>
      <c r="H2002" s="383">
        <v>707609.85</v>
      </c>
      <c r="I2002" s="1046">
        <v>558275.26</v>
      </c>
      <c r="J2002" s="1047"/>
      <c r="K2002" s="383">
        <v>695552.23</v>
      </c>
      <c r="L2002" s="383">
        <v>844886.82</v>
      </c>
    </row>
    <row r="2003" spans="2:12">
      <c r="B2003" s="1050"/>
      <c r="C2003" s="1050"/>
      <c r="D2003" s="382" t="s">
        <v>2816</v>
      </c>
      <c r="E2003" s="382" t="s">
        <v>2060</v>
      </c>
      <c r="F2003" s="382" t="s">
        <v>2342</v>
      </c>
      <c r="G2003" s="382" t="s">
        <v>2349</v>
      </c>
      <c r="H2003" s="383">
        <v>617392.14</v>
      </c>
      <c r="I2003" s="1046">
        <v>275777.89</v>
      </c>
      <c r="J2003" s="1047"/>
      <c r="K2003" s="383">
        <v>283241.67</v>
      </c>
      <c r="L2003" s="383">
        <v>624855.92000000004</v>
      </c>
    </row>
    <row r="2004" spans="2:12">
      <c r="B2004" s="1050"/>
      <c r="C2004" s="1050"/>
      <c r="D2004" s="382" t="s">
        <v>2816</v>
      </c>
      <c r="E2004" s="382" t="s">
        <v>2060</v>
      </c>
      <c r="F2004" s="382" t="s">
        <v>2342</v>
      </c>
      <c r="G2004" s="382" t="s">
        <v>2350</v>
      </c>
      <c r="H2004" s="383">
        <v>802775.34</v>
      </c>
      <c r="I2004" s="1046">
        <v>588372.38</v>
      </c>
      <c r="J2004" s="1047"/>
      <c r="K2004" s="383">
        <v>625670.52</v>
      </c>
      <c r="L2004" s="383">
        <v>840073.48</v>
      </c>
    </row>
    <row r="2005" spans="2:12">
      <c r="B2005" s="1050"/>
      <c r="C2005" s="1050"/>
      <c r="D2005" s="382" t="s">
        <v>2816</v>
      </c>
      <c r="E2005" s="382" t="s">
        <v>2060</v>
      </c>
      <c r="F2005" s="382" t="s">
        <v>2342</v>
      </c>
      <c r="G2005" s="382" t="s">
        <v>2351</v>
      </c>
      <c r="H2005" s="383">
        <v>280316.03999999998</v>
      </c>
      <c r="I2005" s="1046">
        <v>504563.88</v>
      </c>
      <c r="J2005" s="1047"/>
      <c r="K2005" s="383">
        <v>473745.72</v>
      </c>
      <c r="L2005" s="383">
        <v>249497.88</v>
      </c>
    </row>
    <row r="2006" spans="2:12">
      <c r="B2006" s="1050"/>
      <c r="C2006" s="1050"/>
      <c r="D2006" s="382" t="s">
        <v>2816</v>
      </c>
      <c r="E2006" s="382" t="s">
        <v>2060</v>
      </c>
      <c r="F2006" s="382" t="s">
        <v>2342</v>
      </c>
      <c r="G2006" s="382" t="s">
        <v>2352</v>
      </c>
      <c r="H2006" s="383">
        <v>385569.27</v>
      </c>
      <c r="I2006" s="1046">
        <v>291638.98</v>
      </c>
      <c r="J2006" s="1047"/>
      <c r="K2006" s="383">
        <v>278980.40999999997</v>
      </c>
      <c r="L2006" s="383">
        <v>372910.7</v>
      </c>
    </row>
    <row r="2007" spans="2:12">
      <c r="B2007" s="1050"/>
      <c r="C2007" s="1050"/>
      <c r="D2007" s="382" t="s">
        <v>2816</v>
      </c>
      <c r="E2007" s="382" t="s">
        <v>2060</v>
      </c>
      <c r="F2007" s="382" t="s">
        <v>2342</v>
      </c>
      <c r="G2007" s="382" t="s">
        <v>2353</v>
      </c>
      <c r="H2007" s="383">
        <v>702300.69</v>
      </c>
      <c r="I2007" s="1046">
        <v>678468.95</v>
      </c>
      <c r="J2007" s="1047"/>
      <c r="K2007" s="383">
        <v>663107.6</v>
      </c>
      <c r="L2007" s="383">
        <v>686939.34</v>
      </c>
    </row>
    <row r="2008" spans="2:12">
      <c r="B2008" s="1050"/>
      <c r="C2008" s="1050"/>
      <c r="D2008" s="382" t="s">
        <v>2816</v>
      </c>
      <c r="E2008" s="382" t="s">
        <v>2060</v>
      </c>
      <c r="F2008" s="382" t="s">
        <v>2342</v>
      </c>
      <c r="G2008" s="382" t="s">
        <v>405</v>
      </c>
      <c r="H2008" s="383">
        <v>340814.02</v>
      </c>
      <c r="I2008" s="1046">
        <v>246578.55</v>
      </c>
      <c r="J2008" s="1047"/>
      <c r="K2008" s="383">
        <v>278445.8</v>
      </c>
      <c r="L2008" s="383">
        <v>372681.27</v>
      </c>
    </row>
    <row r="2009" spans="2:12">
      <c r="B2009" s="1050"/>
      <c r="C2009" s="1050"/>
      <c r="D2009" s="382" t="s">
        <v>2816</v>
      </c>
      <c r="E2009" s="382" t="s">
        <v>2060</v>
      </c>
      <c r="F2009" s="382" t="s">
        <v>2342</v>
      </c>
      <c r="G2009" s="382" t="s">
        <v>2354</v>
      </c>
      <c r="H2009" s="383">
        <v>3956</v>
      </c>
      <c r="I2009" s="1046">
        <v>7081.58</v>
      </c>
      <c r="J2009" s="1047"/>
      <c r="K2009" s="383">
        <v>39213.730000000003</v>
      </c>
      <c r="L2009" s="383">
        <v>36088.15</v>
      </c>
    </row>
    <row r="2010" spans="2:12">
      <c r="B2010" s="1050"/>
      <c r="C2010" s="1050"/>
      <c r="D2010" s="382" t="s">
        <v>2817</v>
      </c>
      <c r="E2010" s="382" t="s">
        <v>2061</v>
      </c>
      <c r="F2010" s="382" t="s">
        <v>2342</v>
      </c>
      <c r="G2010" s="382" t="s">
        <v>2343</v>
      </c>
      <c r="H2010" s="383">
        <v>234301.64</v>
      </c>
      <c r="I2010" s="1046">
        <v>1033.3399999999999</v>
      </c>
      <c r="J2010" s="1047"/>
      <c r="K2010" s="383">
        <v>0</v>
      </c>
      <c r="L2010" s="383">
        <v>233268.3</v>
      </c>
    </row>
    <row r="2011" spans="2:12">
      <c r="B2011" s="1050"/>
      <c r="C2011" s="1050"/>
      <c r="D2011" s="382" t="s">
        <v>2817</v>
      </c>
      <c r="E2011" s="382" t="s">
        <v>2061</v>
      </c>
      <c r="F2011" s="382" t="s">
        <v>2342</v>
      </c>
      <c r="G2011" s="382" t="s">
        <v>2344</v>
      </c>
      <c r="H2011" s="383">
        <v>39861.94</v>
      </c>
      <c r="I2011" s="1046">
        <v>0</v>
      </c>
      <c r="J2011" s="1047"/>
      <c r="K2011" s="383">
        <v>0</v>
      </c>
      <c r="L2011" s="383">
        <v>39861.94</v>
      </c>
    </row>
    <row r="2012" spans="2:12">
      <c r="B2012" s="1050"/>
      <c r="C2012" s="1050"/>
      <c r="D2012" s="382" t="s">
        <v>2817</v>
      </c>
      <c r="E2012" s="382" t="s">
        <v>2061</v>
      </c>
      <c r="F2012" s="382" t="s">
        <v>2342</v>
      </c>
      <c r="G2012" s="382" t="s">
        <v>2345</v>
      </c>
      <c r="H2012" s="383">
        <v>6902.28</v>
      </c>
      <c r="I2012" s="1046">
        <v>0</v>
      </c>
      <c r="J2012" s="1047"/>
      <c r="K2012" s="383">
        <v>0</v>
      </c>
      <c r="L2012" s="383">
        <v>6902.28</v>
      </c>
    </row>
    <row r="2013" spans="2:12">
      <c r="B2013" s="1050"/>
      <c r="C2013" s="1050"/>
      <c r="D2013" s="382" t="s">
        <v>2817</v>
      </c>
      <c r="E2013" s="382" t="s">
        <v>2061</v>
      </c>
      <c r="F2013" s="382" t="s">
        <v>2342</v>
      </c>
      <c r="G2013" s="382" t="s">
        <v>2346</v>
      </c>
      <c r="H2013" s="383">
        <v>205399.77</v>
      </c>
      <c r="I2013" s="1046">
        <v>39235.040000000001</v>
      </c>
      <c r="J2013" s="1047"/>
      <c r="K2013" s="383">
        <v>0</v>
      </c>
      <c r="L2013" s="383">
        <v>166164.73000000001</v>
      </c>
    </row>
    <row r="2014" spans="2:12">
      <c r="B2014" s="1050"/>
      <c r="C2014" s="1050"/>
      <c r="D2014" s="382" t="s">
        <v>2817</v>
      </c>
      <c r="E2014" s="382" t="s">
        <v>2061</v>
      </c>
      <c r="F2014" s="382" t="s">
        <v>2342</v>
      </c>
      <c r="G2014" s="382" t="s">
        <v>2347</v>
      </c>
      <c r="H2014" s="383">
        <v>157623.59</v>
      </c>
      <c r="I2014" s="1046">
        <v>3530.71</v>
      </c>
      <c r="J2014" s="1047"/>
      <c r="K2014" s="383">
        <v>1300</v>
      </c>
      <c r="L2014" s="383">
        <v>155392.88</v>
      </c>
    </row>
    <row r="2015" spans="2:12">
      <c r="B2015" s="1050"/>
      <c r="C2015" s="1050"/>
      <c r="D2015" s="382" t="s">
        <v>2817</v>
      </c>
      <c r="E2015" s="382" t="s">
        <v>2061</v>
      </c>
      <c r="F2015" s="382" t="s">
        <v>2342</v>
      </c>
      <c r="G2015" s="382" t="s">
        <v>2348</v>
      </c>
      <c r="H2015" s="383">
        <v>74100.33</v>
      </c>
      <c r="I2015" s="1046">
        <v>540.83000000000004</v>
      </c>
      <c r="J2015" s="1047"/>
      <c r="K2015" s="383">
        <v>0</v>
      </c>
      <c r="L2015" s="383">
        <v>73559.5</v>
      </c>
    </row>
    <row r="2016" spans="2:12">
      <c r="B2016" s="1050"/>
      <c r="C2016" s="1050"/>
      <c r="D2016" s="382" t="s">
        <v>2817</v>
      </c>
      <c r="E2016" s="382" t="s">
        <v>2061</v>
      </c>
      <c r="F2016" s="382" t="s">
        <v>2342</v>
      </c>
      <c r="G2016" s="382" t="s">
        <v>2349</v>
      </c>
      <c r="H2016" s="383">
        <v>123515.07</v>
      </c>
      <c r="I2016" s="1046">
        <v>554</v>
      </c>
      <c r="J2016" s="1047"/>
      <c r="K2016" s="383">
        <v>0</v>
      </c>
      <c r="L2016" s="383">
        <v>122961.07</v>
      </c>
    </row>
    <row r="2017" spans="2:12">
      <c r="B2017" s="1050"/>
      <c r="C2017" s="1050"/>
      <c r="D2017" s="382" t="s">
        <v>2817</v>
      </c>
      <c r="E2017" s="382" t="s">
        <v>2061</v>
      </c>
      <c r="F2017" s="382" t="s">
        <v>2342</v>
      </c>
      <c r="G2017" s="382" t="s">
        <v>2350</v>
      </c>
      <c r="H2017" s="383">
        <v>285343.11</v>
      </c>
      <c r="I2017" s="1046">
        <v>6945.48</v>
      </c>
      <c r="J2017" s="1047"/>
      <c r="K2017" s="383">
        <v>0</v>
      </c>
      <c r="L2017" s="383">
        <v>278397.63</v>
      </c>
    </row>
    <row r="2018" spans="2:12">
      <c r="B2018" s="1050"/>
      <c r="C2018" s="1050"/>
      <c r="D2018" s="382" t="s">
        <v>2817</v>
      </c>
      <c r="E2018" s="382" t="s">
        <v>2061</v>
      </c>
      <c r="F2018" s="382" t="s">
        <v>2342</v>
      </c>
      <c r="G2018" s="382" t="s">
        <v>2351</v>
      </c>
      <c r="H2018" s="383">
        <v>2375.83</v>
      </c>
      <c r="I2018" s="1046">
        <v>0</v>
      </c>
      <c r="J2018" s="1047"/>
      <c r="K2018" s="383">
        <v>0</v>
      </c>
      <c r="L2018" s="383">
        <v>2375.83</v>
      </c>
    </row>
    <row r="2019" spans="2:12">
      <c r="B2019" s="1050"/>
      <c r="C2019" s="1050"/>
      <c r="D2019" s="382" t="s">
        <v>2817</v>
      </c>
      <c r="E2019" s="382" t="s">
        <v>2061</v>
      </c>
      <c r="F2019" s="382" t="s">
        <v>2342</v>
      </c>
      <c r="G2019" s="382" t="s">
        <v>2352</v>
      </c>
      <c r="H2019" s="383">
        <v>11718.22</v>
      </c>
      <c r="I2019" s="1046">
        <v>0</v>
      </c>
      <c r="J2019" s="1047"/>
      <c r="K2019" s="383">
        <v>0</v>
      </c>
      <c r="L2019" s="383">
        <v>11718.22</v>
      </c>
    </row>
    <row r="2020" spans="2:12">
      <c r="B2020" s="1050"/>
      <c r="C2020" s="1050"/>
      <c r="D2020" s="382" t="s">
        <v>2817</v>
      </c>
      <c r="E2020" s="382" t="s">
        <v>2061</v>
      </c>
      <c r="F2020" s="382" t="s">
        <v>2342</v>
      </c>
      <c r="G2020" s="382" t="s">
        <v>2353</v>
      </c>
      <c r="H2020" s="383">
        <v>9371.85</v>
      </c>
      <c r="I2020" s="1046">
        <v>233</v>
      </c>
      <c r="J2020" s="1047"/>
      <c r="K2020" s="383">
        <v>0</v>
      </c>
      <c r="L2020" s="383">
        <v>9138.85</v>
      </c>
    </row>
    <row r="2021" spans="2:12">
      <c r="B2021" s="1050"/>
      <c r="C2021" s="1050"/>
      <c r="D2021" s="382" t="s">
        <v>2817</v>
      </c>
      <c r="E2021" s="382" t="s">
        <v>2061</v>
      </c>
      <c r="F2021" s="382" t="s">
        <v>2342</v>
      </c>
      <c r="G2021" s="382" t="s">
        <v>405</v>
      </c>
      <c r="H2021" s="383">
        <v>185.24</v>
      </c>
      <c r="I2021" s="1046">
        <v>0</v>
      </c>
      <c r="J2021" s="1047"/>
      <c r="K2021" s="383">
        <v>0</v>
      </c>
      <c r="L2021" s="383">
        <v>185.24</v>
      </c>
    </row>
    <row r="2022" spans="2:12">
      <c r="B2022" s="1050"/>
      <c r="C2022" s="1050"/>
      <c r="D2022" s="382" t="s">
        <v>2817</v>
      </c>
      <c r="E2022" s="382" t="s">
        <v>2061</v>
      </c>
      <c r="F2022" s="382" t="s">
        <v>2342</v>
      </c>
      <c r="G2022" s="382" t="s">
        <v>2355</v>
      </c>
      <c r="H2022" s="383">
        <v>37115.79</v>
      </c>
      <c r="I2022" s="1046">
        <v>200</v>
      </c>
      <c r="J2022" s="1047"/>
      <c r="K2022" s="383">
        <v>200</v>
      </c>
      <c r="L2022" s="383">
        <v>37115.79</v>
      </c>
    </row>
    <row r="2023" spans="2:12">
      <c r="B2023" s="1050"/>
      <c r="C2023" s="1050"/>
      <c r="D2023" s="382" t="s">
        <v>2818</v>
      </c>
      <c r="E2023" s="382" t="s">
        <v>2062</v>
      </c>
      <c r="F2023" s="382" t="s">
        <v>2342</v>
      </c>
      <c r="G2023" s="382" t="s">
        <v>2343</v>
      </c>
      <c r="H2023" s="383">
        <v>164205.68</v>
      </c>
      <c r="I2023" s="1046">
        <v>288772.24</v>
      </c>
      <c r="J2023" s="1047"/>
      <c r="K2023" s="383">
        <v>240893.86</v>
      </c>
      <c r="L2023" s="383">
        <v>116327.3</v>
      </c>
    </row>
    <row r="2024" spans="2:12">
      <c r="B2024" s="1050"/>
      <c r="C2024" s="1050"/>
      <c r="D2024" s="382" t="s">
        <v>2818</v>
      </c>
      <c r="E2024" s="382" t="s">
        <v>2062</v>
      </c>
      <c r="F2024" s="382" t="s">
        <v>2342</v>
      </c>
      <c r="G2024" s="382" t="s">
        <v>2344</v>
      </c>
      <c r="H2024" s="383">
        <v>21734.58</v>
      </c>
      <c r="I2024" s="1046">
        <v>63961.2</v>
      </c>
      <c r="J2024" s="1047"/>
      <c r="K2024" s="383">
        <v>49454.39</v>
      </c>
      <c r="L2024" s="383">
        <v>7227.77</v>
      </c>
    </row>
    <row r="2025" spans="2:12">
      <c r="B2025" s="1050"/>
      <c r="C2025" s="1050"/>
      <c r="D2025" s="382" t="s">
        <v>2818</v>
      </c>
      <c r="E2025" s="382" t="s">
        <v>2062</v>
      </c>
      <c r="F2025" s="382" t="s">
        <v>2342</v>
      </c>
      <c r="G2025" s="382" t="s">
        <v>2345</v>
      </c>
      <c r="H2025" s="383">
        <v>5372.87</v>
      </c>
      <c r="I2025" s="1046">
        <v>28201.56</v>
      </c>
      <c r="J2025" s="1047"/>
      <c r="K2025" s="383">
        <v>27433.03</v>
      </c>
      <c r="L2025" s="383">
        <v>4604.34</v>
      </c>
    </row>
    <row r="2026" spans="2:12">
      <c r="B2026" s="1050"/>
      <c r="C2026" s="1050"/>
      <c r="D2026" s="382" t="s">
        <v>2818</v>
      </c>
      <c r="E2026" s="382" t="s">
        <v>2062</v>
      </c>
      <c r="F2026" s="382" t="s">
        <v>2342</v>
      </c>
      <c r="G2026" s="382" t="s">
        <v>2346</v>
      </c>
      <c r="H2026" s="383">
        <v>208.62</v>
      </c>
      <c r="I2026" s="1046">
        <v>3440</v>
      </c>
      <c r="J2026" s="1047"/>
      <c r="K2026" s="383">
        <v>3723.83</v>
      </c>
      <c r="L2026" s="383">
        <v>492.45</v>
      </c>
    </row>
    <row r="2027" spans="2:12">
      <c r="B2027" s="1050"/>
      <c r="C2027" s="1050"/>
      <c r="D2027" s="382" t="s">
        <v>2818</v>
      </c>
      <c r="E2027" s="382" t="s">
        <v>2062</v>
      </c>
      <c r="F2027" s="382" t="s">
        <v>2342</v>
      </c>
      <c r="G2027" s="382" t="s">
        <v>2347</v>
      </c>
      <c r="H2027" s="383">
        <v>67386.75</v>
      </c>
      <c r="I2027" s="1046">
        <v>219915.49</v>
      </c>
      <c r="J2027" s="1047"/>
      <c r="K2027" s="383">
        <v>170903.11</v>
      </c>
      <c r="L2027" s="383">
        <v>18374.37</v>
      </c>
    </row>
    <row r="2028" spans="2:12">
      <c r="B2028" s="1050"/>
      <c r="C2028" s="1050"/>
      <c r="D2028" s="382" t="s">
        <v>2818</v>
      </c>
      <c r="E2028" s="382" t="s">
        <v>2062</v>
      </c>
      <c r="F2028" s="382" t="s">
        <v>2342</v>
      </c>
      <c r="G2028" s="382" t="s">
        <v>2348</v>
      </c>
      <c r="H2028" s="383">
        <v>20488.95</v>
      </c>
      <c r="I2028" s="1046">
        <v>90278.399999999994</v>
      </c>
      <c r="J2028" s="1047"/>
      <c r="K2028" s="383">
        <v>85048.9</v>
      </c>
      <c r="L2028" s="383">
        <v>15259.45</v>
      </c>
    </row>
    <row r="2029" spans="2:12">
      <c r="B2029" s="1050"/>
      <c r="C2029" s="1050"/>
      <c r="D2029" s="382" t="s">
        <v>2818</v>
      </c>
      <c r="E2029" s="382" t="s">
        <v>2062</v>
      </c>
      <c r="F2029" s="382" t="s">
        <v>2342</v>
      </c>
      <c r="G2029" s="382" t="s">
        <v>2349</v>
      </c>
      <c r="H2029" s="383">
        <v>47061.02</v>
      </c>
      <c r="I2029" s="1046">
        <v>148629</v>
      </c>
      <c r="J2029" s="1047"/>
      <c r="K2029" s="383">
        <v>121228.74</v>
      </c>
      <c r="L2029" s="383">
        <v>19660.759999999998</v>
      </c>
    </row>
    <row r="2030" spans="2:12">
      <c r="B2030" s="1050"/>
      <c r="C2030" s="1050"/>
      <c r="D2030" s="382" t="s">
        <v>2818</v>
      </c>
      <c r="E2030" s="382" t="s">
        <v>2062</v>
      </c>
      <c r="F2030" s="382" t="s">
        <v>2342</v>
      </c>
      <c r="G2030" s="382" t="s">
        <v>2350</v>
      </c>
      <c r="H2030" s="383">
        <v>83281.78</v>
      </c>
      <c r="I2030" s="1046">
        <v>221245</v>
      </c>
      <c r="J2030" s="1047"/>
      <c r="K2030" s="383">
        <v>186861.54</v>
      </c>
      <c r="L2030" s="383">
        <v>48898.32</v>
      </c>
    </row>
    <row r="2031" spans="2:12">
      <c r="B2031" s="1050"/>
      <c r="C2031" s="1050"/>
      <c r="D2031" s="382" t="s">
        <v>2818</v>
      </c>
      <c r="E2031" s="382" t="s">
        <v>2062</v>
      </c>
      <c r="F2031" s="382" t="s">
        <v>2342</v>
      </c>
      <c r="G2031" s="382" t="s">
        <v>2351</v>
      </c>
      <c r="H2031" s="383">
        <v>11874.41</v>
      </c>
      <c r="I2031" s="1046">
        <v>88408.2</v>
      </c>
      <c r="J2031" s="1047"/>
      <c r="K2031" s="383">
        <v>89000.05</v>
      </c>
      <c r="L2031" s="383">
        <v>12466.26</v>
      </c>
    </row>
    <row r="2032" spans="2:12">
      <c r="B2032" s="1050"/>
      <c r="C2032" s="1050"/>
      <c r="D2032" s="382" t="s">
        <v>2818</v>
      </c>
      <c r="E2032" s="382" t="s">
        <v>2062</v>
      </c>
      <c r="F2032" s="382" t="s">
        <v>2342</v>
      </c>
      <c r="G2032" s="382" t="s">
        <v>2352</v>
      </c>
      <c r="H2032" s="383">
        <v>7189.48</v>
      </c>
      <c r="I2032" s="1046">
        <v>52278</v>
      </c>
      <c r="J2032" s="1047"/>
      <c r="K2032" s="383">
        <v>51386</v>
      </c>
      <c r="L2032" s="383">
        <v>6297.48</v>
      </c>
    </row>
    <row r="2033" spans="2:12">
      <c r="B2033" s="1050"/>
      <c r="C2033" s="1050"/>
      <c r="D2033" s="382" t="s">
        <v>2818</v>
      </c>
      <c r="E2033" s="382" t="s">
        <v>2062</v>
      </c>
      <c r="F2033" s="382" t="s">
        <v>2342</v>
      </c>
      <c r="G2033" s="382" t="s">
        <v>2353</v>
      </c>
      <c r="H2033" s="383">
        <v>107997.52</v>
      </c>
      <c r="I2033" s="1046">
        <v>359588.32</v>
      </c>
      <c r="J2033" s="1047"/>
      <c r="K2033" s="383">
        <v>322569.71000000002</v>
      </c>
      <c r="L2033" s="383">
        <v>70978.91</v>
      </c>
    </row>
    <row r="2034" spans="2:12">
      <c r="B2034" s="1050"/>
      <c r="C2034" s="1050"/>
      <c r="D2034" s="382" t="s">
        <v>2818</v>
      </c>
      <c r="E2034" s="382" t="s">
        <v>2062</v>
      </c>
      <c r="F2034" s="382" t="s">
        <v>2342</v>
      </c>
      <c r="G2034" s="382" t="s">
        <v>405</v>
      </c>
      <c r="H2034" s="383">
        <v>4834.7</v>
      </c>
      <c r="I2034" s="1046">
        <v>6359</v>
      </c>
      <c r="J2034" s="1047"/>
      <c r="K2034" s="383">
        <v>4621.21</v>
      </c>
      <c r="L2034" s="383">
        <v>3096.91</v>
      </c>
    </row>
    <row r="2035" spans="2:12">
      <c r="B2035" s="1050"/>
      <c r="C2035" s="1050"/>
      <c r="D2035" s="382" t="s">
        <v>2819</v>
      </c>
      <c r="E2035" s="382" t="s">
        <v>2063</v>
      </c>
      <c r="F2035" s="382" t="s">
        <v>2342</v>
      </c>
      <c r="G2035" s="382" t="s">
        <v>2343</v>
      </c>
      <c r="H2035" s="383">
        <v>30500.7</v>
      </c>
      <c r="I2035" s="1046">
        <v>2162380</v>
      </c>
      <c r="J2035" s="1047"/>
      <c r="K2035" s="383">
        <v>2188241.25</v>
      </c>
      <c r="L2035" s="383">
        <v>56361.95</v>
      </c>
    </row>
    <row r="2036" spans="2:12">
      <c r="B2036" s="1050"/>
      <c r="C2036" s="1050"/>
      <c r="D2036" s="382" t="s">
        <v>2819</v>
      </c>
      <c r="E2036" s="382" t="s">
        <v>2063</v>
      </c>
      <c r="F2036" s="382" t="s">
        <v>2342</v>
      </c>
      <c r="G2036" s="382" t="s">
        <v>2345</v>
      </c>
      <c r="H2036" s="383">
        <v>2540</v>
      </c>
      <c r="I2036" s="1046">
        <v>90</v>
      </c>
      <c r="J2036" s="1047"/>
      <c r="K2036" s="383">
        <v>48800</v>
      </c>
      <c r="L2036" s="383">
        <v>51250</v>
      </c>
    </row>
    <row r="2037" spans="2:12">
      <c r="B2037" s="1050"/>
      <c r="C2037" s="1050"/>
      <c r="D2037" s="382" t="s">
        <v>2819</v>
      </c>
      <c r="E2037" s="382" t="s">
        <v>2063</v>
      </c>
      <c r="F2037" s="382" t="s">
        <v>2342</v>
      </c>
      <c r="G2037" s="382" t="s">
        <v>2346</v>
      </c>
      <c r="H2037" s="383">
        <v>21323.63</v>
      </c>
      <c r="I2037" s="1046">
        <v>1150</v>
      </c>
      <c r="J2037" s="1047"/>
      <c r="K2037" s="383">
        <v>1200</v>
      </c>
      <c r="L2037" s="383">
        <v>21373.63</v>
      </c>
    </row>
    <row r="2038" spans="2:12">
      <c r="B2038" s="1050"/>
      <c r="C2038" s="1050"/>
      <c r="D2038" s="382" t="s">
        <v>2819</v>
      </c>
      <c r="E2038" s="382" t="s">
        <v>2063</v>
      </c>
      <c r="F2038" s="382" t="s">
        <v>2342</v>
      </c>
      <c r="G2038" s="382" t="s">
        <v>2347</v>
      </c>
      <c r="H2038" s="383">
        <v>179760.71</v>
      </c>
      <c r="I2038" s="1046">
        <v>178505.63</v>
      </c>
      <c r="J2038" s="1047"/>
      <c r="K2038" s="383">
        <v>0</v>
      </c>
      <c r="L2038" s="383">
        <v>1255.08</v>
      </c>
    </row>
    <row r="2039" spans="2:12">
      <c r="B2039" s="1050"/>
      <c r="C2039" s="1050"/>
      <c r="D2039" s="382" t="s">
        <v>2819</v>
      </c>
      <c r="E2039" s="382" t="s">
        <v>2063</v>
      </c>
      <c r="F2039" s="382" t="s">
        <v>2342</v>
      </c>
      <c r="G2039" s="382" t="s">
        <v>2348</v>
      </c>
      <c r="H2039" s="383">
        <v>210482.64</v>
      </c>
      <c r="I2039" s="1046">
        <v>392576.65</v>
      </c>
      <c r="J2039" s="1047"/>
      <c r="K2039" s="383">
        <v>417369.36</v>
      </c>
      <c r="L2039" s="383">
        <v>235275.35</v>
      </c>
    </row>
    <row r="2040" spans="2:12">
      <c r="B2040" s="1050"/>
      <c r="C2040" s="1050"/>
      <c r="D2040" s="382" t="s">
        <v>2819</v>
      </c>
      <c r="E2040" s="382" t="s">
        <v>2063</v>
      </c>
      <c r="F2040" s="382" t="s">
        <v>2342</v>
      </c>
      <c r="G2040" s="382" t="s">
        <v>2349</v>
      </c>
      <c r="H2040" s="383">
        <v>89877.23</v>
      </c>
      <c r="I2040" s="1046">
        <v>235224.23</v>
      </c>
      <c r="J2040" s="1047"/>
      <c r="K2040" s="383">
        <v>206603.8</v>
      </c>
      <c r="L2040" s="383">
        <v>61256.800000000003</v>
      </c>
    </row>
    <row r="2041" spans="2:12">
      <c r="B2041" s="1050"/>
      <c r="C2041" s="1050"/>
      <c r="D2041" s="382" t="s">
        <v>2819</v>
      </c>
      <c r="E2041" s="382" t="s">
        <v>2063</v>
      </c>
      <c r="F2041" s="382" t="s">
        <v>2342</v>
      </c>
      <c r="G2041" s="382" t="s">
        <v>2350</v>
      </c>
      <c r="H2041" s="383">
        <v>12610</v>
      </c>
      <c r="I2041" s="1046">
        <v>352620</v>
      </c>
      <c r="J2041" s="1047"/>
      <c r="K2041" s="383">
        <v>495578</v>
      </c>
      <c r="L2041" s="383">
        <v>155568</v>
      </c>
    </row>
    <row r="2042" spans="2:12">
      <c r="B2042" s="1050"/>
      <c r="C2042" s="1050"/>
      <c r="D2042" s="382" t="s">
        <v>2819</v>
      </c>
      <c r="E2042" s="382" t="s">
        <v>2063</v>
      </c>
      <c r="F2042" s="382" t="s">
        <v>2342</v>
      </c>
      <c r="G2042" s="382" t="s">
        <v>2351</v>
      </c>
      <c r="H2042" s="383">
        <v>730</v>
      </c>
      <c r="I2042" s="1046">
        <v>140600</v>
      </c>
      <c r="J2042" s="1047"/>
      <c r="K2042" s="383">
        <v>233815.99</v>
      </c>
      <c r="L2042" s="383">
        <v>93945.99</v>
      </c>
    </row>
    <row r="2043" spans="2:12">
      <c r="B2043" s="1050"/>
      <c r="C2043" s="1050"/>
      <c r="D2043" s="382" t="s">
        <v>2819</v>
      </c>
      <c r="E2043" s="382" t="s">
        <v>2063</v>
      </c>
      <c r="F2043" s="382" t="s">
        <v>2342</v>
      </c>
      <c r="G2043" s="382" t="s">
        <v>2352</v>
      </c>
      <c r="H2043" s="383">
        <v>0</v>
      </c>
      <c r="I2043" s="1046">
        <v>30</v>
      </c>
      <c r="J2043" s="1047"/>
      <c r="K2043" s="383">
        <v>300</v>
      </c>
      <c r="L2043" s="383">
        <v>270</v>
      </c>
    </row>
    <row r="2044" spans="2:12">
      <c r="B2044" s="1050"/>
      <c r="C2044" s="1050"/>
      <c r="D2044" s="382" t="s">
        <v>2819</v>
      </c>
      <c r="E2044" s="382" t="s">
        <v>2063</v>
      </c>
      <c r="F2044" s="382" t="s">
        <v>2342</v>
      </c>
      <c r="G2044" s="382" t="s">
        <v>2353</v>
      </c>
      <c r="H2044" s="383">
        <v>270.12</v>
      </c>
      <c r="I2044" s="1046">
        <v>110260</v>
      </c>
      <c r="J2044" s="1047"/>
      <c r="K2044" s="383">
        <v>112356.72</v>
      </c>
      <c r="L2044" s="383">
        <v>2366.84</v>
      </c>
    </row>
    <row r="2045" spans="2:12">
      <c r="B2045" s="1050"/>
      <c r="C2045" s="1050"/>
      <c r="D2045" s="382" t="s">
        <v>2819</v>
      </c>
      <c r="E2045" s="382" t="s">
        <v>2063</v>
      </c>
      <c r="F2045" s="382" t="s">
        <v>2342</v>
      </c>
      <c r="G2045" s="382" t="s">
        <v>405</v>
      </c>
      <c r="H2045" s="383">
        <v>4753</v>
      </c>
      <c r="I2045" s="1046">
        <v>60</v>
      </c>
      <c r="J2045" s="1047"/>
      <c r="K2045" s="383">
        <v>300</v>
      </c>
      <c r="L2045" s="383">
        <v>4993</v>
      </c>
    </row>
    <row r="2046" spans="2:12">
      <c r="B2046" s="1050"/>
      <c r="C2046" s="1051"/>
      <c r="D2046" s="359" t="s">
        <v>12</v>
      </c>
      <c r="E2046" s="359" t="s">
        <v>111</v>
      </c>
      <c r="F2046" s="359" t="s">
        <v>111</v>
      </c>
      <c r="G2046" s="359" t="s">
        <v>111</v>
      </c>
      <c r="H2046" s="384">
        <v>14632703.949999999</v>
      </c>
      <c r="I2046" s="1048">
        <v>28292120.719999999</v>
      </c>
      <c r="J2046" s="1047"/>
      <c r="K2046" s="384">
        <v>26876057.870000001</v>
      </c>
      <c r="L2046" s="384">
        <v>13216641.1</v>
      </c>
    </row>
    <row r="2047" spans="2:12">
      <c r="B2047" s="1050"/>
      <c r="C2047" s="1049" t="s">
        <v>2820</v>
      </c>
      <c r="D2047" s="382" t="s">
        <v>2821</v>
      </c>
      <c r="E2047" s="382" t="s">
        <v>2064</v>
      </c>
      <c r="F2047" s="382" t="s">
        <v>2342</v>
      </c>
      <c r="G2047" s="382" t="s">
        <v>2343</v>
      </c>
      <c r="H2047" s="383">
        <v>22270</v>
      </c>
      <c r="I2047" s="1046">
        <v>0</v>
      </c>
      <c r="J2047" s="1047"/>
      <c r="K2047" s="383">
        <v>69770</v>
      </c>
      <c r="L2047" s="383">
        <v>92040</v>
      </c>
    </row>
    <row r="2048" spans="2:12">
      <c r="B2048" s="1050"/>
      <c r="C2048" s="1050"/>
      <c r="D2048" s="382" t="s">
        <v>2821</v>
      </c>
      <c r="E2048" s="382" t="s">
        <v>2064</v>
      </c>
      <c r="F2048" s="382" t="s">
        <v>2342</v>
      </c>
      <c r="G2048" s="382" t="s">
        <v>2344</v>
      </c>
      <c r="H2048" s="383">
        <v>14300</v>
      </c>
      <c r="I2048" s="1046">
        <v>0</v>
      </c>
      <c r="J2048" s="1047"/>
      <c r="K2048" s="383">
        <v>14310</v>
      </c>
      <c r="L2048" s="383">
        <v>28610</v>
      </c>
    </row>
    <row r="2049" spans="2:12">
      <c r="B2049" s="1050"/>
      <c r="C2049" s="1050"/>
      <c r="D2049" s="382" t="s">
        <v>2821</v>
      </c>
      <c r="E2049" s="382" t="s">
        <v>2064</v>
      </c>
      <c r="F2049" s="382" t="s">
        <v>2342</v>
      </c>
      <c r="G2049" s="382" t="s">
        <v>2345</v>
      </c>
      <c r="H2049" s="383">
        <v>39100</v>
      </c>
      <c r="I2049" s="1046">
        <v>0</v>
      </c>
      <c r="J2049" s="1047"/>
      <c r="K2049" s="383">
        <v>22730</v>
      </c>
      <c r="L2049" s="383">
        <v>61830</v>
      </c>
    </row>
    <row r="2050" spans="2:12">
      <c r="B2050" s="1050"/>
      <c r="C2050" s="1050"/>
      <c r="D2050" s="382" t="s">
        <v>2821</v>
      </c>
      <c r="E2050" s="382" t="s">
        <v>2064</v>
      </c>
      <c r="F2050" s="382" t="s">
        <v>2342</v>
      </c>
      <c r="G2050" s="382" t="s">
        <v>2346</v>
      </c>
      <c r="H2050" s="383">
        <v>6755</v>
      </c>
      <c r="I2050" s="1046">
        <v>0</v>
      </c>
      <c r="J2050" s="1047"/>
      <c r="K2050" s="383">
        <v>35460</v>
      </c>
      <c r="L2050" s="383">
        <v>42215</v>
      </c>
    </row>
    <row r="2051" spans="2:12">
      <c r="B2051" s="1050"/>
      <c r="C2051" s="1050"/>
      <c r="D2051" s="382" t="s">
        <v>2821</v>
      </c>
      <c r="E2051" s="382" t="s">
        <v>2064</v>
      </c>
      <c r="F2051" s="382" t="s">
        <v>2342</v>
      </c>
      <c r="G2051" s="382" t="s">
        <v>2347</v>
      </c>
      <c r="H2051" s="383">
        <v>49240</v>
      </c>
      <c r="I2051" s="1046">
        <v>0</v>
      </c>
      <c r="J2051" s="1047"/>
      <c r="K2051" s="383">
        <v>53600</v>
      </c>
      <c r="L2051" s="383">
        <v>102840</v>
      </c>
    </row>
    <row r="2052" spans="2:12">
      <c r="B2052" s="1050"/>
      <c r="C2052" s="1050"/>
      <c r="D2052" s="382" t="s">
        <v>2821</v>
      </c>
      <c r="E2052" s="382" t="s">
        <v>2064</v>
      </c>
      <c r="F2052" s="382" t="s">
        <v>2342</v>
      </c>
      <c r="G2052" s="382" t="s">
        <v>2348</v>
      </c>
      <c r="H2052" s="383">
        <v>67842</v>
      </c>
      <c r="I2052" s="1046">
        <v>0</v>
      </c>
      <c r="J2052" s="1047"/>
      <c r="K2052" s="383">
        <v>298376</v>
      </c>
      <c r="L2052" s="383">
        <v>366218</v>
      </c>
    </row>
    <row r="2053" spans="2:12">
      <c r="B2053" s="1050"/>
      <c r="C2053" s="1050"/>
      <c r="D2053" s="382" t="s">
        <v>2821</v>
      </c>
      <c r="E2053" s="382" t="s">
        <v>2064</v>
      </c>
      <c r="F2053" s="382" t="s">
        <v>2342</v>
      </c>
      <c r="G2053" s="382" t="s">
        <v>2349</v>
      </c>
      <c r="H2053" s="383">
        <v>18150</v>
      </c>
      <c r="I2053" s="1046">
        <v>0</v>
      </c>
      <c r="J2053" s="1047"/>
      <c r="K2053" s="383">
        <v>7695</v>
      </c>
      <c r="L2053" s="383">
        <v>25845</v>
      </c>
    </row>
    <row r="2054" spans="2:12">
      <c r="B2054" s="1050"/>
      <c r="C2054" s="1050"/>
      <c r="D2054" s="382" t="s">
        <v>2821</v>
      </c>
      <c r="E2054" s="382" t="s">
        <v>2064</v>
      </c>
      <c r="F2054" s="382" t="s">
        <v>2342</v>
      </c>
      <c r="G2054" s="382" t="s">
        <v>2350</v>
      </c>
      <c r="H2054" s="383">
        <v>86000</v>
      </c>
      <c r="I2054" s="1046">
        <v>0</v>
      </c>
      <c r="J2054" s="1047"/>
      <c r="K2054" s="383">
        <v>87450</v>
      </c>
      <c r="L2054" s="383">
        <v>173450</v>
      </c>
    </row>
    <row r="2055" spans="2:12">
      <c r="B2055" s="1050"/>
      <c r="C2055" s="1050"/>
      <c r="D2055" s="382" t="s">
        <v>2821</v>
      </c>
      <c r="E2055" s="382" t="s">
        <v>2064</v>
      </c>
      <c r="F2055" s="382" t="s">
        <v>2342</v>
      </c>
      <c r="G2055" s="382" t="s">
        <v>2351</v>
      </c>
      <c r="H2055" s="383">
        <v>35950</v>
      </c>
      <c r="I2055" s="1046">
        <v>550</v>
      </c>
      <c r="J2055" s="1047"/>
      <c r="K2055" s="383">
        <v>426450</v>
      </c>
      <c r="L2055" s="383">
        <v>461850</v>
      </c>
    </row>
    <row r="2056" spans="2:12">
      <c r="B2056" s="1050"/>
      <c r="C2056" s="1050"/>
      <c r="D2056" s="382" t="s">
        <v>2821</v>
      </c>
      <c r="E2056" s="382" t="s">
        <v>2064</v>
      </c>
      <c r="F2056" s="382" t="s">
        <v>2342</v>
      </c>
      <c r="G2056" s="382" t="s">
        <v>2352</v>
      </c>
      <c r="H2056" s="383">
        <v>90850</v>
      </c>
      <c r="I2056" s="1046">
        <v>0</v>
      </c>
      <c r="J2056" s="1047"/>
      <c r="K2056" s="383">
        <v>4400</v>
      </c>
      <c r="L2056" s="383">
        <v>95250</v>
      </c>
    </row>
    <row r="2057" spans="2:12">
      <c r="B2057" s="1050"/>
      <c r="C2057" s="1050"/>
      <c r="D2057" s="382" t="s">
        <v>2821</v>
      </c>
      <c r="E2057" s="382" t="s">
        <v>2064</v>
      </c>
      <c r="F2057" s="382" t="s">
        <v>2342</v>
      </c>
      <c r="G2057" s="382" t="s">
        <v>2353</v>
      </c>
      <c r="H2057" s="383">
        <v>9500</v>
      </c>
      <c r="I2057" s="1046">
        <v>0</v>
      </c>
      <c r="J2057" s="1047"/>
      <c r="K2057" s="383">
        <v>315950</v>
      </c>
      <c r="L2057" s="383">
        <v>325450</v>
      </c>
    </row>
    <row r="2058" spans="2:12">
      <c r="B2058" s="1050"/>
      <c r="C2058" s="1050"/>
      <c r="D2058" s="382" t="s">
        <v>2821</v>
      </c>
      <c r="E2058" s="382" t="s">
        <v>2064</v>
      </c>
      <c r="F2058" s="382" t="s">
        <v>2342</v>
      </c>
      <c r="G2058" s="382" t="s">
        <v>405</v>
      </c>
      <c r="H2058" s="383">
        <v>2500</v>
      </c>
      <c r="I2058" s="1046">
        <v>0</v>
      </c>
      <c r="J2058" s="1047"/>
      <c r="K2058" s="383">
        <v>3000</v>
      </c>
      <c r="L2058" s="383">
        <v>5500</v>
      </c>
    </row>
    <row r="2059" spans="2:12">
      <c r="B2059" s="1050"/>
      <c r="C2059" s="1050"/>
      <c r="D2059" s="382" t="s">
        <v>2821</v>
      </c>
      <c r="E2059" s="382" t="s">
        <v>2064</v>
      </c>
      <c r="F2059" s="382" t="s">
        <v>2342</v>
      </c>
      <c r="G2059" s="382" t="s">
        <v>2354</v>
      </c>
      <c r="H2059" s="383">
        <v>0</v>
      </c>
      <c r="I2059" s="1046">
        <v>0</v>
      </c>
      <c r="J2059" s="1047"/>
      <c r="K2059" s="383">
        <v>2050</v>
      </c>
      <c r="L2059" s="383">
        <v>2050</v>
      </c>
    </row>
    <row r="2060" spans="2:12">
      <c r="B2060" s="1050"/>
      <c r="C2060" s="1050"/>
      <c r="D2060" s="382" t="s">
        <v>2822</v>
      </c>
      <c r="E2060" s="382" t="s">
        <v>2065</v>
      </c>
      <c r="F2060" s="382" t="s">
        <v>2342</v>
      </c>
      <c r="G2060" s="382" t="s">
        <v>2343</v>
      </c>
      <c r="H2060" s="383">
        <v>3013931</v>
      </c>
      <c r="I2060" s="1046">
        <v>999940</v>
      </c>
      <c r="J2060" s="1047"/>
      <c r="K2060" s="383">
        <v>3074940</v>
      </c>
      <c r="L2060" s="383">
        <v>5088931</v>
      </c>
    </row>
    <row r="2061" spans="2:12">
      <c r="B2061" s="1050"/>
      <c r="C2061" s="1050"/>
      <c r="D2061" s="382" t="s">
        <v>2823</v>
      </c>
      <c r="E2061" s="382" t="s">
        <v>2066</v>
      </c>
      <c r="F2061" s="382" t="s">
        <v>2342</v>
      </c>
      <c r="G2061" s="382" t="s">
        <v>2343</v>
      </c>
      <c r="H2061" s="383">
        <v>30955</v>
      </c>
      <c r="I2061" s="1046">
        <v>15261</v>
      </c>
      <c r="J2061" s="1047"/>
      <c r="K2061" s="383">
        <v>0</v>
      </c>
      <c r="L2061" s="383">
        <v>15694</v>
      </c>
    </row>
    <row r="2062" spans="2:12">
      <c r="B2062" s="1050"/>
      <c r="C2062" s="1050"/>
      <c r="D2062" s="382" t="s">
        <v>2823</v>
      </c>
      <c r="E2062" s="382" t="s">
        <v>2066</v>
      </c>
      <c r="F2062" s="382" t="s">
        <v>2342</v>
      </c>
      <c r="G2062" s="382" t="s">
        <v>2344</v>
      </c>
      <c r="H2062" s="383">
        <v>62699.93</v>
      </c>
      <c r="I2062" s="1046">
        <v>6800.08</v>
      </c>
      <c r="J2062" s="1047"/>
      <c r="K2062" s="383">
        <v>0</v>
      </c>
      <c r="L2062" s="383">
        <v>55899.85</v>
      </c>
    </row>
    <row r="2063" spans="2:12">
      <c r="B2063" s="1050"/>
      <c r="C2063" s="1050"/>
      <c r="D2063" s="382" t="s">
        <v>2823</v>
      </c>
      <c r="E2063" s="382" t="s">
        <v>2066</v>
      </c>
      <c r="F2063" s="382" t="s">
        <v>2342</v>
      </c>
      <c r="G2063" s="382" t="s">
        <v>2345</v>
      </c>
      <c r="H2063" s="383">
        <v>34980.83</v>
      </c>
      <c r="I2063" s="1046">
        <v>2550</v>
      </c>
      <c r="J2063" s="1047"/>
      <c r="K2063" s="383">
        <v>0</v>
      </c>
      <c r="L2063" s="383">
        <v>32430.83</v>
      </c>
    </row>
    <row r="2064" spans="2:12">
      <c r="B2064" s="1050"/>
      <c r="C2064" s="1050"/>
      <c r="D2064" s="382" t="s">
        <v>2823</v>
      </c>
      <c r="E2064" s="382" t="s">
        <v>2066</v>
      </c>
      <c r="F2064" s="382" t="s">
        <v>2342</v>
      </c>
      <c r="G2064" s="382" t="s">
        <v>2346</v>
      </c>
      <c r="H2064" s="383">
        <v>37045</v>
      </c>
      <c r="I2064" s="1046">
        <v>2850</v>
      </c>
      <c r="J2064" s="1047"/>
      <c r="K2064" s="383">
        <v>0</v>
      </c>
      <c r="L2064" s="383">
        <v>34195</v>
      </c>
    </row>
    <row r="2065" spans="2:12">
      <c r="B2065" s="1050"/>
      <c r="C2065" s="1050"/>
      <c r="D2065" s="382" t="s">
        <v>2823</v>
      </c>
      <c r="E2065" s="382" t="s">
        <v>2066</v>
      </c>
      <c r="F2065" s="382" t="s">
        <v>2342</v>
      </c>
      <c r="G2065" s="382" t="s">
        <v>2347</v>
      </c>
      <c r="H2065" s="383">
        <v>286360.42</v>
      </c>
      <c r="I2065" s="1046">
        <v>30513.66</v>
      </c>
      <c r="J2065" s="1047"/>
      <c r="K2065" s="383">
        <v>0</v>
      </c>
      <c r="L2065" s="383">
        <v>255846.76</v>
      </c>
    </row>
    <row r="2066" spans="2:12">
      <c r="B2066" s="1050"/>
      <c r="C2066" s="1050"/>
      <c r="D2066" s="382" t="s">
        <v>2823</v>
      </c>
      <c r="E2066" s="382" t="s">
        <v>2066</v>
      </c>
      <c r="F2066" s="382" t="s">
        <v>2342</v>
      </c>
      <c r="G2066" s="382" t="s">
        <v>2348</v>
      </c>
      <c r="H2066" s="383">
        <v>227460.35</v>
      </c>
      <c r="I2066" s="1046">
        <v>50609.19</v>
      </c>
      <c r="J2066" s="1047"/>
      <c r="K2066" s="383">
        <v>0</v>
      </c>
      <c r="L2066" s="383">
        <v>176851.16</v>
      </c>
    </row>
    <row r="2067" spans="2:12">
      <c r="B2067" s="1050"/>
      <c r="C2067" s="1050"/>
      <c r="D2067" s="382" t="s">
        <v>2823</v>
      </c>
      <c r="E2067" s="382" t="s">
        <v>2066</v>
      </c>
      <c r="F2067" s="382" t="s">
        <v>2342</v>
      </c>
      <c r="G2067" s="382" t="s">
        <v>2349</v>
      </c>
      <c r="H2067" s="383">
        <v>85645.18</v>
      </c>
      <c r="I2067" s="1046">
        <v>30997</v>
      </c>
      <c r="J2067" s="1047"/>
      <c r="K2067" s="383">
        <v>0</v>
      </c>
      <c r="L2067" s="383">
        <v>54648.18</v>
      </c>
    </row>
    <row r="2068" spans="2:12">
      <c r="B2068" s="1050"/>
      <c r="C2068" s="1050"/>
      <c r="D2068" s="382" t="s">
        <v>2823</v>
      </c>
      <c r="E2068" s="382" t="s">
        <v>2066</v>
      </c>
      <c r="F2068" s="382" t="s">
        <v>2342</v>
      </c>
      <c r="G2068" s="382" t="s">
        <v>2350</v>
      </c>
      <c r="H2068" s="383">
        <v>131485.93</v>
      </c>
      <c r="I2068" s="1046">
        <v>15598.93</v>
      </c>
      <c r="J2068" s="1047"/>
      <c r="K2068" s="383">
        <v>0</v>
      </c>
      <c r="L2068" s="383">
        <v>115887</v>
      </c>
    </row>
    <row r="2069" spans="2:12">
      <c r="B2069" s="1050"/>
      <c r="C2069" s="1050"/>
      <c r="D2069" s="382" t="s">
        <v>2823</v>
      </c>
      <c r="E2069" s="382" t="s">
        <v>2066</v>
      </c>
      <c r="F2069" s="382" t="s">
        <v>2342</v>
      </c>
      <c r="G2069" s="382" t="s">
        <v>2351</v>
      </c>
      <c r="H2069" s="383">
        <v>206602.19</v>
      </c>
      <c r="I2069" s="1046">
        <v>18320.189999999999</v>
      </c>
      <c r="J2069" s="1047"/>
      <c r="K2069" s="383">
        <v>0</v>
      </c>
      <c r="L2069" s="383">
        <v>188282</v>
      </c>
    </row>
    <row r="2070" spans="2:12">
      <c r="B2070" s="1050"/>
      <c r="C2070" s="1050"/>
      <c r="D2070" s="382" t="s">
        <v>2823</v>
      </c>
      <c r="E2070" s="382" t="s">
        <v>2066</v>
      </c>
      <c r="F2070" s="382" t="s">
        <v>2342</v>
      </c>
      <c r="G2070" s="382" t="s">
        <v>2352</v>
      </c>
      <c r="H2070" s="383">
        <v>138412.68</v>
      </c>
      <c r="I2070" s="1046">
        <v>87430</v>
      </c>
      <c r="J2070" s="1047"/>
      <c r="K2070" s="383">
        <v>0</v>
      </c>
      <c r="L2070" s="383">
        <v>50982.68</v>
      </c>
    </row>
    <row r="2071" spans="2:12">
      <c r="B2071" s="1050"/>
      <c r="C2071" s="1050"/>
      <c r="D2071" s="382" t="s">
        <v>2823</v>
      </c>
      <c r="E2071" s="382" t="s">
        <v>2066</v>
      </c>
      <c r="F2071" s="382" t="s">
        <v>2342</v>
      </c>
      <c r="G2071" s="382" t="s">
        <v>2353</v>
      </c>
      <c r="H2071" s="383">
        <v>75820.53</v>
      </c>
      <c r="I2071" s="1046">
        <v>1250.5899999999999</v>
      </c>
      <c r="J2071" s="1047"/>
      <c r="K2071" s="383">
        <v>0</v>
      </c>
      <c r="L2071" s="383">
        <v>74569.94</v>
      </c>
    </row>
    <row r="2072" spans="2:12">
      <c r="B2072" s="1050"/>
      <c r="C2072" s="1050"/>
      <c r="D2072" s="382" t="s">
        <v>2823</v>
      </c>
      <c r="E2072" s="382" t="s">
        <v>2066</v>
      </c>
      <c r="F2072" s="382" t="s">
        <v>2342</v>
      </c>
      <c r="G2072" s="382" t="s">
        <v>405</v>
      </c>
      <c r="H2072" s="383">
        <v>71673.73</v>
      </c>
      <c r="I2072" s="1046">
        <v>9440</v>
      </c>
      <c r="J2072" s="1047"/>
      <c r="K2072" s="383">
        <v>0</v>
      </c>
      <c r="L2072" s="383">
        <v>62233.73</v>
      </c>
    </row>
    <row r="2073" spans="2:12">
      <c r="B2073" s="1050"/>
      <c r="C2073" s="1050"/>
      <c r="D2073" s="382" t="s">
        <v>2824</v>
      </c>
      <c r="E2073" s="382" t="s">
        <v>2067</v>
      </c>
      <c r="F2073" s="382" t="s">
        <v>2342</v>
      </c>
      <c r="G2073" s="382" t="s">
        <v>2343</v>
      </c>
      <c r="H2073" s="383">
        <v>6250</v>
      </c>
      <c r="I2073" s="1046">
        <v>6250</v>
      </c>
      <c r="J2073" s="1047"/>
      <c r="K2073" s="383">
        <v>0</v>
      </c>
      <c r="L2073" s="383">
        <v>0</v>
      </c>
    </row>
    <row r="2074" spans="2:12">
      <c r="B2074" s="1050"/>
      <c r="C2074" s="1050"/>
      <c r="D2074" s="382" t="s">
        <v>2824</v>
      </c>
      <c r="E2074" s="382" t="s">
        <v>2067</v>
      </c>
      <c r="F2074" s="382" t="s">
        <v>2342</v>
      </c>
      <c r="G2074" s="382" t="s">
        <v>2355</v>
      </c>
      <c r="H2074" s="383">
        <v>-1000000</v>
      </c>
      <c r="I2074" s="1046">
        <v>0</v>
      </c>
      <c r="J2074" s="1047"/>
      <c r="K2074" s="383">
        <v>1000000</v>
      </c>
      <c r="L2074" s="383">
        <v>0</v>
      </c>
    </row>
    <row r="2075" spans="2:12">
      <c r="B2075" s="1050"/>
      <c r="C2075" s="1051"/>
      <c r="D2075" s="359" t="s">
        <v>12</v>
      </c>
      <c r="E2075" s="359" t="s">
        <v>111</v>
      </c>
      <c r="F2075" s="359" t="s">
        <v>111</v>
      </c>
      <c r="G2075" s="359" t="s">
        <v>111</v>
      </c>
      <c r="H2075" s="384">
        <f>SUM(H2047:H2074)</f>
        <v>3851779.7700000005</v>
      </c>
      <c r="I2075" s="1048">
        <v>278420.64</v>
      </c>
      <c r="J2075" s="1047"/>
      <c r="K2075" s="384">
        <v>4416181</v>
      </c>
      <c r="L2075" s="384">
        <f>SUM(L2047:L2074)</f>
        <v>7989600.1299999999</v>
      </c>
    </row>
    <row r="2076" spans="2:12">
      <c r="B2076" s="1050"/>
      <c r="C2076" s="1049" t="s">
        <v>2825</v>
      </c>
      <c r="D2076" s="382" t="s">
        <v>2826</v>
      </c>
      <c r="E2076" s="382" t="s">
        <v>2068</v>
      </c>
      <c r="F2076" s="382" t="s">
        <v>2342</v>
      </c>
      <c r="G2076" s="382" t="s">
        <v>2350</v>
      </c>
      <c r="H2076" s="383">
        <v>0</v>
      </c>
      <c r="I2076" s="1046">
        <v>0</v>
      </c>
      <c r="J2076" s="1047"/>
      <c r="K2076" s="383">
        <v>0</v>
      </c>
      <c r="L2076" s="383">
        <v>0</v>
      </c>
    </row>
    <row r="2077" spans="2:12">
      <c r="B2077" s="1050"/>
      <c r="C2077" s="1051"/>
      <c r="D2077" s="359" t="s">
        <v>12</v>
      </c>
      <c r="E2077" s="359" t="s">
        <v>111</v>
      </c>
      <c r="F2077" s="359" t="s">
        <v>111</v>
      </c>
      <c r="G2077" s="359" t="s">
        <v>111</v>
      </c>
      <c r="H2077" s="384">
        <v>0</v>
      </c>
      <c r="I2077" s="1048">
        <v>0</v>
      </c>
      <c r="J2077" s="1047"/>
      <c r="K2077" s="384">
        <v>0</v>
      </c>
      <c r="L2077" s="384">
        <v>0</v>
      </c>
    </row>
    <row r="2078" spans="2:12">
      <c r="B2078" s="1050"/>
      <c r="C2078" s="1049" t="s">
        <v>2827</v>
      </c>
      <c r="D2078" s="382" t="s">
        <v>2828</v>
      </c>
      <c r="E2078" s="382" t="s">
        <v>2069</v>
      </c>
      <c r="F2078" s="382" t="s">
        <v>2342</v>
      </c>
      <c r="G2078" s="382" t="s">
        <v>2355</v>
      </c>
      <c r="H2078" s="383">
        <v>825173.24</v>
      </c>
      <c r="I2078" s="1046">
        <v>1098783.78</v>
      </c>
      <c r="J2078" s="1047"/>
      <c r="K2078" s="383">
        <v>281381</v>
      </c>
      <c r="L2078" s="383">
        <v>7770.46</v>
      </c>
    </row>
    <row r="2079" spans="2:12">
      <c r="B2079" s="1050"/>
      <c r="C2079" s="1050"/>
      <c r="D2079" s="382" t="s">
        <v>2829</v>
      </c>
      <c r="E2079" s="382" t="s">
        <v>2070</v>
      </c>
      <c r="F2079" s="382" t="s">
        <v>2342</v>
      </c>
      <c r="G2079" s="382" t="s">
        <v>2355</v>
      </c>
      <c r="H2079" s="383">
        <v>-5604.84</v>
      </c>
      <c r="I2079" s="1046">
        <v>0</v>
      </c>
      <c r="J2079" s="1047"/>
      <c r="K2079" s="383">
        <v>5604.84</v>
      </c>
      <c r="L2079" s="383">
        <v>0</v>
      </c>
    </row>
    <row r="2080" spans="2:12">
      <c r="B2080" s="1050"/>
      <c r="C2080" s="1050"/>
      <c r="D2080" s="382" t="s">
        <v>2830</v>
      </c>
      <c r="E2080" s="382" t="s">
        <v>2071</v>
      </c>
      <c r="F2080" s="382" t="s">
        <v>2342</v>
      </c>
      <c r="G2080" s="382" t="s">
        <v>2355</v>
      </c>
      <c r="H2080" s="383">
        <v>82150.929999999993</v>
      </c>
      <c r="I2080" s="1046">
        <v>98117.09</v>
      </c>
      <c r="J2080" s="1047"/>
      <c r="K2080" s="383">
        <v>15966.16</v>
      </c>
      <c r="L2080" s="383">
        <v>0</v>
      </c>
    </row>
    <row r="2081" spans="2:12">
      <c r="B2081" s="1050"/>
      <c r="C2081" s="1050"/>
      <c r="D2081" s="382" t="s">
        <v>2831</v>
      </c>
      <c r="E2081" s="382" t="s">
        <v>2072</v>
      </c>
      <c r="F2081" s="382" t="s">
        <v>2342</v>
      </c>
      <c r="G2081" s="382" t="s">
        <v>2355</v>
      </c>
      <c r="H2081" s="383">
        <v>2122006.87</v>
      </c>
      <c r="I2081" s="1046">
        <v>2632256.13</v>
      </c>
      <c r="J2081" s="1047"/>
      <c r="K2081" s="383">
        <v>464318.87</v>
      </c>
      <c r="L2081" s="383">
        <v>-45930.39</v>
      </c>
    </row>
    <row r="2082" spans="2:12">
      <c r="B2082" s="1050"/>
      <c r="C2082" s="1050"/>
      <c r="D2082" s="382" t="s">
        <v>2832</v>
      </c>
      <c r="E2082" s="382" t="s">
        <v>2833</v>
      </c>
      <c r="F2082" s="382" t="s">
        <v>2342</v>
      </c>
      <c r="G2082" s="382" t="s">
        <v>2355</v>
      </c>
      <c r="H2082" s="383">
        <v>0</v>
      </c>
      <c r="I2082" s="1046">
        <v>640000</v>
      </c>
      <c r="J2082" s="1047"/>
      <c r="K2082" s="383">
        <v>1312000</v>
      </c>
      <c r="L2082" s="383">
        <v>672000</v>
      </c>
    </row>
    <row r="2083" spans="2:12">
      <c r="B2083" s="1050"/>
      <c r="C2083" s="1051"/>
      <c r="D2083" s="359" t="s">
        <v>12</v>
      </c>
      <c r="E2083" s="359" t="s">
        <v>111</v>
      </c>
      <c r="F2083" s="359" t="s">
        <v>111</v>
      </c>
      <c r="G2083" s="359" t="s">
        <v>111</v>
      </c>
      <c r="H2083" s="384">
        <v>3023726.2</v>
      </c>
      <c r="I2083" s="1048">
        <v>4469157</v>
      </c>
      <c r="J2083" s="1047"/>
      <c r="K2083" s="384">
        <v>2079270.87</v>
      </c>
      <c r="L2083" s="384">
        <v>633840.06999999995</v>
      </c>
    </row>
    <row r="2084" spans="2:12">
      <c r="B2084" s="1050"/>
      <c r="C2084" s="1049" t="s">
        <v>2834</v>
      </c>
      <c r="D2084" s="382" t="s">
        <v>2835</v>
      </c>
      <c r="E2084" s="382" t="s">
        <v>2836</v>
      </c>
      <c r="F2084" s="382" t="s">
        <v>2342</v>
      </c>
      <c r="G2084" s="382" t="s">
        <v>2355</v>
      </c>
      <c r="H2084" s="383">
        <v>0</v>
      </c>
      <c r="I2084" s="1046">
        <v>4266.67</v>
      </c>
      <c r="J2084" s="1047"/>
      <c r="K2084" s="383">
        <v>7066.67</v>
      </c>
      <c r="L2084" s="383">
        <v>2800</v>
      </c>
    </row>
    <row r="2085" spans="2:12">
      <c r="B2085" s="1050"/>
      <c r="C2085" s="1051"/>
      <c r="D2085" s="359" t="s">
        <v>12</v>
      </c>
      <c r="E2085" s="359" t="s">
        <v>111</v>
      </c>
      <c r="F2085" s="359" t="s">
        <v>111</v>
      </c>
      <c r="G2085" s="359" t="s">
        <v>111</v>
      </c>
      <c r="H2085" s="384">
        <v>0</v>
      </c>
      <c r="I2085" s="1048">
        <v>4266.67</v>
      </c>
      <c r="J2085" s="1047"/>
      <c r="K2085" s="384">
        <v>7066.67</v>
      </c>
      <c r="L2085" s="384">
        <v>2800</v>
      </c>
    </row>
    <row r="2086" spans="2:12">
      <c r="B2086" s="1050"/>
      <c r="C2086" s="1049" t="s">
        <v>2837</v>
      </c>
      <c r="D2086" s="382" t="s">
        <v>2838</v>
      </c>
      <c r="E2086" s="382" t="s">
        <v>2073</v>
      </c>
      <c r="F2086" s="382" t="s">
        <v>2342</v>
      </c>
      <c r="G2086" s="382" t="s">
        <v>2355</v>
      </c>
      <c r="H2086" s="383">
        <v>0</v>
      </c>
      <c r="I2086" s="1046">
        <v>0</v>
      </c>
      <c r="J2086" s="1047"/>
      <c r="K2086" s="383">
        <v>0</v>
      </c>
      <c r="L2086" s="383">
        <v>0</v>
      </c>
    </row>
    <row r="2087" spans="2:12">
      <c r="B2087" s="1050"/>
      <c r="C2087" s="1050"/>
      <c r="D2087" s="382" t="s">
        <v>2839</v>
      </c>
      <c r="E2087" s="382" t="s">
        <v>2074</v>
      </c>
      <c r="F2087" s="382" t="s">
        <v>2342</v>
      </c>
      <c r="G2087" s="382" t="s">
        <v>2355</v>
      </c>
      <c r="H2087" s="383">
        <v>0</v>
      </c>
      <c r="I2087" s="1046">
        <v>0</v>
      </c>
      <c r="J2087" s="1047"/>
      <c r="K2087" s="383">
        <v>0</v>
      </c>
      <c r="L2087" s="383">
        <v>0</v>
      </c>
    </row>
    <row r="2088" spans="2:12">
      <c r="B2088" s="1050"/>
      <c r="C2088" s="1050"/>
      <c r="D2088" s="382" t="s">
        <v>2840</v>
      </c>
      <c r="E2088" s="382" t="s">
        <v>2075</v>
      </c>
      <c r="F2088" s="382" t="s">
        <v>2342</v>
      </c>
      <c r="G2088" s="382" t="s">
        <v>2355</v>
      </c>
      <c r="H2088" s="383">
        <v>5462100</v>
      </c>
      <c r="I2088" s="1046">
        <v>0</v>
      </c>
      <c r="J2088" s="1047"/>
      <c r="K2088" s="383">
        <v>0</v>
      </c>
      <c r="L2088" s="383">
        <v>5462100</v>
      </c>
    </row>
    <row r="2089" spans="2:12">
      <c r="B2089" s="1050"/>
      <c r="C2089" s="1050"/>
      <c r="D2089" s="382" t="s">
        <v>2841</v>
      </c>
      <c r="E2089" s="382" t="s">
        <v>2076</v>
      </c>
      <c r="F2089" s="382" t="s">
        <v>2342</v>
      </c>
      <c r="G2089" s="382" t="s">
        <v>2355</v>
      </c>
      <c r="H2089" s="383">
        <v>5300000</v>
      </c>
      <c r="I2089" s="1046">
        <v>0</v>
      </c>
      <c r="J2089" s="1047"/>
      <c r="K2089" s="383">
        <v>0</v>
      </c>
      <c r="L2089" s="383">
        <v>5300000</v>
      </c>
    </row>
    <row r="2090" spans="2:12">
      <c r="B2090" s="1050"/>
      <c r="C2090" s="1050"/>
      <c r="D2090" s="382" t="s">
        <v>2842</v>
      </c>
      <c r="E2090" s="382" t="s">
        <v>2077</v>
      </c>
      <c r="F2090" s="382" t="s">
        <v>2342</v>
      </c>
      <c r="G2090" s="382" t="s">
        <v>2355</v>
      </c>
      <c r="H2090" s="383">
        <v>0</v>
      </c>
      <c r="I2090" s="1046">
        <v>0</v>
      </c>
      <c r="J2090" s="1047"/>
      <c r="K2090" s="383">
        <v>0</v>
      </c>
      <c r="L2090" s="383">
        <v>0</v>
      </c>
    </row>
    <row r="2091" spans="2:12">
      <c r="B2091" s="1050"/>
      <c r="C2091" s="1050"/>
      <c r="D2091" s="382" t="s">
        <v>2843</v>
      </c>
      <c r="E2091" s="382" t="s">
        <v>2078</v>
      </c>
      <c r="F2091" s="382" t="s">
        <v>2342</v>
      </c>
      <c r="G2091" s="382" t="s">
        <v>2355</v>
      </c>
      <c r="H2091" s="383">
        <v>5378900</v>
      </c>
      <c r="I2091" s="1046">
        <v>0</v>
      </c>
      <c r="J2091" s="1047"/>
      <c r="K2091" s="383">
        <v>0</v>
      </c>
      <c r="L2091" s="383">
        <v>5378900</v>
      </c>
    </row>
    <row r="2092" spans="2:12">
      <c r="B2092" s="1050"/>
      <c r="C2092" s="1050"/>
      <c r="D2092" s="382" t="s">
        <v>2844</v>
      </c>
      <c r="E2092" s="382" t="s">
        <v>2079</v>
      </c>
      <c r="F2092" s="382" t="s">
        <v>2342</v>
      </c>
      <c r="G2092" s="382" t="s">
        <v>2355</v>
      </c>
      <c r="H2092" s="383">
        <v>2682500</v>
      </c>
      <c r="I2092" s="1046">
        <v>0</v>
      </c>
      <c r="J2092" s="1047"/>
      <c r="K2092" s="383">
        <v>0</v>
      </c>
      <c r="L2092" s="383">
        <v>2682500</v>
      </c>
    </row>
    <row r="2093" spans="2:12">
      <c r="B2093" s="1050"/>
      <c r="C2093" s="1050"/>
      <c r="D2093" s="382" t="s">
        <v>2845</v>
      </c>
      <c r="E2093" s="382" t="s">
        <v>2080</v>
      </c>
      <c r="F2093" s="382" t="s">
        <v>2342</v>
      </c>
      <c r="G2093" s="382" t="s">
        <v>2355</v>
      </c>
      <c r="H2093" s="383">
        <v>2181520</v>
      </c>
      <c r="I2093" s="1046">
        <v>0</v>
      </c>
      <c r="J2093" s="1047"/>
      <c r="K2093" s="383">
        <v>0</v>
      </c>
      <c r="L2093" s="383">
        <v>2181520</v>
      </c>
    </row>
    <row r="2094" spans="2:12">
      <c r="B2094" s="1050"/>
      <c r="C2094" s="1050"/>
      <c r="D2094" s="382" t="s">
        <v>2846</v>
      </c>
      <c r="E2094" s="382" t="s">
        <v>2081</v>
      </c>
      <c r="F2094" s="382" t="s">
        <v>2342</v>
      </c>
      <c r="G2094" s="382" t="s">
        <v>2355</v>
      </c>
      <c r="H2094" s="383">
        <v>2757500</v>
      </c>
      <c r="I2094" s="1046">
        <v>0</v>
      </c>
      <c r="J2094" s="1047"/>
      <c r="K2094" s="383">
        <v>0</v>
      </c>
      <c r="L2094" s="383">
        <v>2757500</v>
      </c>
    </row>
    <row r="2095" spans="2:12">
      <c r="B2095" s="1050"/>
      <c r="C2095" s="1050"/>
      <c r="D2095" s="382" t="s">
        <v>2847</v>
      </c>
      <c r="E2095" s="382" t="s">
        <v>2082</v>
      </c>
      <c r="F2095" s="382" t="s">
        <v>2342</v>
      </c>
      <c r="G2095" s="382" t="s">
        <v>2355</v>
      </c>
      <c r="H2095" s="383">
        <v>2159000</v>
      </c>
      <c r="I2095" s="1046">
        <v>0</v>
      </c>
      <c r="J2095" s="1047"/>
      <c r="K2095" s="383">
        <v>0</v>
      </c>
      <c r="L2095" s="383">
        <v>2159000</v>
      </c>
    </row>
    <row r="2096" spans="2:12">
      <c r="B2096" s="1050"/>
      <c r="C2096" s="1050"/>
      <c r="D2096" s="382" t="s">
        <v>2848</v>
      </c>
      <c r="E2096" s="382" t="s">
        <v>2083</v>
      </c>
      <c r="F2096" s="382" t="s">
        <v>2342</v>
      </c>
      <c r="G2096" s="382" t="s">
        <v>2355</v>
      </c>
      <c r="H2096" s="383">
        <v>3238500</v>
      </c>
      <c r="I2096" s="1046">
        <v>0</v>
      </c>
      <c r="J2096" s="1047"/>
      <c r="K2096" s="383">
        <v>0</v>
      </c>
      <c r="L2096" s="383">
        <v>3238500</v>
      </c>
    </row>
    <row r="2097" spans="2:12">
      <c r="B2097" s="1050"/>
      <c r="C2097" s="1050"/>
      <c r="D2097" s="382" t="s">
        <v>2849</v>
      </c>
      <c r="E2097" s="382" t="s">
        <v>2084</v>
      </c>
      <c r="F2097" s="382" t="s">
        <v>2342</v>
      </c>
      <c r="G2097" s="382" t="s">
        <v>2355</v>
      </c>
      <c r="H2097" s="383">
        <v>3675831.05</v>
      </c>
      <c r="I2097" s="1046">
        <v>0</v>
      </c>
      <c r="J2097" s="1047"/>
      <c r="K2097" s="383">
        <v>13211.95</v>
      </c>
      <c r="L2097" s="383">
        <v>3689043</v>
      </c>
    </row>
    <row r="2098" spans="2:12">
      <c r="B2098" s="1050"/>
      <c r="C2098" s="1050"/>
      <c r="D2098" s="382" t="s">
        <v>2850</v>
      </c>
      <c r="E2098" s="382" t="s">
        <v>2085</v>
      </c>
      <c r="F2098" s="382" t="s">
        <v>2342</v>
      </c>
      <c r="G2098" s="382" t="s">
        <v>2355</v>
      </c>
      <c r="H2098" s="383">
        <v>5600000</v>
      </c>
      <c r="I2098" s="1046">
        <v>0</v>
      </c>
      <c r="J2098" s="1047"/>
      <c r="K2098" s="383">
        <v>0</v>
      </c>
      <c r="L2098" s="383">
        <v>5600000</v>
      </c>
    </row>
    <row r="2099" spans="2:12">
      <c r="B2099" s="1050"/>
      <c r="C2099" s="1050"/>
      <c r="D2099" s="382" t="s">
        <v>2851</v>
      </c>
      <c r="E2099" s="382" t="s">
        <v>2086</v>
      </c>
      <c r="F2099" s="382" t="s">
        <v>2342</v>
      </c>
      <c r="G2099" s="382" t="s">
        <v>2355</v>
      </c>
      <c r="H2099" s="383">
        <v>11687980</v>
      </c>
      <c r="I2099" s="1046">
        <v>11572800</v>
      </c>
      <c r="J2099" s="1047"/>
      <c r="K2099" s="383">
        <v>11457620</v>
      </c>
      <c r="L2099" s="383">
        <v>11572800</v>
      </c>
    </row>
    <row r="2100" spans="2:12">
      <c r="B2100" s="1050"/>
      <c r="C2100" s="1050"/>
      <c r="D2100" s="382" t="s">
        <v>2852</v>
      </c>
      <c r="E2100" s="382" t="s">
        <v>2087</v>
      </c>
      <c r="F2100" s="382" t="s">
        <v>2342</v>
      </c>
      <c r="G2100" s="382" t="s">
        <v>2355</v>
      </c>
      <c r="H2100" s="383">
        <v>4519350</v>
      </c>
      <c r="I2100" s="1046">
        <v>0</v>
      </c>
      <c r="J2100" s="1047"/>
      <c r="K2100" s="383">
        <v>0</v>
      </c>
      <c r="L2100" s="383">
        <v>4519350</v>
      </c>
    </row>
    <row r="2101" spans="2:12">
      <c r="B2101" s="1050"/>
      <c r="C2101" s="1050"/>
      <c r="D2101" s="382" t="s">
        <v>2853</v>
      </c>
      <c r="E2101" s="382" t="s">
        <v>2088</v>
      </c>
      <c r="F2101" s="382" t="s">
        <v>2342</v>
      </c>
      <c r="G2101" s="382" t="s">
        <v>2355</v>
      </c>
      <c r="H2101" s="383">
        <v>6089700</v>
      </c>
      <c r="I2101" s="1046">
        <v>0</v>
      </c>
      <c r="J2101" s="1047"/>
      <c r="K2101" s="383">
        <v>0</v>
      </c>
      <c r="L2101" s="383">
        <v>6089700</v>
      </c>
    </row>
    <row r="2102" spans="2:12">
      <c r="B2102" s="1050"/>
      <c r="C2102" s="1050"/>
      <c r="D2102" s="382" t="s">
        <v>2854</v>
      </c>
      <c r="E2102" s="382" t="s">
        <v>2089</v>
      </c>
      <c r="F2102" s="382" t="s">
        <v>2342</v>
      </c>
      <c r="G2102" s="382" t="s">
        <v>2355</v>
      </c>
      <c r="H2102" s="383">
        <v>6185000</v>
      </c>
      <c r="I2102" s="1046">
        <v>0</v>
      </c>
      <c r="J2102" s="1047"/>
      <c r="K2102" s="383">
        <v>0</v>
      </c>
      <c r="L2102" s="383">
        <v>6185000</v>
      </c>
    </row>
    <row r="2103" spans="2:12">
      <c r="B2103" s="1050"/>
      <c r="C2103" s="1050"/>
      <c r="D2103" s="382" t="s">
        <v>2855</v>
      </c>
      <c r="E2103" s="382" t="s">
        <v>2090</v>
      </c>
      <c r="F2103" s="382" t="s">
        <v>2342</v>
      </c>
      <c r="G2103" s="382" t="s">
        <v>2355</v>
      </c>
      <c r="H2103" s="383">
        <v>0</v>
      </c>
      <c r="I2103" s="1046">
        <v>0</v>
      </c>
      <c r="J2103" s="1047"/>
      <c r="K2103" s="383">
        <v>6318300</v>
      </c>
      <c r="L2103" s="383">
        <v>6318300</v>
      </c>
    </row>
    <row r="2104" spans="2:12">
      <c r="B2104" s="1050"/>
      <c r="C2104" s="1051"/>
      <c r="D2104" s="359" t="s">
        <v>12</v>
      </c>
      <c r="E2104" s="359" t="s">
        <v>111</v>
      </c>
      <c r="F2104" s="359" t="s">
        <v>111</v>
      </c>
      <c r="G2104" s="359" t="s">
        <v>111</v>
      </c>
      <c r="H2104" s="384">
        <v>66917881.049999997</v>
      </c>
      <c r="I2104" s="1048">
        <v>11572800</v>
      </c>
      <c r="J2104" s="1047"/>
      <c r="K2104" s="384">
        <v>17789131.949999999</v>
      </c>
      <c r="L2104" s="384">
        <v>73134213</v>
      </c>
    </row>
    <row r="2105" spans="2:12">
      <c r="B2105" s="1050"/>
      <c r="C2105" s="1049" t="s">
        <v>2856</v>
      </c>
      <c r="D2105" s="382" t="s">
        <v>2857</v>
      </c>
      <c r="E2105" s="382" t="s">
        <v>2091</v>
      </c>
      <c r="F2105" s="382" t="s">
        <v>2342</v>
      </c>
      <c r="G2105" s="382" t="s">
        <v>2355</v>
      </c>
      <c r="H2105" s="383">
        <v>0</v>
      </c>
      <c r="I2105" s="1046">
        <v>0</v>
      </c>
      <c r="J2105" s="1047"/>
      <c r="K2105" s="383">
        <v>0</v>
      </c>
      <c r="L2105" s="383">
        <v>0</v>
      </c>
    </row>
    <row r="2106" spans="2:12">
      <c r="B2106" s="1050"/>
      <c r="C2106" s="1050"/>
      <c r="D2106" s="382" t="s">
        <v>2858</v>
      </c>
      <c r="E2106" s="382" t="s">
        <v>2092</v>
      </c>
      <c r="F2106" s="382" t="s">
        <v>2342</v>
      </c>
      <c r="G2106" s="382" t="s">
        <v>2355</v>
      </c>
      <c r="H2106" s="383">
        <v>381172.97</v>
      </c>
      <c r="I2106" s="1046">
        <v>459283.1</v>
      </c>
      <c r="J2106" s="1047"/>
      <c r="K2106" s="383">
        <v>83075.350000000006</v>
      </c>
      <c r="L2106" s="383">
        <v>4965.22</v>
      </c>
    </row>
    <row r="2107" spans="2:12">
      <c r="B2107" s="1050"/>
      <c r="C2107" s="1050"/>
      <c r="D2107" s="382" t="s">
        <v>2859</v>
      </c>
      <c r="E2107" s="382" t="s">
        <v>2093</v>
      </c>
      <c r="F2107" s="382" t="s">
        <v>2342</v>
      </c>
      <c r="G2107" s="382" t="s">
        <v>2355</v>
      </c>
      <c r="H2107" s="383">
        <v>143417.25</v>
      </c>
      <c r="I2107" s="1046">
        <v>0</v>
      </c>
      <c r="J2107" s="1047"/>
      <c r="K2107" s="383">
        <v>77004.899999999994</v>
      </c>
      <c r="L2107" s="383">
        <v>220422.15</v>
      </c>
    </row>
    <row r="2108" spans="2:12">
      <c r="B2108" s="1050"/>
      <c r="C2108" s="1050"/>
      <c r="D2108" s="382" t="s">
        <v>2860</v>
      </c>
      <c r="E2108" s="382" t="s">
        <v>2094</v>
      </c>
      <c r="F2108" s="382" t="s">
        <v>2342</v>
      </c>
      <c r="G2108" s="382" t="s">
        <v>2355</v>
      </c>
      <c r="H2108" s="383">
        <v>0</v>
      </c>
      <c r="I2108" s="1046">
        <v>0</v>
      </c>
      <c r="J2108" s="1047"/>
      <c r="K2108" s="383">
        <v>0</v>
      </c>
      <c r="L2108" s="383">
        <v>0</v>
      </c>
    </row>
    <row r="2109" spans="2:12">
      <c r="B2109" s="1050"/>
      <c r="C2109" s="1050"/>
      <c r="D2109" s="382" t="s">
        <v>2861</v>
      </c>
      <c r="E2109" s="382" t="s">
        <v>2095</v>
      </c>
      <c r="F2109" s="382" t="s">
        <v>2342</v>
      </c>
      <c r="G2109" s="382" t="s">
        <v>2355</v>
      </c>
      <c r="H2109" s="383">
        <v>187370.52</v>
      </c>
      <c r="I2109" s="1046">
        <v>12122.56</v>
      </c>
      <c r="J2109" s="1047"/>
      <c r="K2109" s="383">
        <v>80890.48</v>
      </c>
      <c r="L2109" s="383">
        <v>256138.44</v>
      </c>
    </row>
    <row r="2110" spans="2:12">
      <c r="B2110" s="1050"/>
      <c r="C2110" s="1050"/>
      <c r="D2110" s="382" t="s">
        <v>2862</v>
      </c>
      <c r="E2110" s="382" t="s">
        <v>2096</v>
      </c>
      <c r="F2110" s="382" t="s">
        <v>2342</v>
      </c>
      <c r="G2110" s="382" t="s">
        <v>2355</v>
      </c>
      <c r="H2110" s="383">
        <v>49404.05</v>
      </c>
      <c r="I2110" s="1046">
        <v>0</v>
      </c>
      <c r="J2110" s="1047"/>
      <c r="K2110" s="383">
        <v>38581.72</v>
      </c>
      <c r="L2110" s="383">
        <v>87985.77</v>
      </c>
    </row>
    <row r="2111" spans="2:12">
      <c r="B2111" s="1050"/>
      <c r="C2111" s="1050"/>
      <c r="D2111" s="382" t="s">
        <v>2863</v>
      </c>
      <c r="E2111" s="382" t="s">
        <v>2097</v>
      </c>
      <c r="F2111" s="382" t="s">
        <v>2342</v>
      </c>
      <c r="G2111" s="382" t="s">
        <v>2355</v>
      </c>
      <c r="H2111" s="383">
        <v>161522.13</v>
      </c>
      <c r="I2111" s="1046">
        <v>183342.71</v>
      </c>
      <c r="J2111" s="1047"/>
      <c r="K2111" s="383">
        <v>30713.98</v>
      </c>
      <c r="L2111" s="383">
        <v>8893.4</v>
      </c>
    </row>
    <row r="2112" spans="2:12">
      <c r="B2112" s="1050"/>
      <c r="C2112" s="1050"/>
      <c r="D2112" s="382" t="s">
        <v>2864</v>
      </c>
      <c r="E2112" s="382" t="s">
        <v>2098</v>
      </c>
      <c r="F2112" s="382" t="s">
        <v>2342</v>
      </c>
      <c r="G2112" s="382" t="s">
        <v>2355</v>
      </c>
      <c r="H2112" s="383">
        <v>188664.19</v>
      </c>
      <c r="I2112" s="1046">
        <v>233506.63</v>
      </c>
      <c r="J2112" s="1047"/>
      <c r="K2112" s="383">
        <v>47408.44</v>
      </c>
      <c r="L2112" s="383">
        <v>2566</v>
      </c>
    </row>
    <row r="2113" spans="2:12">
      <c r="B2113" s="1050"/>
      <c r="C2113" s="1050"/>
      <c r="D2113" s="382" t="s">
        <v>2865</v>
      </c>
      <c r="E2113" s="382" t="s">
        <v>2099</v>
      </c>
      <c r="F2113" s="382" t="s">
        <v>2342</v>
      </c>
      <c r="G2113" s="382" t="s">
        <v>2355</v>
      </c>
      <c r="H2113" s="383">
        <v>101438.08</v>
      </c>
      <c r="I2113" s="1046">
        <v>0</v>
      </c>
      <c r="J2113" s="1047"/>
      <c r="K2113" s="383">
        <v>31555.53</v>
      </c>
      <c r="L2113" s="383">
        <v>132993.60999999999</v>
      </c>
    </row>
    <row r="2114" spans="2:12">
      <c r="B2114" s="1050"/>
      <c r="C2114" s="1050"/>
      <c r="D2114" s="382" t="s">
        <v>2866</v>
      </c>
      <c r="E2114" s="382" t="s">
        <v>2100</v>
      </c>
      <c r="F2114" s="382" t="s">
        <v>2342</v>
      </c>
      <c r="G2114" s="382" t="s">
        <v>2355</v>
      </c>
      <c r="H2114" s="383">
        <v>152156.54</v>
      </c>
      <c r="I2114" s="1046">
        <v>0</v>
      </c>
      <c r="J2114" s="1047"/>
      <c r="K2114" s="383">
        <v>47334.3</v>
      </c>
      <c r="L2114" s="383">
        <v>199490.84</v>
      </c>
    </row>
    <row r="2115" spans="2:12">
      <c r="B2115" s="1050"/>
      <c r="C2115" s="1050"/>
      <c r="D2115" s="382" t="s">
        <v>2867</v>
      </c>
      <c r="E2115" s="382" t="s">
        <v>2101</v>
      </c>
      <c r="F2115" s="382" t="s">
        <v>2342</v>
      </c>
      <c r="G2115" s="382" t="s">
        <v>2355</v>
      </c>
      <c r="H2115" s="383">
        <v>-0.01</v>
      </c>
      <c r="I2115" s="1046">
        <v>0</v>
      </c>
      <c r="J2115" s="1047"/>
      <c r="K2115" s="383">
        <v>0.01</v>
      </c>
      <c r="L2115" s="383">
        <v>0</v>
      </c>
    </row>
    <row r="2116" spans="2:12">
      <c r="B2116" s="1050"/>
      <c r="C2116" s="1050"/>
      <c r="D2116" s="382" t="s">
        <v>2868</v>
      </c>
      <c r="E2116" s="382" t="s">
        <v>2102</v>
      </c>
      <c r="F2116" s="382" t="s">
        <v>2342</v>
      </c>
      <c r="G2116" s="382" t="s">
        <v>2355</v>
      </c>
      <c r="H2116" s="383">
        <v>69395.210000000006</v>
      </c>
      <c r="I2116" s="1046">
        <v>33936.57</v>
      </c>
      <c r="J2116" s="1047"/>
      <c r="K2116" s="383">
        <v>54431.3</v>
      </c>
      <c r="L2116" s="383">
        <v>89889.94</v>
      </c>
    </row>
    <row r="2117" spans="2:12">
      <c r="B2117" s="1050"/>
      <c r="C2117" s="1050"/>
      <c r="D2117" s="382" t="s">
        <v>2869</v>
      </c>
      <c r="E2117" s="382" t="s">
        <v>2103</v>
      </c>
      <c r="F2117" s="382" t="s">
        <v>2342</v>
      </c>
      <c r="G2117" s="382" t="s">
        <v>2355</v>
      </c>
      <c r="H2117" s="383">
        <v>200950.19</v>
      </c>
      <c r="I2117" s="1046">
        <v>46528.27</v>
      </c>
      <c r="J2117" s="1047"/>
      <c r="K2117" s="383">
        <v>78476.710000000006</v>
      </c>
      <c r="L2117" s="383">
        <v>232898.63</v>
      </c>
    </row>
    <row r="2118" spans="2:12">
      <c r="B2118" s="1050"/>
      <c r="C2118" s="1050"/>
      <c r="D2118" s="382" t="s">
        <v>2870</v>
      </c>
      <c r="E2118" s="382" t="s">
        <v>2104</v>
      </c>
      <c r="F2118" s="382" t="s">
        <v>2342</v>
      </c>
      <c r="G2118" s="382" t="s">
        <v>2355</v>
      </c>
      <c r="H2118" s="383">
        <v>553544.55000000005</v>
      </c>
      <c r="I2118" s="1046">
        <v>0</v>
      </c>
      <c r="J2118" s="1047"/>
      <c r="K2118" s="383">
        <v>195794.59</v>
      </c>
      <c r="L2118" s="383">
        <v>749339.14</v>
      </c>
    </row>
    <row r="2119" spans="2:12">
      <c r="B2119" s="1050"/>
      <c r="C2119" s="1050"/>
      <c r="D2119" s="382" t="s">
        <v>2871</v>
      </c>
      <c r="E2119" s="382" t="s">
        <v>2092</v>
      </c>
      <c r="F2119" s="382" t="s">
        <v>2342</v>
      </c>
      <c r="G2119" s="382" t="s">
        <v>2355</v>
      </c>
      <c r="H2119" s="383">
        <v>173586.64</v>
      </c>
      <c r="I2119" s="1046">
        <v>8630.36</v>
      </c>
      <c r="J2119" s="1047"/>
      <c r="K2119" s="383">
        <v>70049.94</v>
      </c>
      <c r="L2119" s="383">
        <v>235006.22</v>
      </c>
    </row>
    <row r="2120" spans="2:12">
      <c r="B2120" s="1050"/>
      <c r="C2120" s="1050"/>
      <c r="D2120" s="382" t="s">
        <v>2872</v>
      </c>
      <c r="E2120" s="382" t="s">
        <v>2105</v>
      </c>
      <c r="F2120" s="382" t="s">
        <v>2342</v>
      </c>
      <c r="G2120" s="382" t="s">
        <v>2355</v>
      </c>
      <c r="H2120" s="383">
        <v>0</v>
      </c>
      <c r="I2120" s="1046">
        <v>0</v>
      </c>
      <c r="J2120" s="1047"/>
      <c r="K2120" s="383">
        <v>0</v>
      </c>
      <c r="L2120" s="383">
        <v>0</v>
      </c>
    </row>
    <row r="2121" spans="2:12">
      <c r="B2121" s="1050"/>
      <c r="C2121" s="1050"/>
      <c r="D2121" s="382" t="s">
        <v>2873</v>
      </c>
      <c r="E2121" s="382" t="s">
        <v>2106</v>
      </c>
      <c r="F2121" s="382" t="s">
        <v>2342</v>
      </c>
      <c r="G2121" s="382" t="s">
        <v>2355</v>
      </c>
      <c r="H2121" s="383">
        <v>218768.02</v>
      </c>
      <c r="I2121" s="1046">
        <v>261903.4</v>
      </c>
      <c r="J2121" s="1047"/>
      <c r="K2121" s="383">
        <v>89146.44</v>
      </c>
      <c r="L2121" s="383">
        <v>46011.06</v>
      </c>
    </row>
    <row r="2122" spans="2:12">
      <c r="B2122" s="1050"/>
      <c r="C2122" s="1050"/>
      <c r="D2122" s="382" t="s">
        <v>2874</v>
      </c>
      <c r="E2122" s="382" t="s">
        <v>2107</v>
      </c>
      <c r="F2122" s="382" t="s">
        <v>2342</v>
      </c>
      <c r="G2122" s="382" t="s">
        <v>2355</v>
      </c>
      <c r="H2122" s="383">
        <v>131410.07</v>
      </c>
      <c r="I2122" s="1046">
        <v>0</v>
      </c>
      <c r="J2122" s="1047"/>
      <c r="K2122" s="383">
        <v>89470.68</v>
      </c>
      <c r="L2122" s="383">
        <v>220880.75</v>
      </c>
    </row>
    <row r="2123" spans="2:12">
      <c r="B2123" s="1050"/>
      <c r="C2123" s="1050"/>
      <c r="D2123" s="382" t="s">
        <v>2875</v>
      </c>
      <c r="E2123" s="382" t="s">
        <v>2108</v>
      </c>
      <c r="F2123" s="382" t="s">
        <v>2342</v>
      </c>
      <c r="G2123" s="382" t="s">
        <v>2355</v>
      </c>
      <c r="H2123" s="383">
        <v>0</v>
      </c>
      <c r="I2123" s="1046">
        <v>10274.25</v>
      </c>
      <c r="J2123" s="1047"/>
      <c r="K2123" s="383">
        <v>117422.09</v>
      </c>
      <c r="L2123" s="383">
        <v>107147.84</v>
      </c>
    </row>
    <row r="2124" spans="2:12">
      <c r="B2124" s="1050"/>
      <c r="C2124" s="1051"/>
      <c r="D2124" s="359" t="s">
        <v>12</v>
      </c>
      <c r="E2124" s="359" t="s">
        <v>111</v>
      </c>
      <c r="F2124" s="359" t="s">
        <v>111</v>
      </c>
      <c r="G2124" s="359" t="s">
        <v>111</v>
      </c>
      <c r="H2124" s="384">
        <v>2712800.4</v>
      </c>
      <c r="I2124" s="1048">
        <v>1249527.8500000001</v>
      </c>
      <c r="J2124" s="1047"/>
      <c r="K2124" s="384">
        <v>1131356.46</v>
      </c>
      <c r="L2124" s="384">
        <v>2594629.0099999998</v>
      </c>
    </row>
    <row r="2125" spans="2:12">
      <c r="B2125" s="1050"/>
      <c r="C2125" s="1049" t="s">
        <v>2876</v>
      </c>
      <c r="D2125" s="382" t="s">
        <v>2877</v>
      </c>
      <c r="E2125" s="382" t="s">
        <v>1967</v>
      </c>
      <c r="F2125" s="382" t="s">
        <v>2342</v>
      </c>
      <c r="G2125" s="382" t="s">
        <v>2343</v>
      </c>
      <c r="H2125" s="383">
        <v>2842.44</v>
      </c>
      <c r="I2125" s="1046">
        <v>5429.92</v>
      </c>
      <c r="J2125" s="1047"/>
      <c r="K2125" s="383">
        <v>2587.48</v>
      </c>
      <c r="L2125" s="383">
        <v>0</v>
      </c>
    </row>
    <row r="2126" spans="2:12">
      <c r="B2126" s="1050"/>
      <c r="C2126" s="1050"/>
      <c r="D2126" s="382" t="s">
        <v>2877</v>
      </c>
      <c r="E2126" s="382" t="s">
        <v>1967</v>
      </c>
      <c r="F2126" s="382" t="s">
        <v>2342</v>
      </c>
      <c r="G2126" s="382" t="s">
        <v>2344</v>
      </c>
      <c r="H2126" s="383">
        <v>1340.35</v>
      </c>
      <c r="I2126" s="1046">
        <v>2695.28</v>
      </c>
      <c r="J2126" s="1047"/>
      <c r="K2126" s="383">
        <v>1354.93</v>
      </c>
      <c r="L2126" s="383">
        <v>0</v>
      </c>
    </row>
    <row r="2127" spans="2:12">
      <c r="B2127" s="1050"/>
      <c r="C2127" s="1050"/>
      <c r="D2127" s="382" t="s">
        <v>2877</v>
      </c>
      <c r="E2127" s="382" t="s">
        <v>1967</v>
      </c>
      <c r="F2127" s="382" t="s">
        <v>2342</v>
      </c>
      <c r="G2127" s="382" t="s">
        <v>2345</v>
      </c>
      <c r="H2127" s="383">
        <v>1511.73</v>
      </c>
      <c r="I2127" s="1046">
        <v>2798.66</v>
      </c>
      <c r="J2127" s="1047"/>
      <c r="K2127" s="383">
        <v>1286.93</v>
      </c>
      <c r="L2127" s="383">
        <v>0</v>
      </c>
    </row>
    <row r="2128" spans="2:12">
      <c r="B2128" s="1050"/>
      <c r="C2128" s="1050"/>
      <c r="D2128" s="382" t="s">
        <v>2877</v>
      </c>
      <c r="E2128" s="382" t="s">
        <v>1967</v>
      </c>
      <c r="F2128" s="382" t="s">
        <v>2342</v>
      </c>
      <c r="G2128" s="382" t="s">
        <v>2346</v>
      </c>
      <c r="H2128" s="383">
        <v>296.17</v>
      </c>
      <c r="I2128" s="1046">
        <v>612.09</v>
      </c>
      <c r="J2128" s="1047"/>
      <c r="K2128" s="383">
        <v>315.92</v>
      </c>
      <c r="L2128" s="383">
        <v>0</v>
      </c>
    </row>
    <row r="2129" spans="2:12">
      <c r="B2129" s="1050"/>
      <c r="C2129" s="1050"/>
      <c r="D2129" s="382" t="s">
        <v>2877</v>
      </c>
      <c r="E2129" s="382" t="s">
        <v>1967</v>
      </c>
      <c r="F2129" s="382" t="s">
        <v>2342</v>
      </c>
      <c r="G2129" s="382" t="s">
        <v>2347</v>
      </c>
      <c r="H2129" s="383">
        <v>2881.43</v>
      </c>
      <c r="I2129" s="1046">
        <v>5619.8</v>
      </c>
      <c r="J2129" s="1047"/>
      <c r="K2129" s="383">
        <v>2738.37</v>
      </c>
      <c r="L2129" s="383">
        <v>0</v>
      </c>
    </row>
    <row r="2130" spans="2:12">
      <c r="B2130" s="1050"/>
      <c r="C2130" s="1050"/>
      <c r="D2130" s="382" t="s">
        <v>2877</v>
      </c>
      <c r="E2130" s="382" t="s">
        <v>1967</v>
      </c>
      <c r="F2130" s="382" t="s">
        <v>2342</v>
      </c>
      <c r="G2130" s="382" t="s">
        <v>2348</v>
      </c>
      <c r="H2130" s="383">
        <v>2272.1799999999998</v>
      </c>
      <c r="I2130" s="1046">
        <v>4809.1400000000003</v>
      </c>
      <c r="J2130" s="1047"/>
      <c r="K2130" s="383">
        <v>2536.96</v>
      </c>
      <c r="L2130" s="383">
        <v>0</v>
      </c>
    </row>
    <row r="2131" spans="2:12">
      <c r="B2131" s="1050"/>
      <c r="C2131" s="1050"/>
      <c r="D2131" s="382" t="s">
        <v>2877</v>
      </c>
      <c r="E2131" s="382" t="s">
        <v>1967</v>
      </c>
      <c r="F2131" s="382" t="s">
        <v>2342</v>
      </c>
      <c r="G2131" s="382" t="s">
        <v>2349</v>
      </c>
      <c r="H2131" s="383">
        <v>2310.62</v>
      </c>
      <c r="I2131" s="1046">
        <v>4426.5</v>
      </c>
      <c r="J2131" s="1047"/>
      <c r="K2131" s="383">
        <v>2115.88</v>
      </c>
      <c r="L2131" s="383">
        <v>0</v>
      </c>
    </row>
    <row r="2132" spans="2:12">
      <c r="B2132" s="1050"/>
      <c r="C2132" s="1050"/>
      <c r="D2132" s="382" t="s">
        <v>2877</v>
      </c>
      <c r="E2132" s="382" t="s">
        <v>1967</v>
      </c>
      <c r="F2132" s="382" t="s">
        <v>2342</v>
      </c>
      <c r="G2132" s="382" t="s">
        <v>2350</v>
      </c>
      <c r="H2132" s="383">
        <v>3368.75</v>
      </c>
      <c r="I2132" s="1046">
        <v>6295.49</v>
      </c>
      <c r="J2132" s="1047"/>
      <c r="K2132" s="383">
        <v>2926.74</v>
      </c>
      <c r="L2132" s="383">
        <v>0</v>
      </c>
    </row>
    <row r="2133" spans="2:12">
      <c r="B2133" s="1050"/>
      <c r="C2133" s="1050"/>
      <c r="D2133" s="382" t="s">
        <v>2877</v>
      </c>
      <c r="E2133" s="382" t="s">
        <v>1967</v>
      </c>
      <c r="F2133" s="382" t="s">
        <v>2342</v>
      </c>
      <c r="G2133" s="382" t="s">
        <v>2351</v>
      </c>
      <c r="H2133" s="383">
        <v>990.71</v>
      </c>
      <c r="I2133" s="1046">
        <v>1834.42</v>
      </c>
      <c r="J2133" s="1047"/>
      <c r="K2133" s="383">
        <v>843.71</v>
      </c>
      <c r="L2133" s="383">
        <v>0</v>
      </c>
    </row>
    <row r="2134" spans="2:12">
      <c r="B2134" s="1050"/>
      <c r="C2134" s="1050"/>
      <c r="D2134" s="382" t="s">
        <v>2877</v>
      </c>
      <c r="E2134" s="382" t="s">
        <v>1967</v>
      </c>
      <c r="F2134" s="382" t="s">
        <v>2342</v>
      </c>
      <c r="G2134" s="382" t="s">
        <v>2352</v>
      </c>
      <c r="H2134" s="383">
        <v>1372.7</v>
      </c>
      <c r="I2134" s="1046">
        <v>2652.95</v>
      </c>
      <c r="J2134" s="1047"/>
      <c r="K2134" s="383">
        <v>1280.9100000000001</v>
      </c>
      <c r="L2134" s="383">
        <v>0.66</v>
      </c>
    </row>
    <row r="2135" spans="2:12">
      <c r="B2135" s="1050"/>
      <c r="C2135" s="1050"/>
      <c r="D2135" s="382" t="s">
        <v>2877</v>
      </c>
      <c r="E2135" s="382" t="s">
        <v>1967</v>
      </c>
      <c r="F2135" s="382" t="s">
        <v>2342</v>
      </c>
      <c r="G2135" s="382" t="s">
        <v>2353</v>
      </c>
      <c r="H2135" s="383">
        <v>2423.6799999999998</v>
      </c>
      <c r="I2135" s="1046">
        <v>4966.59</v>
      </c>
      <c r="J2135" s="1047"/>
      <c r="K2135" s="383">
        <v>2542.91</v>
      </c>
      <c r="L2135" s="383">
        <v>0</v>
      </c>
    </row>
    <row r="2136" spans="2:12">
      <c r="B2136" s="1050"/>
      <c r="C2136" s="1050"/>
      <c r="D2136" s="382" t="s">
        <v>2877</v>
      </c>
      <c r="E2136" s="382" t="s">
        <v>1967</v>
      </c>
      <c r="F2136" s="382" t="s">
        <v>2342</v>
      </c>
      <c r="G2136" s="382" t="s">
        <v>405</v>
      </c>
      <c r="H2136" s="383">
        <v>1120.52</v>
      </c>
      <c r="I2136" s="1046">
        <v>2091.46</v>
      </c>
      <c r="J2136" s="1047"/>
      <c r="K2136" s="383">
        <v>970.94</v>
      </c>
      <c r="L2136" s="383">
        <v>0</v>
      </c>
    </row>
    <row r="2137" spans="2:12">
      <c r="B2137" s="1050"/>
      <c r="C2137" s="1050"/>
      <c r="D2137" s="382" t="s">
        <v>2877</v>
      </c>
      <c r="E2137" s="382" t="s">
        <v>1967</v>
      </c>
      <c r="F2137" s="382" t="s">
        <v>2342</v>
      </c>
      <c r="G2137" s="382" t="s">
        <v>2354</v>
      </c>
      <c r="H2137" s="383">
        <v>1.65</v>
      </c>
      <c r="I2137" s="1046">
        <v>45.64</v>
      </c>
      <c r="J2137" s="1047"/>
      <c r="K2137" s="383">
        <v>43.99</v>
      </c>
      <c r="L2137" s="383">
        <v>0</v>
      </c>
    </row>
    <row r="2138" spans="2:12">
      <c r="B2138" s="1050"/>
      <c r="C2138" s="1050"/>
      <c r="D2138" s="382" t="s">
        <v>2878</v>
      </c>
      <c r="E2138" s="382" t="s">
        <v>2062</v>
      </c>
      <c r="F2138" s="382" t="s">
        <v>2342</v>
      </c>
      <c r="G2138" s="382" t="s">
        <v>2343</v>
      </c>
      <c r="H2138" s="383">
        <v>813.77</v>
      </c>
      <c r="I2138" s="1046">
        <v>2646.37</v>
      </c>
      <c r="J2138" s="1047"/>
      <c r="K2138" s="383">
        <v>1832.37</v>
      </c>
      <c r="L2138" s="383">
        <v>-0.23</v>
      </c>
    </row>
    <row r="2139" spans="2:12">
      <c r="B2139" s="1050"/>
      <c r="C2139" s="1050"/>
      <c r="D2139" s="382" t="s">
        <v>2878</v>
      </c>
      <c r="E2139" s="382" t="s">
        <v>2062</v>
      </c>
      <c r="F2139" s="382" t="s">
        <v>2342</v>
      </c>
      <c r="G2139" s="382" t="s">
        <v>2344</v>
      </c>
      <c r="H2139" s="383">
        <v>105.23</v>
      </c>
      <c r="I2139" s="1046">
        <v>303.63</v>
      </c>
      <c r="J2139" s="1047"/>
      <c r="K2139" s="383">
        <v>198.52</v>
      </c>
      <c r="L2139" s="383">
        <v>0.12</v>
      </c>
    </row>
    <row r="2140" spans="2:12">
      <c r="B2140" s="1050"/>
      <c r="C2140" s="1050"/>
      <c r="D2140" s="382" t="s">
        <v>2878</v>
      </c>
      <c r="E2140" s="382" t="s">
        <v>2062</v>
      </c>
      <c r="F2140" s="382" t="s">
        <v>2342</v>
      </c>
      <c r="G2140" s="382" t="s">
        <v>2345</v>
      </c>
      <c r="H2140" s="383">
        <v>48.81</v>
      </c>
      <c r="I2140" s="1046">
        <v>142.94</v>
      </c>
      <c r="J2140" s="1047"/>
      <c r="K2140" s="383">
        <v>94.42</v>
      </c>
      <c r="L2140" s="383">
        <v>0.28999999999999998</v>
      </c>
    </row>
    <row r="2141" spans="2:12">
      <c r="B2141" s="1050"/>
      <c r="C2141" s="1050"/>
      <c r="D2141" s="382" t="s">
        <v>2878</v>
      </c>
      <c r="E2141" s="382" t="s">
        <v>2062</v>
      </c>
      <c r="F2141" s="382" t="s">
        <v>2342</v>
      </c>
      <c r="G2141" s="382" t="s">
        <v>2346</v>
      </c>
      <c r="H2141" s="383">
        <v>5.73</v>
      </c>
      <c r="I2141" s="1046">
        <v>19.52</v>
      </c>
      <c r="J2141" s="1047"/>
      <c r="K2141" s="383">
        <v>13.99</v>
      </c>
      <c r="L2141" s="383">
        <v>0.2</v>
      </c>
    </row>
    <row r="2142" spans="2:12">
      <c r="B2142" s="1050"/>
      <c r="C2142" s="1050"/>
      <c r="D2142" s="382" t="s">
        <v>2878</v>
      </c>
      <c r="E2142" s="382" t="s">
        <v>2062</v>
      </c>
      <c r="F2142" s="382" t="s">
        <v>2342</v>
      </c>
      <c r="G2142" s="382" t="s">
        <v>2347</v>
      </c>
      <c r="H2142" s="383">
        <v>236.47</v>
      </c>
      <c r="I2142" s="1046">
        <v>771.42</v>
      </c>
      <c r="J2142" s="1047"/>
      <c r="K2142" s="383">
        <v>534.99</v>
      </c>
      <c r="L2142" s="383">
        <v>0.04</v>
      </c>
    </row>
    <row r="2143" spans="2:12">
      <c r="B2143" s="1050"/>
      <c r="C2143" s="1050"/>
      <c r="D2143" s="382" t="s">
        <v>2878</v>
      </c>
      <c r="E2143" s="382" t="s">
        <v>2062</v>
      </c>
      <c r="F2143" s="382" t="s">
        <v>2342</v>
      </c>
      <c r="G2143" s="382" t="s">
        <v>2348</v>
      </c>
      <c r="H2143" s="383">
        <v>105.22</v>
      </c>
      <c r="I2143" s="1046">
        <v>326.12</v>
      </c>
      <c r="J2143" s="1047"/>
      <c r="K2143" s="383">
        <v>221.07</v>
      </c>
      <c r="L2143" s="383">
        <v>0.17</v>
      </c>
    </row>
    <row r="2144" spans="2:12">
      <c r="B2144" s="1050"/>
      <c r="C2144" s="1050"/>
      <c r="D2144" s="382" t="s">
        <v>2878</v>
      </c>
      <c r="E2144" s="382" t="s">
        <v>2062</v>
      </c>
      <c r="F2144" s="382" t="s">
        <v>2342</v>
      </c>
      <c r="G2144" s="382" t="s">
        <v>2349</v>
      </c>
      <c r="H2144" s="383">
        <v>183.76</v>
      </c>
      <c r="I2144" s="1046">
        <v>646.6</v>
      </c>
      <c r="J2144" s="1047"/>
      <c r="K2144" s="383">
        <v>462.81</v>
      </c>
      <c r="L2144" s="383">
        <v>-0.03</v>
      </c>
    </row>
    <row r="2145" spans="2:12">
      <c r="B2145" s="1050"/>
      <c r="C2145" s="1050"/>
      <c r="D2145" s="382" t="s">
        <v>2878</v>
      </c>
      <c r="E2145" s="382" t="s">
        <v>2062</v>
      </c>
      <c r="F2145" s="382" t="s">
        <v>2342</v>
      </c>
      <c r="G2145" s="382" t="s">
        <v>2350</v>
      </c>
      <c r="H2145" s="383">
        <v>461.19</v>
      </c>
      <c r="I2145" s="1046">
        <v>1479.91</v>
      </c>
      <c r="J2145" s="1047"/>
      <c r="K2145" s="383">
        <v>1018.39</v>
      </c>
      <c r="L2145" s="383">
        <v>-0.33</v>
      </c>
    </row>
    <row r="2146" spans="2:12">
      <c r="B2146" s="1050"/>
      <c r="C2146" s="1050"/>
      <c r="D2146" s="382" t="s">
        <v>2878</v>
      </c>
      <c r="E2146" s="382" t="s">
        <v>2062</v>
      </c>
      <c r="F2146" s="382" t="s">
        <v>2342</v>
      </c>
      <c r="G2146" s="382" t="s">
        <v>2351</v>
      </c>
      <c r="H2146" s="383">
        <v>106.98</v>
      </c>
      <c r="I2146" s="1046">
        <v>321.74</v>
      </c>
      <c r="J2146" s="1047"/>
      <c r="K2146" s="383">
        <v>214.93</v>
      </c>
      <c r="L2146" s="383">
        <v>0.17</v>
      </c>
    </row>
    <row r="2147" spans="2:12">
      <c r="B2147" s="1050"/>
      <c r="C2147" s="1050"/>
      <c r="D2147" s="382" t="s">
        <v>2878</v>
      </c>
      <c r="E2147" s="382" t="s">
        <v>2062</v>
      </c>
      <c r="F2147" s="382" t="s">
        <v>2342</v>
      </c>
      <c r="G2147" s="382" t="s">
        <v>2352</v>
      </c>
      <c r="H2147" s="383">
        <v>36.33</v>
      </c>
      <c r="I2147" s="1046">
        <v>126.95</v>
      </c>
      <c r="J2147" s="1047"/>
      <c r="K2147" s="383">
        <v>90.94</v>
      </c>
      <c r="L2147" s="383">
        <v>0.32</v>
      </c>
    </row>
    <row r="2148" spans="2:12">
      <c r="B2148" s="1050"/>
      <c r="C2148" s="1050"/>
      <c r="D2148" s="382" t="s">
        <v>2878</v>
      </c>
      <c r="E2148" s="382" t="s">
        <v>2062</v>
      </c>
      <c r="F2148" s="382" t="s">
        <v>2342</v>
      </c>
      <c r="G2148" s="382" t="s">
        <v>2353</v>
      </c>
      <c r="H2148" s="383">
        <v>610.17999999999995</v>
      </c>
      <c r="I2148" s="1046">
        <v>1974.37</v>
      </c>
      <c r="J2148" s="1047"/>
      <c r="K2148" s="383">
        <v>1363.55</v>
      </c>
      <c r="L2148" s="383">
        <v>-0.64</v>
      </c>
    </row>
    <row r="2149" spans="2:12">
      <c r="B2149" s="1050"/>
      <c r="C2149" s="1050"/>
      <c r="D2149" s="382" t="s">
        <v>2878</v>
      </c>
      <c r="E2149" s="382" t="s">
        <v>2062</v>
      </c>
      <c r="F2149" s="382" t="s">
        <v>2342</v>
      </c>
      <c r="G2149" s="382" t="s">
        <v>405</v>
      </c>
      <c r="H2149" s="383">
        <v>38.869999999999997</v>
      </c>
      <c r="I2149" s="1046">
        <v>110.57</v>
      </c>
      <c r="J2149" s="1047"/>
      <c r="K2149" s="383">
        <v>72.03</v>
      </c>
      <c r="L2149" s="383">
        <v>0.33</v>
      </c>
    </row>
    <row r="2150" spans="2:12">
      <c r="B2150" s="1050"/>
      <c r="C2150" s="1051"/>
      <c r="D2150" s="359" t="s">
        <v>12</v>
      </c>
      <c r="E2150" s="359" t="s">
        <v>111</v>
      </c>
      <c r="F2150" s="359" t="s">
        <v>111</v>
      </c>
      <c r="G2150" s="359" t="s">
        <v>111</v>
      </c>
      <c r="H2150" s="384">
        <v>25485.47</v>
      </c>
      <c r="I2150" s="1048">
        <v>53148.08</v>
      </c>
      <c r="J2150" s="1047"/>
      <c r="K2150" s="384">
        <v>27663.68</v>
      </c>
      <c r="L2150" s="384">
        <v>1.07</v>
      </c>
    </row>
    <row r="2151" spans="2:12">
      <c r="B2151" s="1050"/>
      <c r="C2151" s="1049" t="s">
        <v>2879</v>
      </c>
      <c r="D2151" s="382" t="s">
        <v>2880</v>
      </c>
      <c r="E2151" s="382" t="s">
        <v>2066</v>
      </c>
      <c r="F2151" s="382" t="s">
        <v>2342</v>
      </c>
      <c r="G2151" s="382" t="s">
        <v>2343</v>
      </c>
      <c r="H2151" s="383">
        <v>0</v>
      </c>
      <c r="I2151" s="1046">
        <v>1000.56</v>
      </c>
      <c r="J2151" s="1047"/>
      <c r="K2151" s="383">
        <v>1000.56</v>
      </c>
      <c r="L2151" s="383">
        <v>0</v>
      </c>
    </row>
    <row r="2152" spans="2:12">
      <c r="B2152" s="1050"/>
      <c r="C2152" s="1050"/>
      <c r="D2152" s="382" t="s">
        <v>2880</v>
      </c>
      <c r="E2152" s="382" t="s">
        <v>2066</v>
      </c>
      <c r="F2152" s="382" t="s">
        <v>2342</v>
      </c>
      <c r="G2152" s="382" t="s">
        <v>2344</v>
      </c>
      <c r="H2152" s="383">
        <v>0</v>
      </c>
      <c r="I2152" s="1046">
        <v>87.09</v>
      </c>
      <c r="J2152" s="1047"/>
      <c r="K2152" s="383">
        <v>87.09</v>
      </c>
      <c r="L2152" s="383">
        <v>0</v>
      </c>
    </row>
    <row r="2153" spans="2:12">
      <c r="B2153" s="1050"/>
      <c r="C2153" s="1050"/>
      <c r="D2153" s="382" t="s">
        <v>2880</v>
      </c>
      <c r="E2153" s="382" t="s">
        <v>2066</v>
      </c>
      <c r="F2153" s="382" t="s">
        <v>2342</v>
      </c>
      <c r="G2153" s="382" t="s">
        <v>2345</v>
      </c>
      <c r="H2153" s="383">
        <v>0</v>
      </c>
      <c r="I2153" s="1046">
        <v>32.67</v>
      </c>
      <c r="J2153" s="1047"/>
      <c r="K2153" s="383">
        <v>32.67</v>
      </c>
      <c r="L2153" s="383">
        <v>0</v>
      </c>
    </row>
    <row r="2154" spans="2:12">
      <c r="B2154" s="1050"/>
      <c r="C2154" s="1050"/>
      <c r="D2154" s="382" t="s">
        <v>2880</v>
      </c>
      <c r="E2154" s="382" t="s">
        <v>2066</v>
      </c>
      <c r="F2154" s="382" t="s">
        <v>2342</v>
      </c>
      <c r="G2154" s="382" t="s">
        <v>2346</v>
      </c>
      <c r="H2154" s="383">
        <v>0</v>
      </c>
      <c r="I2154" s="1046">
        <v>16.52</v>
      </c>
      <c r="J2154" s="1047"/>
      <c r="K2154" s="383">
        <v>16.52</v>
      </c>
      <c r="L2154" s="383">
        <v>0</v>
      </c>
    </row>
    <row r="2155" spans="2:12">
      <c r="B2155" s="1050"/>
      <c r="C2155" s="1050"/>
      <c r="D2155" s="382" t="s">
        <v>2880</v>
      </c>
      <c r="E2155" s="382" t="s">
        <v>2066</v>
      </c>
      <c r="F2155" s="382" t="s">
        <v>2342</v>
      </c>
      <c r="G2155" s="382" t="s">
        <v>2347</v>
      </c>
      <c r="H2155" s="383">
        <v>0</v>
      </c>
      <c r="I2155" s="1046">
        <v>384.91</v>
      </c>
      <c r="J2155" s="1047"/>
      <c r="K2155" s="383">
        <v>384.91</v>
      </c>
      <c r="L2155" s="383">
        <v>0</v>
      </c>
    </row>
    <row r="2156" spans="2:12">
      <c r="B2156" s="1050"/>
      <c r="C2156" s="1050"/>
      <c r="D2156" s="382" t="s">
        <v>2880</v>
      </c>
      <c r="E2156" s="382" t="s">
        <v>2066</v>
      </c>
      <c r="F2156" s="382" t="s">
        <v>2342</v>
      </c>
      <c r="G2156" s="382" t="s">
        <v>2348</v>
      </c>
      <c r="H2156" s="383">
        <v>0</v>
      </c>
      <c r="I2156" s="1046">
        <v>1228.9000000000001</v>
      </c>
      <c r="J2156" s="1047"/>
      <c r="K2156" s="383">
        <v>1228.9000000000001</v>
      </c>
      <c r="L2156" s="383">
        <v>0</v>
      </c>
    </row>
    <row r="2157" spans="2:12">
      <c r="B2157" s="1050"/>
      <c r="C2157" s="1050"/>
      <c r="D2157" s="382" t="s">
        <v>2880</v>
      </c>
      <c r="E2157" s="382" t="s">
        <v>2066</v>
      </c>
      <c r="F2157" s="382" t="s">
        <v>2342</v>
      </c>
      <c r="G2157" s="382" t="s">
        <v>2349</v>
      </c>
      <c r="H2157" s="383">
        <v>0</v>
      </c>
      <c r="I2157" s="1046">
        <v>972.54</v>
      </c>
      <c r="J2157" s="1047"/>
      <c r="K2157" s="383">
        <v>972.54</v>
      </c>
      <c r="L2157" s="383">
        <v>0</v>
      </c>
    </row>
    <row r="2158" spans="2:12">
      <c r="B2158" s="1050"/>
      <c r="C2158" s="1050"/>
      <c r="D2158" s="382" t="s">
        <v>2880</v>
      </c>
      <c r="E2158" s="382" t="s">
        <v>2066</v>
      </c>
      <c r="F2158" s="382" t="s">
        <v>2342</v>
      </c>
      <c r="G2158" s="382" t="s">
        <v>2350</v>
      </c>
      <c r="H2158" s="383">
        <v>0</v>
      </c>
      <c r="I2158" s="1046">
        <v>270.55</v>
      </c>
      <c r="J2158" s="1047"/>
      <c r="K2158" s="383">
        <v>270.55</v>
      </c>
      <c r="L2158" s="383">
        <v>0</v>
      </c>
    </row>
    <row r="2159" spans="2:12">
      <c r="B2159" s="1050"/>
      <c r="C2159" s="1050"/>
      <c r="D2159" s="382" t="s">
        <v>2880</v>
      </c>
      <c r="E2159" s="382" t="s">
        <v>2066</v>
      </c>
      <c r="F2159" s="382" t="s">
        <v>2342</v>
      </c>
      <c r="G2159" s="382" t="s">
        <v>2351</v>
      </c>
      <c r="H2159" s="383">
        <v>0</v>
      </c>
      <c r="I2159" s="1046">
        <v>766.96</v>
      </c>
      <c r="J2159" s="1047"/>
      <c r="K2159" s="383">
        <v>766.96</v>
      </c>
      <c r="L2159" s="383">
        <v>0</v>
      </c>
    </row>
    <row r="2160" spans="2:12">
      <c r="B2160" s="1050"/>
      <c r="C2160" s="1050"/>
      <c r="D2160" s="382" t="s">
        <v>2880</v>
      </c>
      <c r="E2160" s="382" t="s">
        <v>2066</v>
      </c>
      <c r="F2160" s="382" t="s">
        <v>2342</v>
      </c>
      <c r="G2160" s="382" t="s">
        <v>2352</v>
      </c>
      <c r="H2160" s="383">
        <v>0</v>
      </c>
      <c r="I2160" s="1046">
        <v>1969.31</v>
      </c>
      <c r="J2160" s="1047"/>
      <c r="K2160" s="383">
        <v>1969.31</v>
      </c>
      <c r="L2160" s="383">
        <v>0</v>
      </c>
    </row>
    <row r="2161" spans="2:12">
      <c r="B2161" s="1050"/>
      <c r="C2161" s="1050"/>
      <c r="D2161" s="382" t="s">
        <v>2880</v>
      </c>
      <c r="E2161" s="382" t="s">
        <v>2066</v>
      </c>
      <c r="F2161" s="382" t="s">
        <v>2342</v>
      </c>
      <c r="G2161" s="382" t="s">
        <v>2353</v>
      </c>
      <c r="H2161" s="383">
        <v>0</v>
      </c>
      <c r="I2161" s="1046">
        <v>11.1</v>
      </c>
      <c r="J2161" s="1047"/>
      <c r="K2161" s="383">
        <v>11.1</v>
      </c>
      <c r="L2161" s="383">
        <v>0</v>
      </c>
    </row>
    <row r="2162" spans="2:12">
      <c r="B2162" s="1050"/>
      <c r="C2162" s="1050"/>
      <c r="D2162" s="382" t="s">
        <v>2880</v>
      </c>
      <c r="E2162" s="382" t="s">
        <v>2066</v>
      </c>
      <c r="F2162" s="382" t="s">
        <v>2342</v>
      </c>
      <c r="G2162" s="382" t="s">
        <v>405</v>
      </c>
      <c r="H2162" s="383">
        <v>0</v>
      </c>
      <c r="I2162" s="1046">
        <v>15.37</v>
      </c>
      <c r="J2162" s="1047"/>
      <c r="K2162" s="383">
        <v>15.37</v>
      </c>
      <c r="L2162" s="383">
        <v>0</v>
      </c>
    </row>
    <row r="2163" spans="2:12">
      <c r="B2163" s="1050"/>
      <c r="C2163" s="1051"/>
      <c r="D2163" s="359" t="s">
        <v>12</v>
      </c>
      <c r="E2163" s="359" t="s">
        <v>111</v>
      </c>
      <c r="F2163" s="359" t="s">
        <v>111</v>
      </c>
      <c r="G2163" s="359" t="s">
        <v>111</v>
      </c>
      <c r="H2163" s="384">
        <v>0</v>
      </c>
      <c r="I2163" s="1048">
        <v>6756.48</v>
      </c>
      <c r="J2163" s="1047"/>
      <c r="K2163" s="384">
        <v>6756.48</v>
      </c>
      <c r="L2163" s="384">
        <v>0</v>
      </c>
    </row>
    <row r="2164" spans="2:12">
      <c r="B2164" s="1050"/>
      <c r="C2164" s="1049" t="s">
        <v>2881</v>
      </c>
      <c r="D2164" s="382" t="s">
        <v>2882</v>
      </c>
      <c r="E2164" s="382" t="s">
        <v>2109</v>
      </c>
      <c r="F2164" s="382" t="s">
        <v>2342</v>
      </c>
      <c r="G2164" s="382" t="s">
        <v>2343</v>
      </c>
      <c r="H2164" s="383">
        <v>99.14</v>
      </c>
      <c r="I2164" s="1046">
        <v>0</v>
      </c>
      <c r="J2164" s="1047"/>
      <c r="K2164" s="383">
        <v>287.22000000000003</v>
      </c>
      <c r="L2164" s="383">
        <v>386.36</v>
      </c>
    </row>
    <row r="2165" spans="2:12">
      <c r="B2165" s="1050"/>
      <c r="C2165" s="1050"/>
      <c r="D2165" s="382" t="s">
        <v>2882</v>
      </c>
      <c r="E2165" s="382" t="s">
        <v>2109</v>
      </c>
      <c r="F2165" s="382" t="s">
        <v>2342</v>
      </c>
      <c r="G2165" s="382" t="s">
        <v>2344</v>
      </c>
      <c r="H2165" s="383">
        <v>15.63</v>
      </c>
      <c r="I2165" s="1046">
        <v>0</v>
      </c>
      <c r="J2165" s="1047"/>
      <c r="K2165" s="383">
        <v>97.62</v>
      </c>
      <c r="L2165" s="383">
        <v>113.25</v>
      </c>
    </row>
    <row r="2166" spans="2:12">
      <c r="B2166" s="1050"/>
      <c r="C2166" s="1050"/>
      <c r="D2166" s="382" t="s">
        <v>2882</v>
      </c>
      <c r="E2166" s="382" t="s">
        <v>2109</v>
      </c>
      <c r="F2166" s="382" t="s">
        <v>2342</v>
      </c>
      <c r="G2166" s="382" t="s">
        <v>2345</v>
      </c>
      <c r="H2166" s="383">
        <v>53.45</v>
      </c>
      <c r="I2166" s="1046">
        <v>0</v>
      </c>
      <c r="J2166" s="1047"/>
      <c r="K2166" s="383">
        <v>191.44</v>
      </c>
      <c r="L2166" s="383">
        <v>244.89</v>
      </c>
    </row>
    <row r="2167" spans="2:12">
      <c r="B2167" s="1050"/>
      <c r="C2167" s="1050"/>
      <c r="D2167" s="382" t="s">
        <v>2882</v>
      </c>
      <c r="E2167" s="382" t="s">
        <v>2109</v>
      </c>
      <c r="F2167" s="382" t="s">
        <v>2342</v>
      </c>
      <c r="G2167" s="382" t="s">
        <v>2346</v>
      </c>
      <c r="H2167" s="383">
        <v>18.739999999999998</v>
      </c>
      <c r="I2167" s="1046">
        <v>0</v>
      </c>
      <c r="J2167" s="1047"/>
      <c r="K2167" s="383">
        <v>108.06</v>
      </c>
      <c r="L2167" s="383">
        <v>126.8</v>
      </c>
    </row>
    <row r="2168" spans="2:12">
      <c r="B2168" s="1050"/>
      <c r="C2168" s="1050"/>
      <c r="D2168" s="382" t="s">
        <v>2882</v>
      </c>
      <c r="E2168" s="382" t="s">
        <v>2109</v>
      </c>
      <c r="F2168" s="382" t="s">
        <v>2342</v>
      </c>
      <c r="G2168" s="382" t="s">
        <v>2347</v>
      </c>
      <c r="H2168" s="383">
        <v>157.34</v>
      </c>
      <c r="I2168" s="1046">
        <v>0</v>
      </c>
      <c r="J2168" s="1047"/>
      <c r="K2168" s="383">
        <v>315.87</v>
      </c>
      <c r="L2168" s="383">
        <v>473.21</v>
      </c>
    </row>
    <row r="2169" spans="2:12">
      <c r="B2169" s="1050"/>
      <c r="C2169" s="1050"/>
      <c r="D2169" s="382" t="s">
        <v>2882</v>
      </c>
      <c r="E2169" s="382" t="s">
        <v>2109</v>
      </c>
      <c r="F2169" s="382" t="s">
        <v>2342</v>
      </c>
      <c r="G2169" s="382" t="s">
        <v>2348</v>
      </c>
      <c r="H2169" s="383">
        <v>209.04</v>
      </c>
      <c r="I2169" s="1046">
        <v>0</v>
      </c>
      <c r="J2169" s="1047"/>
      <c r="K2169" s="383">
        <v>657.08</v>
      </c>
      <c r="L2169" s="383">
        <v>866.12</v>
      </c>
    </row>
    <row r="2170" spans="2:12">
      <c r="B2170" s="1050"/>
      <c r="C2170" s="1050"/>
      <c r="D2170" s="382" t="s">
        <v>2882</v>
      </c>
      <c r="E2170" s="382" t="s">
        <v>2109</v>
      </c>
      <c r="F2170" s="382" t="s">
        <v>2342</v>
      </c>
      <c r="G2170" s="382" t="s">
        <v>2349</v>
      </c>
      <c r="H2170" s="383">
        <v>34.36</v>
      </c>
      <c r="I2170" s="1046">
        <v>0</v>
      </c>
      <c r="J2170" s="1047"/>
      <c r="K2170" s="383">
        <v>89.08</v>
      </c>
      <c r="L2170" s="383">
        <v>123.44</v>
      </c>
    </row>
    <row r="2171" spans="2:12">
      <c r="B2171" s="1050"/>
      <c r="C2171" s="1050"/>
      <c r="D2171" s="382" t="s">
        <v>2882</v>
      </c>
      <c r="E2171" s="382" t="s">
        <v>2109</v>
      </c>
      <c r="F2171" s="382" t="s">
        <v>2342</v>
      </c>
      <c r="G2171" s="382" t="s">
        <v>2350</v>
      </c>
      <c r="H2171" s="383">
        <v>131.63999999999999</v>
      </c>
      <c r="I2171" s="1046">
        <v>0</v>
      </c>
      <c r="J2171" s="1047"/>
      <c r="K2171" s="383">
        <v>599.32000000000005</v>
      </c>
      <c r="L2171" s="383">
        <v>730.96</v>
      </c>
    </row>
    <row r="2172" spans="2:12">
      <c r="B2172" s="1050"/>
      <c r="C2172" s="1050"/>
      <c r="D2172" s="382" t="s">
        <v>2882</v>
      </c>
      <c r="E2172" s="382" t="s">
        <v>2109</v>
      </c>
      <c r="F2172" s="382" t="s">
        <v>2342</v>
      </c>
      <c r="G2172" s="382" t="s">
        <v>2351</v>
      </c>
      <c r="H2172" s="383">
        <v>133.54</v>
      </c>
      <c r="I2172" s="1046">
        <v>2.11</v>
      </c>
      <c r="J2172" s="1047"/>
      <c r="K2172" s="383">
        <v>3536.52</v>
      </c>
      <c r="L2172" s="383">
        <v>3667.95</v>
      </c>
    </row>
    <row r="2173" spans="2:12">
      <c r="B2173" s="1050"/>
      <c r="C2173" s="1050"/>
      <c r="D2173" s="382" t="s">
        <v>2882</v>
      </c>
      <c r="E2173" s="382" t="s">
        <v>2109</v>
      </c>
      <c r="F2173" s="382" t="s">
        <v>2342</v>
      </c>
      <c r="G2173" s="382" t="s">
        <v>2352</v>
      </c>
      <c r="H2173" s="383">
        <v>351.45</v>
      </c>
      <c r="I2173" s="1046">
        <v>0</v>
      </c>
      <c r="J2173" s="1047"/>
      <c r="K2173" s="383">
        <v>552.37</v>
      </c>
      <c r="L2173" s="383">
        <v>903.82</v>
      </c>
    </row>
    <row r="2174" spans="2:12">
      <c r="B2174" s="1050"/>
      <c r="C2174" s="1050"/>
      <c r="D2174" s="382" t="s">
        <v>2882</v>
      </c>
      <c r="E2174" s="382" t="s">
        <v>2109</v>
      </c>
      <c r="F2174" s="382" t="s">
        <v>2342</v>
      </c>
      <c r="G2174" s="382" t="s">
        <v>2353</v>
      </c>
      <c r="H2174" s="383">
        <v>43.22</v>
      </c>
      <c r="I2174" s="1046">
        <v>0</v>
      </c>
      <c r="J2174" s="1047"/>
      <c r="K2174" s="383">
        <v>2028.33</v>
      </c>
      <c r="L2174" s="383">
        <v>2071.5500000000002</v>
      </c>
    </row>
    <row r="2175" spans="2:12">
      <c r="B2175" s="1050"/>
      <c r="C2175" s="1050"/>
      <c r="D2175" s="382" t="s">
        <v>2882</v>
      </c>
      <c r="E2175" s="382" t="s">
        <v>2109</v>
      </c>
      <c r="F2175" s="382" t="s">
        <v>2342</v>
      </c>
      <c r="G2175" s="382" t="s">
        <v>405</v>
      </c>
      <c r="H2175" s="383">
        <v>32.19</v>
      </c>
      <c r="I2175" s="1046">
        <v>0</v>
      </c>
      <c r="J2175" s="1047"/>
      <c r="K2175" s="383">
        <v>26.14</v>
      </c>
      <c r="L2175" s="383">
        <v>58.33</v>
      </c>
    </row>
    <row r="2176" spans="2:12">
      <c r="B2176" s="1050"/>
      <c r="C2176" s="1050"/>
      <c r="D2176" s="382" t="s">
        <v>2882</v>
      </c>
      <c r="E2176" s="382" t="s">
        <v>2109</v>
      </c>
      <c r="F2176" s="382" t="s">
        <v>2342</v>
      </c>
      <c r="G2176" s="382" t="s">
        <v>2354</v>
      </c>
      <c r="H2176" s="383">
        <v>0</v>
      </c>
      <c r="I2176" s="1046">
        <v>0</v>
      </c>
      <c r="J2176" s="1047"/>
      <c r="K2176" s="383">
        <v>3.94</v>
      </c>
      <c r="L2176" s="383">
        <v>3.94</v>
      </c>
    </row>
    <row r="2177" spans="2:13">
      <c r="B2177" s="1050"/>
      <c r="C2177" s="1050"/>
      <c r="D2177" s="382" t="s">
        <v>2883</v>
      </c>
      <c r="E2177" s="382" t="s">
        <v>2110</v>
      </c>
      <c r="F2177" s="382" t="s">
        <v>2342</v>
      </c>
      <c r="G2177" s="382" t="s">
        <v>2343</v>
      </c>
      <c r="H2177" s="383">
        <v>66980</v>
      </c>
      <c r="I2177" s="1046">
        <v>35053.42</v>
      </c>
      <c r="J2177" s="1047"/>
      <c r="K2177" s="383">
        <v>49864.71</v>
      </c>
      <c r="L2177" s="383">
        <v>81791.289999999994</v>
      </c>
    </row>
    <row r="2178" spans="2:13">
      <c r="B2178" s="1050"/>
      <c r="C2178" s="1050"/>
      <c r="D2178" s="382" t="s">
        <v>2884</v>
      </c>
      <c r="E2178" s="382" t="s">
        <v>2067</v>
      </c>
      <c r="F2178" s="382" t="s">
        <v>2342</v>
      </c>
      <c r="G2178" s="382" t="s">
        <v>2343</v>
      </c>
      <c r="H2178" s="383">
        <v>1261.6600000000001</v>
      </c>
      <c r="I2178" s="1046">
        <v>1000.56</v>
      </c>
      <c r="J2178" s="1047"/>
      <c r="K2178" s="383">
        <v>177.02</v>
      </c>
      <c r="L2178" s="383">
        <v>438.12</v>
      </c>
    </row>
    <row r="2179" spans="2:13">
      <c r="B2179" s="1050"/>
      <c r="C2179" s="1050"/>
      <c r="D2179" s="382" t="s">
        <v>2884</v>
      </c>
      <c r="E2179" s="382" t="s">
        <v>2067</v>
      </c>
      <c r="F2179" s="382" t="s">
        <v>2342</v>
      </c>
      <c r="G2179" s="382" t="s">
        <v>2344</v>
      </c>
      <c r="H2179" s="383">
        <v>2298.7600000000002</v>
      </c>
      <c r="I2179" s="1046">
        <v>288.45999999999998</v>
      </c>
      <c r="J2179" s="1047"/>
      <c r="K2179" s="383">
        <v>325.07</v>
      </c>
      <c r="L2179" s="383">
        <v>2335.37</v>
      </c>
    </row>
    <row r="2180" spans="2:13">
      <c r="B2180" s="1050"/>
      <c r="C2180" s="1050"/>
      <c r="D2180" s="382" t="s">
        <v>2884</v>
      </c>
      <c r="E2180" s="382" t="s">
        <v>2067</v>
      </c>
      <c r="F2180" s="382" t="s">
        <v>2342</v>
      </c>
      <c r="G2180" s="382" t="s">
        <v>2345</v>
      </c>
      <c r="H2180" s="383">
        <v>820.26</v>
      </c>
      <c r="I2180" s="1046">
        <v>32.67</v>
      </c>
      <c r="J2180" s="1047"/>
      <c r="K2180" s="383">
        <v>182.8</v>
      </c>
      <c r="L2180" s="383">
        <v>970.39</v>
      </c>
    </row>
    <row r="2181" spans="2:13">
      <c r="B2181" s="1050"/>
      <c r="C2181" s="1050"/>
      <c r="D2181" s="382" t="s">
        <v>2884</v>
      </c>
      <c r="E2181" s="382" t="s">
        <v>2067</v>
      </c>
      <c r="F2181" s="382" t="s">
        <v>2342</v>
      </c>
      <c r="G2181" s="382" t="s">
        <v>2346</v>
      </c>
      <c r="H2181" s="383">
        <v>462.9</v>
      </c>
      <c r="I2181" s="1046">
        <v>16.52</v>
      </c>
      <c r="J2181" s="1047"/>
      <c r="K2181" s="383">
        <v>174.35</v>
      </c>
      <c r="L2181" s="383">
        <v>620.73</v>
      </c>
    </row>
    <row r="2182" spans="2:13">
      <c r="B2182" s="1050"/>
      <c r="C2182" s="1050"/>
      <c r="D2182" s="382" t="s">
        <v>2884</v>
      </c>
      <c r="E2182" s="382" t="s">
        <v>2067</v>
      </c>
      <c r="F2182" s="382" t="s">
        <v>2342</v>
      </c>
      <c r="G2182" s="382" t="s">
        <v>2347</v>
      </c>
      <c r="H2182" s="383">
        <v>5145.74</v>
      </c>
      <c r="I2182" s="1046">
        <v>401.2</v>
      </c>
      <c r="J2182" s="1047"/>
      <c r="K2182" s="383">
        <v>1330.36</v>
      </c>
      <c r="L2182" s="383">
        <v>6074.9</v>
      </c>
    </row>
    <row r="2183" spans="2:13">
      <c r="B2183" s="1050"/>
      <c r="C2183" s="1050"/>
      <c r="D2183" s="382" t="s">
        <v>2884</v>
      </c>
      <c r="E2183" s="382" t="s">
        <v>2067</v>
      </c>
      <c r="F2183" s="382" t="s">
        <v>2342</v>
      </c>
      <c r="G2183" s="382" t="s">
        <v>2348</v>
      </c>
      <c r="H2183" s="383">
        <v>6010.37</v>
      </c>
      <c r="I2183" s="1046">
        <v>1251.42</v>
      </c>
      <c r="J2183" s="1047"/>
      <c r="K2183" s="383">
        <v>1377.6</v>
      </c>
      <c r="L2183" s="383">
        <v>6136.55</v>
      </c>
    </row>
    <row r="2184" spans="2:13">
      <c r="B2184" s="1050"/>
      <c r="C2184" s="1050"/>
      <c r="D2184" s="382" t="s">
        <v>2884</v>
      </c>
      <c r="E2184" s="382" t="s">
        <v>2067</v>
      </c>
      <c r="F2184" s="382" t="s">
        <v>2342</v>
      </c>
      <c r="G2184" s="382" t="s">
        <v>2349</v>
      </c>
      <c r="H2184" s="383">
        <v>2738.58</v>
      </c>
      <c r="I2184" s="1046">
        <v>1156.0999999999999</v>
      </c>
      <c r="J2184" s="1047"/>
      <c r="K2184" s="383">
        <v>368.12</v>
      </c>
      <c r="L2184" s="383">
        <v>1950.6</v>
      </c>
    </row>
    <row r="2185" spans="2:13">
      <c r="B2185" s="1050"/>
      <c r="C2185" s="1050"/>
      <c r="D2185" s="382" t="s">
        <v>2884</v>
      </c>
      <c r="E2185" s="382" t="s">
        <v>2067</v>
      </c>
      <c r="F2185" s="382" t="s">
        <v>2342</v>
      </c>
      <c r="G2185" s="382" t="s">
        <v>2350</v>
      </c>
      <c r="H2185" s="383">
        <v>2126.0100000000002</v>
      </c>
      <c r="I2185" s="1046">
        <v>316.3</v>
      </c>
      <c r="J2185" s="1047"/>
      <c r="K2185" s="383">
        <v>508.95</v>
      </c>
      <c r="L2185" s="383">
        <v>2318.66</v>
      </c>
    </row>
    <row r="2186" spans="2:13">
      <c r="B2186" s="1050"/>
      <c r="C2186" s="1050"/>
      <c r="D2186" s="382" t="s">
        <v>2884</v>
      </c>
      <c r="E2186" s="382" t="s">
        <v>2067</v>
      </c>
      <c r="F2186" s="382" t="s">
        <v>2342</v>
      </c>
      <c r="G2186" s="382" t="s">
        <v>2351</v>
      </c>
      <c r="H2186" s="383">
        <v>9949.68</v>
      </c>
      <c r="I2186" s="1046">
        <v>766.96</v>
      </c>
      <c r="J2186" s="1047"/>
      <c r="K2186" s="383">
        <v>1405.23</v>
      </c>
      <c r="L2186" s="383">
        <v>10587.95</v>
      </c>
    </row>
    <row r="2187" spans="2:13">
      <c r="B2187" s="1050"/>
      <c r="C2187" s="1050"/>
      <c r="D2187" s="382" t="s">
        <v>2884</v>
      </c>
      <c r="E2187" s="382" t="s">
        <v>2067</v>
      </c>
      <c r="F2187" s="382" t="s">
        <v>2342</v>
      </c>
      <c r="G2187" s="382" t="s">
        <v>2352</v>
      </c>
      <c r="H2187" s="383">
        <v>2343.02</v>
      </c>
      <c r="I2187" s="1046">
        <v>1969.31</v>
      </c>
      <c r="J2187" s="1047"/>
      <c r="K2187" s="383">
        <v>761.53</v>
      </c>
      <c r="L2187" s="383">
        <v>1135.24</v>
      </c>
    </row>
    <row r="2188" spans="2:13">
      <c r="B2188" s="1050"/>
      <c r="C2188" s="1050"/>
      <c r="D2188" s="382" t="s">
        <v>2884</v>
      </c>
      <c r="E2188" s="382" t="s">
        <v>2067</v>
      </c>
      <c r="F2188" s="382" t="s">
        <v>2342</v>
      </c>
      <c r="G2188" s="382" t="s">
        <v>2353</v>
      </c>
      <c r="H2188" s="383">
        <v>1410.45</v>
      </c>
      <c r="I2188" s="1046">
        <v>11.1</v>
      </c>
      <c r="J2188" s="1047"/>
      <c r="K2188" s="383">
        <v>341.05</v>
      </c>
      <c r="L2188" s="383">
        <v>1740.4</v>
      </c>
    </row>
    <row r="2189" spans="2:13">
      <c r="B2189" s="1050"/>
      <c r="C2189" s="1050"/>
      <c r="D2189" s="382" t="s">
        <v>2884</v>
      </c>
      <c r="E2189" s="382" t="s">
        <v>2067</v>
      </c>
      <c r="F2189" s="382" t="s">
        <v>2342</v>
      </c>
      <c r="G2189" s="382" t="s">
        <v>405</v>
      </c>
      <c r="H2189" s="383">
        <v>2609.0500000000002</v>
      </c>
      <c r="I2189" s="1046">
        <v>371.66</v>
      </c>
      <c r="J2189" s="1047"/>
      <c r="K2189" s="383">
        <v>416.71</v>
      </c>
      <c r="L2189" s="383">
        <v>2654.1</v>
      </c>
    </row>
    <row r="2190" spans="2:13">
      <c r="B2190" s="1050"/>
      <c r="C2190" s="1050"/>
      <c r="D2190" s="382" t="s">
        <v>2885</v>
      </c>
      <c r="E2190" s="382" t="s">
        <v>2067</v>
      </c>
      <c r="F2190" s="382" t="s">
        <v>2342</v>
      </c>
      <c r="G2190" s="382" t="s">
        <v>2343</v>
      </c>
      <c r="H2190" s="383">
        <v>452.23</v>
      </c>
      <c r="I2190" s="1046">
        <v>497.77</v>
      </c>
      <c r="J2190" s="1047"/>
      <c r="K2190" s="383">
        <v>45.54</v>
      </c>
      <c r="L2190" s="383">
        <v>0</v>
      </c>
    </row>
    <row r="2191" spans="2:13">
      <c r="B2191" s="1050"/>
      <c r="C2191" s="1051"/>
      <c r="D2191" s="359" t="s">
        <v>12</v>
      </c>
      <c r="E2191" s="359" t="s">
        <v>111</v>
      </c>
      <c r="F2191" s="359" t="s">
        <v>111</v>
      </c>
      <c r="G2191" s="359" t="s">
        <v>111</v>
      </c>
      <c r="H2191" s="384">
        <v>105888.45</v>
      </c>
      <c r="I2191" s="1048">
        <v>43135.56</v>
      </c>
      <c r="J2191" s="1047"/>
      <c r="K2191" s="384">
        <v>65772.03</v>
      </c>
      <c r="L2191" s="384">
        <v>128524.92</v>
      </c>
      <c r="M2191" s="387" t="s">
        <v>3005</v>
      </c>
    </row>
    <row r="2192" spans="2:13">
      <c r="B2192" s="1050"/>
      <c r="C2192" s="1049" t="s">
        <v>2886</v>
      </c>
      <c r="D2192" s="382" t="s">
        <v>2887</v>
      </c>
      <c r="E2192" s="382" t="s">
        <v>2111</v>
      </c>
      <c r="F2192" s="382" t="s">
        <v>2342</v>
      </c>
      <c r="G2192" s="382" t="s">
        <v>2343</v>
      </c>
      <c r="H2192" s="383">
        <v>2930.13</v>
      </c>
      <c r="I2192" s="1046">
        <v>702.79</v>
      </c>
      <c r="J2192" s="1047"/>
      <c r="K2192" s="383">
        <v>1005.77</v>
      </c>
      <c r="L2192" s="383">
        <v>3233.11</v>
      </c>
    </row>
    <row r="2193" spans="2:12">
      <c r="B2193" s="1050"/>
      <c r="C2193" s="1050"/>
      <c r="D2193" s="382" t="s">
        <v>2887</v>
      </c>
      <c r="E2193" s="382" t="s">
        <v>2111</v>
      </c>
      <c r="F2193" s="382" t="s">
        <v>2342</v>
      </c>
      <c r="G2193" s="382" t="s">
        <v>2344</v>
      </c>
      <c r="H2193" s="383">
        <v>344.07</v>
      </c>
      <c r="I2193" s="1046">
        <v>20.43</v>
      </c>
      <c r="J2193" s="1047"/>
      <c r="K2193" s="383">
        <v>571.38</v>
      </c>
      <c r="L2193" s="383">
        <v>895.02</v>
      </c>
    </row>
    <row r="2194" spans="2:12">
      <c r="B2194" s="1050"/>
      <c r="C2194" s="1050"/>
      <c r="D2194" s="382" t="s">
        <v>2887</v>
      </c>
      <c r="E2194" s="382" t="s">
        <v>2111</v>
      </c>
      <c r="F2194" s="382" t="s">
        <v>2342</v>
      </c>
      <c r="G2194" s="382" t="s">
        <v>2345</v>
      </c>
      <c r="H2194" s="383">
        <v>456.06</v>
      </c>
      <c r="I2194" s="1046">
        <v>106.24</v>
      </c>
      <c r="J2194" s="1047"/>
      <c r="K2194" s="383">
        <v>845.5</v>
      </c>
      <c r="L2194" s="383">
        <v>1195.32</v>
      </c>
    </row>
    <row r="2195" spans="2:12">
      <c r="B2195" s="1050"/>
      <c r="C2195" s="1050"/>
      <c r="D2195" s="382" t="s">
        <v>2887</v>
      </c>
      <c r="E2195" s="382" t="s">
        <v>2111</v>
      </c>
      <c r="F2195" s="382" t="s">
        <v>2342</v>
      </c>
      <c r="G2195" s="382" t="s">
        <v>2346</v>
      </c>
      <c r="H2195" s="383">
        <v>257.25</v>
      </c>
      <c r="I2195" s="1046">
        <v>74.239999999999995</v>
      </c>
      <c r="J2195" s="1047"/>
      <c r="K2195" s="383">
        <v>176.89</v>
      </c>
      <c r="L2195" s="383">
        <v>359.9</v>
      </c>
    </row>
    <row r="2196" spans="2:12">
      <c r="B2196" s="1050"/>
      <c r="C2196" s="1050"/>
      <c r="D2196" s="382" t="s">
        <v>2887</v>
      </c>
      <c r="E2196" s="382" t="s">
        <v>2111</v>
      </c>
      <c r="F2196" s="382" t="s">
        <v>2342</v>
      </c>
      <c r="G2196" s="382" t="s">
        <v>2347</v>
      </c>
      <c r="H2196" s="383">
        <v>1307.25</v>
      </c>
      <c r="I2196" s="1046">
        <v>264.55</v>
      </c>
      <c r="J2196" s="1047"/>
      <c r="K2196" s="383">
        <v>2414.73</v>
      </c>
      <c r="L2196" s="383">
        <v>3457.43</v>
      </c>
    </row>
    <row r="2197" spans="2:12">
      <c r="B2197" s="1050"/>
      <c r="C2197" s="1050"/>
      <c r="D2197" s="382" t="s">
        <v>2887</v>
      </c>
      <c r="E2197" s="382" t="s">
        <v>2111</v>
      </c>
      <c r="F2197" s="382" t="s">
        <v>2342</v>
      </c>
      <c r="G2197" s="382" t="s">
        <v>2348</v>
      </c>
      <c r="H2197" s="383">
        <v>830.03</v>
      </c>
      <c r="I2197" s="1046">
        <v>621.84</v>
      </c>
      <c r="J2197" s="1047"/>
      <c r="K2197" s="383">
        <v>587</v>
      </c>
      <c r="L2197" s="383">
        <v>795.19</v>
      </c>
    </row>
    <row r="2198" spans="2:12">
      <c r="B2198" s="1050"/>
      <c r="C2198" s="1050"/>
      <c r="D2198" s="382" t="s">
        <v>2887</v>
      </c>
      <c r="E2198" s="382" t="s">
        <v>2111</v>
      </c>
      <c r="F2198" s="382" t="s">
        <v>2342</v>
      </c>
      <c r="G2198" s="382" t="s">
        <v>2349</v>
      </c>
      <c r="H2198" s="383">
        <v>3896.66</v>
      </c>
      <c r="I2198" s="1046">
        <v>998.23</v>
      </c>
      <c r="J2198" s="1047"/>
      <c r="K2198" s="383">
        <v>2751.67</v>
      </c>
      <c r="L2198" s="383">
        <v>5650.1</v>
      </c>
    </row>
    <row r="2199" spans="2:12">
      <c r="B2199" s="1050"/>
      <c r="C2199" s="1050"/>
      <c r="D2199" s="382" t="s">
        <v>2887</v>
      </c>
      <c r="E2199" s="382" t="s">
        <v>2111</v>
      </c>
      <c r="F2199" s="382" t="s">
        <v>2342</v>
      </c>
      <c r="G2199" s="382" t="s">
        <v>2350</v>
      </c>
      <c r="H2199" s="383">
        <v>2056.11</v>
      </c>
      <c r="I2199" s="1046">
        <v>1258.3800000000001</v>
      </c>
      <c r="J2199" s="1047"/>
      <c r="K2199" s="383">
        <v>48.71</v>
      </c>
      <c r="L2199" s="383">
        <v>846.44</v>
      </c>
    </row>
    <row r="2200" spans="2:12">
      <c r="B2200" s="1050"/>
      <c r="C2200" s="1050"/>
      <c r="D2200" s="382" t="s">
        <v>2887</v>
      </c>
      <c r="E2200" s="382" t="s">
        <v>2111</v>
      </c>
      <c r="F2200" s="382" t="s">
        <v>2342</v>
      </c>
      <c r="G2200" s="382" t="s">
        <v>2351</v>
      </c>
      <c r="H2200" s="383">
        <v>7407.48</v>
      </c>
      <c r="I2200" s="1046">
        <v>1216.47</v>
      </c>
      <c r="J2200" s="1047"/>
      <c r="K2200" s="383">
        <v>586.53</v>
      </c>
      <c r="L2200" s="383">
        <v>6777.54</v>
      </c>
    </row>
    <row r="2201" spans="2:12">
      <c r="B2201" s="1050"/>
      <c r="C2201" s="1050"/>
      <c r="D2201" s="382" t="s">
        <v>2887</v>
      </c>
      <c r="E2201" s="382" t="s">
        <v>2111</v>
      </c>
      <c r="F2201" s="382" t="s">
        <v>2342</v>
      </c>
      <c r="G2201" s="382" t="s">
        <v>2352</v>
      </c>
      <c r="H2201" s="383">
        <v>891.25</v>
      </c>
      <c r="I2201" s="1046">
        <v>721.03</v>
      </c>
      <c r="J2201" s="1047"/>
      <c r="K2201" s="383">
        <v>1332.05</v>
      </c>
      <c r="L2201" s="383">
        <v>1502.27</v>
      </c>
    </row>
    <row r="2202" spans="2:12">
      <c r="B2202" s="1050"/>
      <c r="C2202" s="1050"/>
      <c r="D2202" s="382" t="s">
        <v>2887</v>
      </c>
      <c r="E2202" s="382" t="s">
        <v>2111</v>
      </c>
      <c r="F2202" s="382" t="s">
        <v>2342</v>
      </c>
      <c r="G2202" s="382" t="s">
        <v>2353</v>
      </c>
      <c r="H2202" s="383">
        <v>516.91</v>
      </c>
      <c r="I2202" s="1046">
        <v>195.98</v>
      </c>
      <c r="J2202" s="1047"/>
      <c r="K2202" s="383">
        <v>656.4</v>
      </c>
      <c r="L2202" s="383">
        <v>977.33</v>
      </c>
    </row>
    <row r="2203" spans="2:12">
      <c r="B2203" s="1050"/>
      <c r="C2203" s="1050"/>
      <c r="D2203" s="382" t="s">
        <v>2887</v>
      </c>
      <c r="E2203" s="382" t="s">
        <v>2111</v>
      </c>
      <c r="F2203" s="382" t="s">
        <v>2342</v>
      </c>
      <c r="G2203" s="382" t="s">
        <v>405</v>
      </c>
      <c r="H2203" s="383">
        <v>0</v>
      </c>
      <c r="I2203" s="1046">
        <v>65.180000000000007</v>
      </c>
      <c r="J2203" s="1047"/>
      <c r="K2203" s="383">
        <v>825.74</v>
      </c>
      <c r="L2203" s="383">
        <v>760.56</v>
      </c>
    </row>
    <row r="2204" spans="2:12">
      <c r="B2204" s="1050"/>
      <c r="C2204" s="1050"/>
      <c r="D2204" s="382" t="s">
        <v>2888</v>
      </c>
      <c r="E2204" s="382" t="s">
        <v>2112</v>
      </c>
      <c r="F2204" s="382" t="s">
        <v>2342</v>
      </c>
      <c r="G2204" s="382" t="s">
        <v>2343</v>
      </c>
      <c r="H2204" s="383">
        <v>2145.87</v>
      </c>
      <c r="I2204" s="1046">
        <v>882.77</v>
      </c>
      <c r="J2204" s="1047"/>
      <c r="K2204" s="383">
        <v>622.48</v>
      </c>
      <c r="L2204" s="383">
        <v>1885.58</v>
      </c>
    </row>
    <row r="2205" spans="2:12">
      <c r="B2205" s="1050"/>
      <c r="C2205" s="1050"/>
      <c r="D2205" s="382" t="s">
        <v>2888</v>
      </c>
      <c r="E2205" s="382" t="s">
        <v>2112</v>
      </c>
      <c r="F2205" s="382" t="s">
        <v>2342</v>
      </c>
      <c r="G2205" s="382" t="s">
        <v>2344</v>
      </c>
      <c r="H2205" s="383">
        <v>1689.69</v>
      </c>
      <c r="I2205" s="1046">
        <v>0</v>
      </c>
      <c r="J2205" s="1047"/>
      <c r="K2205" s="383">
        <v>348.5</v>
      </c>
      <c r="L2205" s="383">
        <v>2038.19</v>
      </c>
    </row>
    <row r="2206" spans="2:12">
      <c r="B2206" s="1050"/>
      <c r="C2206" s="1050"/>
      <c r="D2206" s="382" t="s">
        <v>2888</v>
      </c>
      <c r="E2206" s="382" t="s">
        <v>2112</v>
      </c>
      <c r="F2206" s="382" t="s">
        <v>2342</v>
      </c>
      <c r="G2206" s="382" t="s">
        <v>2345</v>
      </c>
      <c r="H2206" s="383">
        <v>1339.07</v>
      </c>
      <c r="I2206" s="1046">
        <v>59</v>
      </c>
      <c r="J2206" s="1047"/>
      <c r="K2206" s="383">
        <v>925.86</v>
      </c>
      <c r="L2206" s="383">
        <v>2205.9299999999998</v>
      </c>
    </row>
    <row r="2207" spans="2:12">
      <c r="B2207" s="1050"/>
      <c r="C2207" s="1050"/>
      <c r="D2207" s="382" t="s">
        <v>2888</v>
      </c>
      <c r="E2207" s="382" t="s">
        <v>2112</v>
      </c>
      <c r="F2207" s="382" t="s">
        <v>2342</v>
      </c>
      <c r="G2207" s="382" t="s">
        <v>2346</v>
      </c>
      <c r="H2207" s="383">
        <v>284.95999999999998</v>
      </c>
      <c r="I2207" s="1046">
        <v>0</v>
      </c>
      <c r="J2207" s="1047"/>
      <c r="K2207" s="383">
        <v>109.81</v>
      </c>
      <c r="L2207" s="383">
        <v>394.77</v>
      </c>
    </row>
    <row r="2208" spans="2:12">
      <c r="B2208" s="1050"/>
      <c r="C2208" s="1050"/>
      <c r="D2208" s="382" t="s">
        <v>2888</v>
      </c>
      <c r="E2208" s="382" t="s">
        <v>2112</v>
      </c>
      <c r="F2208" s="382" t="s">
        <v>2342</v>
      </c>
      <c r="G2208" s="382" t="s">
        <v>2347</v>
      </c>
      <c r="H2208" s="383">
        <v>1193</v>
      </c>
      <c r="I2208" s="1046">
        <v>356.53</v>
      </c>
      <c r="J2208" s="1047"/>
      <c r="K2208" s="383">
        <v>349.59</v>
      </c>
      <c r="L2208" s="383">
        <v>1186.06</v>
      </c>
    </row>
    <row r="2209" spans="2:12">
      <c r="B2209" s="1050"/>
      <c r="C2209" s="1050"/>
      <c r="D2209" s="382" t="s">
        <v>2888</v>
      </c>
      <c r="E2209" s="382" t="s">
        <v>2112</v>
      </c>
      <c r="F2209" s="382" t="s">
        <v>2342</v>
      </c>
      <c r="G2209" s="382" t="s">
        <v>2348</v>
      </c>
      <c r="H2209" s="383">
        <v>2052.2399999999998</v>
      </c>
      <c r="I2209" s="1046">
        <v>529.61</v>
      </c>
      <c r="J2209" s="1047"/>
      <c r="K2209" s="383">
        <v>516.03</v>
      </c>
      <c r="L2209" s="383">
        <v>2038.66</v>
      </c>
    </row>
    <row r="2210" spans="2:12">
      <c r="B2210" s="1050"/>
      <c r="C2210" s="1050"/>
      <c r="D2210" s="382" t="s">
        <v>2888</v>
      </c>
      <c r="E2210" s="382" t="s">
        <v>2112</v>
      </c>
      <c r="F2210" s="382" t="s">
        <v>2342</v>
      </c>
      <c r="G2210" s="382" t="s">
        <v>2349</v>
      </c>
      <c r="H2210" s="383">
        <v>2623.94</v>
      </c>
      <c r="I2210" s="1046">
        <v>145.36000000000001</v>
      </c>
      <c r="J2210" s="1047"/>
      <c r="K2210" s="383">
        <v>295.08999999999997</v>
      </c>
      <c r="L2210" s="383">
        <v>2773.67</v>
      </c>
    </row>
    <row r="2211" spans="2:12">
      <c r="B2211" s="1050"/>
      <c r="C2211" s="1050"/>
      <c r="D2211" s="382" t="s">
        <v>2888</v>
      </c>
      <c r="E2211" s="382" t="s">
        <v>2112</v>
      </c>
      <c r="F2211" s="382" t="s">
        <v>2342</v>
      </c>
      <c r="G2211" s="382" t="s">
        <v>2350</v>
      </c>
      <c r="H2211" s="383">
        <v>5138.95</v>
      </c>
      <c r="I2211" s="1046">
        <v>1033.18</v>
      </c>
      <c r="J2211" s="1047"/>
      <c r="K2211" s="383">
        <v>555.39</v>
      </c>
      <c r="L2211" s="383">
        <v>4661.16</v>
      </c>
    </row>
    <row r="2212" spans="2:12">
      <c r="B2212" s="1050"/>
      <c r="C2212" s="1050"/>
      <c r="D2212" s="382" t="s">
        <v>2888</v>
      </c>
      <c r="E2212" s="382" t="s">
        <v>2112</v>
      </c>
      <c r="F2212" s="382" t="s">
        <v>2342</v>
      </c>
      <c r="G2212" s="382" t="s">
        <v>2351</v>
      </c>
      <c r="H2212" s="383">
        <v>3383.92</v>
      </c>
      <c r="I2212" s="1046">
        <v>1190.55</v>
      </c>
      <c r="J2212" s="1047"/>
      <c r="K2212" s="383">
        <v>1932.64</v>
      </c>
      <c r="L2212" s="383">
        <v>4126.01</v>
      </c>
    </row>
    <row r="2213" spans="2:12">
      <c r="B2213" s="1050"/>
      <c r="C2213" s="1050"/>
      <c r="D2213" s="382" t="s">
        <v>2888</v>
      </c>
      <c r="E2213" s="382" t="s">
        <v>2112</v>
      </c>
      <c r="F2213" s="382" t="s">
        <v>2342</v>
      </c>
      <c r="G2213" s="382" t="s">
        <v>2352</v>
      </c>
      <c r="H2213" s="383">
        <v>84.2</v>
      </c>
      <c r="I2213" s="1046">
        <v>0</v>
      </c>
      <c r="J2213" s="1047"/>
      <c r="K2213" s="383">
        <v>63.6</v>
      </c>
      <c r="L2213" s="383">
        <v>147.80000000000001</v>
      </c>
    </row>
    <row r="2214" spans="2:12">
      <c r="B2214" s="1050"/>
      <c r="C2214" s="1050"/>
      <c r="D2214" s="382" t="s">
        <v>2888</v>
      </c>
      <c r="E2214" s="382" t="s">
        <v>2112</v>
      </c>
      <c r="F2214" s="382" t="s">
        <v>2342</v>
      </c>
      <c r="G2214" s="382" t="s">
        <v>2353</v>
      </c>
      <c r="H2214" s="383">
        <v>167.68</v>
      </c>
      <c r="I2214" s="1046">
        <v>76.27</v>
      </c>
      <c r="J2214" s="1047"/>
      <c r="K2214" s="383">
        <v>111.33</v>
      </c>
      <c r="L2214" s="383">
        <v>202.74</v>
      </c>
    </row>
    <row r="2215" spans="2:12">
      <c r="B2215" s="1050"/>
      <c r="C2215" s="1050"/>
      <c r="D2215" s="382" t="s">
        <v>2888</v>
      </c>
      <c r="E2215" s="382" t="s">
        <v>2112</v>
      </c>
      <c r="F2215" s="382" t="s">
        <v>2342</v>
      </c>
      <c r="G2215" s="382" t="s">
        <v>405</v>
      </c>
      <c r="H2215" s="383">
        <v>1241.32</v>
      </c>
      <c r="I2215" s="1046">
        <v>115.91</v>
      </c>
      <c r="J2215" s="1047"/>
      <c r="K2215" s="383">
        <v>662.34</v>
      </c>
      <c r="L2215" s="383">
        <v>1787.75</v>
      </c>
    </row>
    <row r="2216" spans="2:12">
      <c r="B2216" s="1050"/>
      <c r="C2216" s="1050"/>
      <c r="D2216" s="382" t="s">
        <v>2889</v>
      </c>
      <c r="E2216" s="382" t="s">
        <v>2113</v>
      </c>
      <c r="F2216" s="382" t="s">
        <v>2342</v>
      </c>
      <c r="G2216" s="382" t="s">
        <v>2343</v>
      </c>
      <c r="H2216" s="383">
        <v>14857.47</v>
      </c>
      <c r="I2216" s="1046">
        <v>5835.29</v>
      </c>
      <c r="J2216" s="1047"/>
      <c r="K2216" s="383">
        <v>3960.46</v>
      </c>
      <c r="L2216" s="383">
        <v>12982.64</v>
      </c>
    </row>
    <row r="2217" spans="2:12">
      <c r="B2217" s="1050"/>
      <c r="C2217" s="1050"/>
      <c r="D2217" s="382" t="s">
        <v>2889</v>
      </c>
      <c r="E2217" s="382" t="s">
        <v>2113</v>
      </c>
      <c r="F2217" s="382" t="s">
        <v>2342</v>
      </c>
      <c r="G2217" s="382" t="s">
        <v>2344</v>
      </c>
      <c r="H2217" s="383">
        <v>2178.09</v>
      </c>
      <c r="I2217" s="1046">
        <v>80.900000000000006</v>
      </c>
      <c r="J2217" s="1047"/>
      <c r="K2217" s="383">
        <v>36.69</v>
      </c>
      <c r="L2217" s="383">
        <v>2133.88</v>
      </c>
    </row>
    <row r="2218" spans="2:12">
      <c r="B2218" s="1050"/>
      <c r="C2218" s="1050"/>
      <c r="D2218" s="382" t="s">
        <v>2889</v>
      </c>
      <c r="E2218" s="382" t="s">
        <v>2113</v>
      </c>
      <c r="F2218" s="382" t="s">
        <v>2342</v>
      </c>
      <c r="G2218" s="382" t="s">
        <v>2345</v>
      </c>
      <c r="H2218" s="383">
        <v>2898.12</v>
      </c>
      <c r="I2218" s="1046">
        <v>0</v>
      </c>
      <c r="J2218" s="1047"/>
      <c r="K2218" s="383">
        <v>484.69</v>
      </c>
      <c r="L2218" s="383">
        <v>3382.81</v>
      </c>
    </row>
    <row r="2219" spans="2:12">
      <c r="B2219" s="1050"/>
      <c r="C2219" s="1050"/>
      <c r="D2219" s="382" t="s">
        <v>2889</v>
      </c>
      <c r="E2219" s="382" t="s">
        <v>2113</v>
      </c>
      <c r="F2219" s="382" t="s">
        <v>2342</v>
      </c>
      <c r="G2219" s="382" t="s">
        <v>2346</v>
      </c>
      <c r="H2219" s="383">
        <v>767.97</v>
      </c>
      <c r="I2219" s="1046">
        <v>464.65</v>
      </c>
      <c r="J2219" s="1047"/>
      <c r="K2219" s="383">
        <v>166.56</v>
      </c>
      <c r="L2219" s="383">
        <v>469.88</v>
      </c>
    </row>
    <row r="2220" spans="2:12">
      <c r="B2220" s="1050"/>
      <c r="C2220" s="1050"/>
      <c r="D2220" s="382" t="s">
        <v>2889</v>
      </c>
      <c r="E2220" s="382" t="s">
        <v>2113</v>
      </c>
      <c r="F2220" s="382" t="s">
        <v>2342</v>
      </c>
      <c r="G2220" s="382" t="s">
        <v>2347</v>
      </c>
      <c r="H2220" s="383">
        <v>3829.62</v>
      </c>
      <c r="I2220" s="1046">
        <v>255.91</v>
      </c>
      <c r="J2220" s="1047"/>
      <c r="K2220" s="383">
        <v>668.97</v>
      </c>
      <c r="L2220" s="383">
        <v>4242.68</v>
      </c>
    </row>
    <row r="2221" spans="2:12">
      <c r="B2221" s="1050"/>
      <c r="C2221" s="1050"/>
      <c r="D2221" s="382" t="s">
        <v>2889</v>
      </c>
      <c r="E2221" s="382" t="s">
        <v>2113</v>
      </c>
      <c r="F2221" s="382" t="s">
        <v>2342</v>
      </c>
      <c r="G2221" s="382" t="s">
        <v>2348</v>
      </c>
      <c r="H2221" s="383">
        <v>988.57</v>
      </c>
      <c r="I2221" s="1046">
        <v>734.62</v>
      </c>
      <c r="J2221" s="1047"/>
      <c r="K2221" s="383">
        <v>819.9</v>
      </c>
      <c r="L2221" s="383">
        <v>1073.8499999999999</v>
      </c>
    </row>
    <row r="2222" spans="2:12">
      <c r="B2222" s="1050"/>
      <c r="C2222" s="1050"/>
      <c r="D2222" s="382" t="s">
        <v>2889</v>
      </c>
      <c r="E2222" s="382" t="s">
        <v>2113</v>
      </c>
      <c r="F2222" s="382" t="s">
        <v>2342</v>
      </c>
      <c r="G2222" s="382" t="s">
        <v>2349</v>
      </c>
      <c r="H2222" s="383">
        <v>12059.18</v>
      </c>
      <c r="I2222" s="1046">
        <v>675.41</v>
      </c>
      <c r="J2222" s="1047"/>
      <c r="K2222" s="383">
        <v>3772.79</v>
      </c>
      <c r="L2222" s="383">
        <v>15156.56</v>
      </c>
    </row>
    <row r="2223" spans="2:12">
      <c r="B2223" s="1050"/>
      <c r="C2223" s="1050"/>
      <c r="D2223" s="382" t="s">
        <v>2889</v>
      </c>
      <c r="E2223" s="382" t="s">
        <v>2113</v>
      </c>
      <c r="F2223" s="382" t="s">
        <v>2342</v>
      </c>
      <c r="G2223" s="382" t="s">
        <v>2350</v>
      </c>
      <c r="H2223" s="383">
        <v>1925.25</v>
      </c>
      <c r="I2223" s="1046">
        <v>0</v>
      </c>
      <c r="J2223" s="1047"/>
      <c r="K2223" s="383">
        <v>81.819999999999993</v>
      </c>
      <c r="L2223" s="383">
        <v>2007.07</v>
      </c>
    </row>
    <row r="2224" spans="2:12">
      <c r="B2224" s="1050"/>
      <c r="C2224" s="1050"/>
      <c r="D2224" s="382" t="s">
        <v>2889</v>
      </c>
      <c r="E2224" s="382" t="s">
        <v>2113</v>
      </c>
      <c r="F2224" s="382" t="s">
        <v>2342</v>
      </c>
      <c r="G2224" s="382" t="s">
        <v>2351</v>
      </c>
      <c r="H2224" s="383">
        <v>2725.67</v>
      </c>
      <c r="I2224" s="1046">
        <v>0</v>
      </c>
      <c r="J2224" s="1047"/>
      <c r="K2224" s="383">
        <v>124.59</v>
      </c>
      <c r="L2224" s="383">
        <v>2850.26</v>
      </c>
    </row>
    <row r="2225" spans="2:12">
      <c r="B2225" s="1050"/>
      <c r="C2225" s="1050"/>
      <c r="D2225" s="382" t="s">
        <v>2889</v>
      </c>
      <c r="E2225" s="382" t="s">
        <v>2113</v>
      </c>
      <c r="F2225" s="382" t="s">
        <v>2342</v>
      </c>
      <c r="G2225" s="382" t="s">
        <v>2352</v>
      </c>
      <c r="H2225" s="383">
        <v>3540.55</v>
      </c>
      <c r="I2225" s="1046">
        <v>64.37</v>
      </c>
      <c r="J2225" s="1047"/>
      <c r="K2225" s="383">
        <v>223.36</v>
      </c>
      <c r="L2225" s="383">
        <v>3699.54</v>
      </c>
    </row>
    <row r="2226" spans="2:12">
      <c r="B2226" s="1050"/>
      <c r="C2226" s="1050"/>
      <c r="D2226" s="382" t="s">
        <v>2889</v>
      </c>
      <c r="E2226" s="382" t="s">
        <v>2113</v>
      </c>
      <c r="F2226" s="382" t="s">
        <v>2342</v>
      </c>
      <c r="G2226" s="382" t="s">
        <v>2353</v>
      </c>
      <c r="H2226" s="383">
        <v>318.18</v>
      </c>
      <c r="I2226" s="1046">
        <v>350.53</v>
      </c>
      <c r="J2226" s="1047"/>
      <c r="K2226" s="383">
        <v>1040.29</v>
      </c>
      <c r="L2226" s="383">
        <v>1007.94</v>
      </c>
    </row>
    <row r="2227" spans="2:12">
      <c r="B2227" s="1050"/>
      <c r="C2227" s="1050"/>
      <c r="D2227" s="382" t="s">
        <v>2889</v>
      </c>
      <c r="E2227" s="382" t="s">
        <v>2113</v>
      </c>
      <c r="F2227" s="382" t="s">
        <v>2342</v>
      </c>
      <c r="G2227" s="382" t="s">
        <v>405</v>
      </c>
      <c r="H2227" s="383">
        <v>1393.8</v>
      </c>
      <c r="I2227" s="1046">
        <v>5.0199999999999996</v>
      </c>
      <c r="J2227" s="1047"/>
      <c r="K2227" s="383">
        <v>263.39999999999998</v>
      </c>
      <c r="L2227" s="383">
        <v>1652.18</v>
      </c>
    </row>
    <row r="2228" spans="2:12">
      <c r="B2228" s="1050"/>
      <c r="C2228" s="1050"/>
      <c r="D2228" s="382" t="s">
        <v>2890</v>
      </c>
      <c r="E2228" s="382" t="s">
        <v>2114</v>
      </c>
      <c r="F2228" s="382" t="s">
        <v>2342</v>
      </c>
      <c r="G2228" s="382" t="s">
        <v>2343</v>
      </c>
      <c r="H2228" s="383">
        <v>13917.46</v>
      </c>
      <c r="I2228" s="1046">
        <v>289.17</v>
      </c>
      <c r="J2228" s="1047"/>
      <c r="K2228" s="383">
        <v>1395.3</v>
      </c>
      <c r="L2228" s="383">
        <v>15023.59</v>
      </c>
    </row>
    <row r="2229" spans="2:12">
      <c r="B2229" s="1050"/>
      <c r="C2229" s="1050"/>
      <c r="D2229" s="382" t="s">
        <v>2890</v>
      </c>
      <c r="E2229" s="382" t="s">
        <v>2114</v>
      </c>
      <c r="F2229" s="382" t="s">
        <v>2342</v>
      </c>
      <c r="G2229" s="382" t="s">
        <v>2344</v>
      </c>
      <c r="H2229" s="383">
        <v>967.57</v>
      </c>
      <c r="I2229" s="1046">
        <v>5.39</v>
      </c>
      <c r="J2229" s="1047"/>
      <c r="K2229" s="383">
        <v>23.75</v>
      </c>
      <c r="L2229" s="383">
        <v>985.93</v>
      </c>
    </row>
    <row r="2230" spans="2:12">
      <c r="B2230" s="1050"/>
      <c r="C2230" s="1050"/>
      <c r="D2230" s="382" t="s">
        <v>2890</v>
      </c>
      <c r="E2230" s="382" t="s">
        <v>2114</v>
      </c>
      <c r="F2230" s="382" t="s">
        <v>2342</v>
      </c>
      <c r="G2230" s="382" t="s">
        <v>2345</v>
      </c>
      <c r="H2230" s="383">
        <v>2893.93</v>
      </c>
      <c r="I2230" s="1046">
        <v>0</v>
      </c>
      <c r="J2230" s="1047"/>
      <c r="K2230" s="383">
        <v>4346.2299999999996</v>
      </c>
      <c r="L2230" s="383">
        <v>7240.16</v>
      </c>
    </row>
    <row r="2231" spans="2:12">
      <c r="B2231" s="1050"/>
      <c r="C2231" s="1050"/>
      <c r="D2231" s="382" t="s">
        <v>2890</v>
      </c>
      <c r="E2231" s="382" t="s">
        <v>2114</v>
      </c>
      <c r="F2231" s="382" t="s">
        <v>2342</v>
      </c>
      <c r="G2231" s="382" t="s">
        <v>2347</v>
      </c>
      <c r="H2231" s="383">
        <v>0.01</v>
      </c>
      <c r="I2231" s="1046">
        <v>0</v>
      </c>
      <c r="J2231" s="1047"/>
      <c r="K2231" s="383">
        <v>0</v>
      </c>
      <c r="L2231" s="383">
        <v>0.01</v>
      </c>
    </row>
    <row r="2232" spans="2:12">
      <c r="B2232" s="1050"/>
      <c r="C2232" s="1050"/>
      <c r="D2232" s="382" t="s">
        <v>2890</v>
      </c>
      <c r="E2232" s="382" t="s">
        <v>2114</v>
      </c>
      <c r="F2232" s="382" t="s">
        <v>2342</v>
      </c>
      <c r="G2232" s="382" t="s">
        <v>2348</v>
      </c>
      <c r="H2232" s="383">
        <v>203.02</v>
      </c>
      <c r="I2232" s="1046">
        <v>714.3</v>
      </c>
      <c r="J2232" s="1047"/>
      <c r="K2232" s="383">
        <v>714.3</v>
      </c>
      <c r="L2232" s="383">
        <v>203.02</v>
      </c>
    </row>
    <row r="2233" spans="2:12">
      <c r="B2233" s="1050"/>
      <c r="C2233" s="1050"/>
      <c r="D2233" s="382" t="s">
        <v>2890</v>
      </c>
      <c r="E2233" s="382" t="s">
        <v>2114</v>
      </c>
      <c r="F2233" s="382" t="s">
        <v>2342</v>
      </c>
      <c r="G2233" s="382" t="s">
        <v>2349</v>
      </c>
      <c r="H2233" s="383">
        <v>13469.62</v>
      </c>
      <c r="I2233" s="1046">
        <v>8437.5</v>
      </c>
      <c r="J2233" s="1047"/>
      <c r="K2233" s="383">
        <v>1575.51</v>
      </c>
      <c r="L2233" s="383">
        <v>6607.63</v>
      </c>
    </row>
    <row r="2234" spans="2:12">
      <c r="B2234" s="1050"/>
      <c r="C2234" s="1050"/>
      <c r="D2234" s="382" t="s">
        <v>2890</v>
      </c>
      <c r="E2234" s="382" t="s">
        <v>2114</v>
      </c>
      <c r="F2234" s="382" t="s">
        <v>2342</v>
      </c>
      <c r="G2234" s="382" t="s">
        <v>2350</v>
      </c>
      <c r="H2234" s="383">
        <v>4809.68</v>
      </c>
      <c r="I2234" s="1046">
        <v>787.8</v>
      </c>
      <c r="J2234" s="1047"/>
      <c r="K2234" s="383">
        <v>541.9</v>
      </c>
      <c r="L2234" s="383">
        <v>4563.78</v>
      </c>
    </row>
    <row r="2235" spans="2:12">
      <c r="B2235" s="1050"/>
      <c r="C2235" s="1050"/>
      <c r="D2235" s="382" t="s">
        <v>2890</v>
      </c>
      <c r="E2235" s="382" t="s">
        <v>2114</v>
      </c>
      <c r="F2235" s="382" t="s">
        <v>2342</v>
      </c>
      <c r="G2235" s="382" t="s">
        <v>2351</v>
      </c>
      <c r="H2235" s="383">
        <v>0</v>
      </c>
      <c r="I2235" s="1046">
        <v>0</v>
      </c>
      <c r="J2235" s="1047"/>
      <c r="K2235" s="383">
        <v>1359.81</v>
      </c>
      <c r="L2235" s="383">
        <v>1359.81</v>
      </c>
    </row>
    <row r="2236" spans="2:12">
      <c r="B2236" s="1050"/>
      <c r="C2236" s="1050"/>
      <c r="D2236" s="382" t="s">
        <v>2890</v>
      </c>
      <c r="E2236" s="382" t="s">
        <v>2114</v>
      </c>
      <c r="F2236" s="382" t="s">
        <v>2342</v>
      </c>
      <c r="G2236" s="382" t="s">
        <v>2352</v>
      </c>
      <c r="H2236" s="383">
        <v>994.15</v>
      </c>
      <c r="I2236" s="1046">
        <v>1093.06</v>
      </c>
      <c r="J2236" s="1047"/>
      <c r="K2236" s="383">
        <v>2435.06</v>
      </c>
      <c r="L2236" s="383">
        <v>2336.15</v>
      </c>
    </row>
    <row r="2237" spans="2:12">
      <c r="B2237" s="1050"/>
      <c r="C2237" s="1050"/>
      <c r="D2237" s="382" t="s">
        <v>2890</v>
      </c>
      <c r="E2237" s="382" t="s">
        <v>2114</v>
      </c>
      <c r="F2237" s="382" t="s">
        <v>2342</v>
      </c>
      <c r="G2237" s="382" t="s">
        <v>2353</v>
      </c>
      <c r="H2237" s="383">
        <v>940</v>
      </c>
      <c r="I2237" s="1046">
        <v>135.35</v>
      </c>
      <c r="J2237" s="1047"/>
      <c r="K2237" s="383">
        <v>0</v>
      </c>
      <c r="L2237" s="383">
        <v>804.65</v>
      </c>
    </row>
    <row r="2238" spans="2:12">
      <c r="B2238" s="1050"/>
      <c r="C2238" s="1050"/>
      <c r="D2238" s="382" t="s">
        <v>2891</v>
      </c>
      <c r="E2238" s="382" t="s">
        <v>2115</v>
      </c>
      <c r="F2238" s="382" t="s">
        <v>2342</v>
      </c>
      <c r="G2238" s="382" t="s">
        <v>2355</v>
      </c>
      <c r="H2238" s="383">
        <v>19042.21</v>
      </c>
      <c r="I2238" s="1046">
        <v>2090.9</v>
      </c>
      <c r="J2238" s="1047"/>
      <c r="K2238" s="383">
        <v>605.62</v>
      </c>
      <c r="L2238" s="383">
        <v>17556.93</v>
      </c>
    </row>
    <row r="2239" spans="2:12">
      <c r="B2239" s="1050"/>
      <c r="C2239" s="1050"/>
      <c r="D2239" s="382" t="s">
        <v>2892</v>
      </c>
      <c r="E2239" s="382" t="s">
        <v>2116</v>
      </c>
      <c r="F2239" s="382" t="s">
        <v>2342</v>
      </c>
      <c r="G2239" s="382" t="s">
        <v>2343</v>
      </c>
      <c r="H2239" s="383">
        <v>0</v>
      </c>
      <c r="I2239" s="1046">
        <v>0</v>
      </c>
      <c r="J2239" s="1047"/>
      <c r="K2239" s="383">
        <v>6027.5</v>
      </c>
      <c r="L2239" s="383">
        <v>6027.5</v>
      </c>
    </row>
    <row r="2240" spans="2:12">
      <c r="B2240" s="1050"/>
      <c r="C2240" s="1051"/>
      <c r="D2240" s="359" t="s">
        <v>12</v>
      </c>
      <c r="E2240" s="359" t="s">
        <v>111</v>
      </c>
      <c r="F2240" s="359" t="s">
        <v>111</v>
      </c>
      <c r="G2240" s="359" t="s">
        <v>111</v>
      </c>
      <c r="H2240" s="384">
        <v>146958.16</v>
      </c>
      <c r="I2240" s="1048">
        <v>32654.71</v>
      </c>
      <c r="J2240" s="1047"/>
      <c r="K2240" s="384">
        <v>48963.53</v>
      </c>
      <c r="L2240" s="384">
        <v>163266.98000000001</v>
      </c>
    </row>
    <row r="2241" spans="2:12">
      <c r="B2241" s="1050"/>
      <c r="C2241" s="1049" t="s">
        <v>2893</v>
      </c>
      <c r="D2241" s="382" t="s">
        <v>2894</v>
      </c>
      <c r="E2241" s="382" t="s">
        <v>2117</v>
      </c>
      <c r="F2241" s="382" t="s">
        <v>2342</v>
      </c>
      <c r="G2241" s="382" t="s">
        <v>2343</v>
      </c>
      <c r="H2241" s="383">
        <v>2843.66</v>
      </c>
      <c r="I2241" s="1046">
        <v>0</v>
      </c>
      <c r="J2241" s="1047"/>
      <c r="K2241" s="383">
        <v>2677.84</v>
      </c>
      <c r="L2241" s="383">
        <v>5521.5</v>
      </c>
    </row>
    <row r="2242" spans="2:12">
      <c r="B2242" s="1050"/>
      <c r="C2242" s="1050"/>
      <c r="D2242" s="382" t="s">
        <v>2894</v>
      </c>
      <c r="E2242" s="382" t="s">
        <v>2117</v>
      </c>
      <c r="F2242" s="382" t="s">
        <v>2342</v>
      </c>
      <c r="G2242" s="382" t="s">
        <v>2344</v>
      </c>
      <c r="H2242" s="383">
        <v>1161.04</v>
      </c>
      <c r="I2242" s="1046">
        <v>21.4</v>
      </c>
      <c r="J2242" s="1047"/>
      <c r="K2242" s="383">
        <v>820.85</v>
      </c>
      <c r="L2242" s="383">
        <v>1960.49</v>
      </c>
    </row>
    <row r="2243" spans="2:12">
      <c r="B2243" s="1050"/>
      <c r="C2243" s="1050"/>
      <c r="D2243" s="382" t="s">
        <v>2894</v>
      </c>
      <c r="E2243" s="382" t="s">
        <v>2117</v>
      </c>
      <c r="F2243" s="382" t="s">
        <v>2342</v>
      </c>
      <c r="G2243" s="382" t="s">
        <v>2345</v>
      </c>
      <c r="H2243" s="383">
        <v>468.89</v>
      </c>
      <c r="I2243" s="1046">
        <v>0</v>
      </c>
      <c r="J2243" s="1047"/>
      <c r="K2243" s="383">
        <v>462.75</v>
      </c>
      <c r="L2243" s="383">
        <v>931.64</v>
      </c>
    </row>
    <row r="2244" spans="2:12">
      <c r="B2244" s="1050"/>
      <c r="C2244" s="1050"/>
      <c r="D2244" s="382" t="s">
        <v>2894</v>
      </c>
      <c r="E2244" s="382" t="s">
        <v>2117</v>
      </c>
      <c r="F2244" s="382" t="s">
        <v>2342</v>
      </c>
      <c r="G2244" s="382" t="s">
        <v>2346</v>
      </c>
      <c r="H2244" s="383">
        <v>793.72</v>
      </c>
      <c r="I2244" s="1046">
        <v>0</v>
      </c>
      <c r="J2244" s="1047"/>
      <c r="K2244" s="383">
        <v>133.71</v>
      </c>
      <c r="L2244" s="383">
        <v>927.43</v>
      </c>
    </row>
    <row r="2245" spans="2:12">
      <c r="B2245" s="1050"/>
      <c r="C2245" s="1050"/>
      <c r="D2245" s="382" t="s">
        <v>2894</v>
      </c>
      <c r="E2245" s="382" t="s">
        <v>2117</v>
      </c>
      <c r="F2245" s="382" t="s">
        <v>2342</v>
      </c>
      <c r="G2245" s="382" t="s">
        <v>2347</v>
      </c>
      <c r="H2245" s="383">
        <v>1670.76</v>
      </c>
      <c r="I2245" s="1046">
        <v>0</v>
      </c>
      <c r="J2245" s="1047"/>
      <c r="K2245" s="383">
        <v>1327.37</v>
      </c>
      <c r="L2245" s="383">
        <v>2998.13</v>
      </c>
    </row>
    <row r="2246" spans="2:12">
      <c r="B2246" s="1050"/>
      <c r="C2246" s="1050"/>
      <c r="D2246" s="382" t="s">
        <v>2894</v>
      </c>
      <c r="E2246" s="382" t="s">
        <v>2117</v>
      </c>
      <c r="F2246" s="382" t="s">
        <v>2342</v>
      </c>
      <c r="G2246" s="382" t="s">
        <v>2348</v>
      </c>
      <c r="H2246" s="383">
        <v>3006.97</v>
      </c>
      <c r="I2246" s="1046">
        <v>213.16</v>
      </c>
      <c r="J2246" s="1047"/>
      <c r="K2246" s="383">
        <v>1101.1400000000001</v>
      </c>
      <c r="L2246" s="383">
        <v>3894.95</v>
      </c>
    </row>
    <row r="2247" spans="2:12">
      <c r="B2247" s="1050"/>
      <c r="C2247" s="1050"/>
      <c r="D2247" s="382" t="s">
        <v>2894</v>
      </c>
      <c r="E2247" s="382" t="s">
        <v>2117</v>
      </c>
      <c r="F2247" s="382" t="s">
        <v>2342</v>
      </c>
      <c r="G2247" s="382" t="s">
        <v>2349</v>
      </c>
      <c r="H2247" s="383">
        <v>2221.94</v>
      </c>
      <c r="I2247" s="1046">
        <v>7.56</v>
      </c>
      <c r="J2247" s="1047"/>
      <c r="K2247" s="383">
        <v>2043</v>
      </c>
      <c r="L2247" s="383">
        <v>4257.38</v>
      </c>
    </row>
    <row r="2248" spans="2:12">
      <c r="B2248" s="1050"/>
      <c r="C2248" s="1050"/>
      <c r="D2248" s="382" t="s">
        <v>2894</v>
      </c>
      <c r="E2248" s="382" t="s">
        <v>2117</v>
      </c>
      <c r="F2248" s="382" t="s">
        <v>2342</v>
      </c>
      <c r="G2248" s="382" t="s">
        <v>2350</v>
      </c>
      <c r="H2248" s="383">
        <v>1444.42</v>
      </c>
      <c r="I2248" s="1046">
        <v>0</v>
      </c>
      <c r="J2248" s="1047"/>
      <c r="K2248" s="383">
        <v>2030.48</v>
      </c>
      <c r="L2248" s="383">
        <v>3474.9</v>
      </c>
    </row>
    <row r="2249" spans="2:12">
      <c r="B2249" s="1050"/>
      <c r="C2249" s="1050"/>
      <c r="D2249" s="382" t="s">
        <v>2894</v>
      </c>
      <c r="E2249" s="382" t="s">
        <v>2117</v>
      </c>
      <c r="F2249" s="382" t="s">
        <v>2342</v>
      </c>
      <c r="G2249" s="382" t="s">
        <v>2351</v>
      </c>
      <c r="H2249" s="383">
        <v>170.21</v>
      </c>
      <c r="I2249" s="1046">
        <v>0</v>
      </c>
      <c r="J2249" s="1047"/>
      <c r="K2249" s="383">
        <v>95.39</v>
      </c>
      <c r="L2249" s="383">
        <v>265.60000000000002</v>
      </c>
    </row>
    <row r="2250" spans="2:12">
      <c r="B2250" s="1050"/>
      <c r="C2250" s="1050"/>
      <c r="D2250" s="382" t="s">
        <v>2894</v>
      </c>
      <c r="E2250" s="382" t="s">
        <v>2117</v>
      </c>
      <c r="F2250" s="382" t="s">
        <v>2342</v>
      </c>
      <c r="G2250" s="382" t="s">
        <v>2352</v>
      </c>
      <c r="H2250" s="383">
        <v>893.13</v>
      </c>
      <c r="I2250" s="1046">
        <v>0</v>
      </c>
      <c r="J2250" s="1047"/>
      <c r="K2250" s="383">
        <v>595.53</v>
      </c>
      <c r="L2250" s="383">
        <v>1488.66</v>
      </c>
    </row>
    <row r="2251" spans="2:12">
      <c r="B2251" s="1050"/>
      <c r="C2251" s="1050"/>
      <c r="D2251" s="382" t="s">
        <v>2894</v>
      </c>
      <c r="E2251" s="382" t="s">
        <v>2117</v>
      </c>
      <c r="F2251" s="382" t="s">
        <v>2342</v>
      </c>
      <c r="G2251" s="382" t="s">
        <v>2353</v>
      </c>
      <c r="H2251" s="383">
        <v>2164.16</v>
      </c>
      <c r="I2251" s="1046">
        <v>0</v>
      </c>
      <c r="J2251" s="1047"/>
      <c r="K2251" s="383">
        <v>1527.2</v>
      </c>
      <c r="L2251" s="383">
        <v>3691.36</v>
      </c>
    </row>
    <row r="2252" spans="2:12">
      <c r="B2252" s="1050"/>
      <c r="C2252" s="1050"/>
      <c r="D2252" s="382" t="s">
        <v>2894</v>
      </c>
      <c r="E2252" s="382" t="s">
        <v>2117</v>
      </c>
      <c r="F2252" s="382" t="s">
        <v>2342</v>
      </c>
      <c r="G2252" s="382" t="s">
        <v>405</v>
      </c>
      <c r="H2252" s="383">
        <v>959.08</v>
      </c>
      <c r="I2252" s="1046">
        <v>0</v>
      </c>
      <c r="J2252" s="1047"/>
      <c r="K2252" s="383">
        <v>1418.62</v>
      </c>
      <c r="L2252" s="383">
        <v>2377.6999999999998</v>
      </c>
    </row>
    <row r="2253" spans="2:12">
      <c r="B2253" s="1050"/>
      <c r="C2253" s="1050"/>
      <c r="D2253" s="382" t="s">
        <v>2894</v>
      </c>
      <c r="E2253" s="382" t="s">
        <v>2117</v>
      </c>
      <c r="F2253" s="382" t="s">
        <v>2342</v>
      </c>
      <c r="G2253" s="382" t="s">
        <v>2354</v>
      </c>
      <c r="H2253" s="383">
        <v>674.73</v>
      </c>
      <c r="I2253" s="1046">
        <v>132.24</v>
      </c>
      <c r="J2253" s="1047"/>
      <c r="K2253" s="383">
        <v>693.91</v>
      </c>
      <c r="L2253" s="383">
        <v>1236.4000000000001</v>
      </c>
    </row>
    <row r="2254" spans="2:12">
      <c r="B2254" s="1050"/>
      <c r="C2254" s="1050"/>
      <c r="D2254" s="382" t="s">
        <v>2894</v>
      </c>
      <c r="E2254" s="382" t="s">
        <v>2117</v>
      </c>
      <c r="F2254" s="382" t="s">
        <v>2342</v>
      </c>
      <c r="G2254" s="382" t="s">
        <v>2355</v>
      </c>
      <c r="H2254" s="383">
        <v>-6201.59</v>
      </c>
      <c r="I2254" s="1046">
        <v>11388.73</v>
      </c>
      <c r="J2254" s="1047"/>
      <c r="K2254" s="383">
        <v>151.03</v>
      </c>
      <c r="L2254" s="383">
        <v>-17439.29</v>
      </c>
    </row>
    <row r="2255" spans="2:12">
      <c r="B2255" s="1050"/>
      <c r="C2255" s="1050"/>
      <c r="D2255" s="382" t="s">
        <v>2895</v>
      </c>
      <c r="E2255" s="382" t="s">
        <v>2118</v>
      </c>
      <c r="F2255" s="382" t="s">
        <v>2342</v>
      </c>
      <c r="G2255" s="382" t="s">
        <v>2346</v>
      </c>
      <c r="H2255" s="383">
        <v>4.72</v>
      </c>
      <c r="I2255" s="1046">
        <v>0</v>
      </c>
      <c r="J2255" s="1047"/>
      <c r="K2255" s="383">
        <v>0</v>
      </c>
      <c r="L2255" s="383">
        <v>4.72</v>
      </c>
    </row>
    <row r="2256" spans="2:12">
      <c r="B2256" s="1050"/>
      <c r="C2256" s="1050"/>
      <c r="D2256" s="382" t="s">
        <v>2895</v>
      </c>
      <c r="E2256" s="382" t="s">
        <v>2118</v>
      </c>
      <c r="F2256" s="382" t="s">
        <v>2342</v>
      </c>
      <c r="G2256" s="382" t="s">
        <v>2353</v>
      </c>
      <c r="H2256" s="383">
        <v>637.86</v>
      </c>
      <c r="I2256" s="1046">
        <v>0</v>
      </c>
      <c r="J2256" s="1047"/>
      <c r="K2256" s="383">
        <v>273.82</v>
      </c>
      <c r="L2256" s="383">
        <v>911.68</v>
      </c>
    </row>
    <row r="2257" spans="2:12">
      <c r="B2257" s="1050"/>
      <c r="C2257" s="1050"/>
      <c r="D2257" s="382" t="s">
        <v>2895</v>
      </c>
      <c r="E2257" s="382" t="s">
        <v>2118</v>
      </c>
      <c r="F2257" s="382" t="s">
        <v>2342</v>
      </c>
      <c r="G2257" s="382" t="s">
        <v>2355</v>
      </c>
      <c r="H2257" s="383">
        <v>-264.02999999999997</v>
      </c>
      <c r="I2257" s="1046">
        <v>348.45</v>
      </c>
      <c r="J2257" s="1047"/>
      <c r="K2257" s="383">
        <v>0</v>
      </c>
      <c r="L2257" s="383">
        <v>-612.48</v>
      </c>
    </row>
    <row r="2258" spans="2:12">
      <c r="B2258" s="1050"/>
      <c r="C2258" s="1050"/>
      <c r="D2258" s="382" t="s">
        <v>2896</v>
      </c>
      <c r="E2258" s="382" t="s">
        <v>2119</v>
      </c>
      <c r="F2258" s="382" t="s">
        <v>2342</v>
      </c>
      <c r="G2258" s="382" t="s">
        <v>2343</v>
      </c>
      <c r="H2258" s="383">
        <v>1219.17</v>
      </c>
      <c r="I2258" s="1046">
        <v>0</v>
      </c>
      <c r="J2258" s="1047"/>
      <c r="K2258" s="383">
        <v>756.48</v>
      </c>
      <c r="L2258" s="383">
        <v>1975.65</v>
      </c>
    </row>
    <row r="2259" spans="2:12">
      <c r="B2259" s="1050"/>
      <c r="C2259" s="1050"/>
      <c r="D2259" s="382" t="s">
        <v>2896</v>
      </c>
      <c r="E2259" s="382" t="s">
        <v>2119</v>
      </c>
      <c r="F2259" s="382" t="s">
        <v>2342</v>
      </c>
      <c r="G2259" s="382" t="s">
        <v>2344</v>
      </c>
      <c r="H2259" s="383">
        <v>1245.98</v>
      </c>
      <c r="I2259" s="1046">
        <v>0</v>
      </c>
      <c r="J2259" s="1047"/>
      <c r="K2259" s="383">
        <v>906.34</v>
      </c>
      <c r="L2259" s="383">
        <v>2152.3200000000002</v>
      </c>
    </row>
    <row r="2260" spans="2:12">
      <c r="B2260" s="1050"/>
      <c r="C2260" s="1050"/>
      <c r="D2260" s="382" t="s">
        <v>2896</v>
      </c>
      <c r="E2260" s="382" t="s">
        <v>2119</v>
      </c>
      <c r="F2260" s="382" t="s">
        <v>2342</v>
      </c>
      <c r="G2260" s="382" t="s">
        <v>2345</v>
      </c>
      <c r="H2260" s="383">
        <v>1095.3399999999999</v>
      </c>
      <c r="I2260" s="1046">
        <v>0</v>
      </c>
      <c r="J2260" s="1047"/>
      <c r="K2260" s="383">
        <v>830.31</v>
      </c>
      <c r="L2260" s="383">
        <v>1925.65</v>
      </c>
    </row>
    <row r="2261" spans="2:12">
      <c r="B2261" s="1050"/>
      <c r="C2261" s="1050"/>
      <c r="D2261" s="382" t="s">
        <v>2896</v>
      </c>
      <c r="E2261" s="382" t="s">
        <v>2119</v>
      </c>
      <c r="F2261" s="382" t="s">
        <v>2342</v>
      </c>
      <c r="G2261" s="382" t="s">
        <v>2346</v>
      </c>
      <c r="H2261" s="383">
        <v>666.68</v>
      </c>
      <c r="I2261" s="1046">
        <v>0</v>
      </c>
      <c r="J2261" s="1047"/>
      <c r="K2261" s="383">
        <v>256.49</v>
      </c>
      <c r="L2261" s="383">
        <v>923.17</v>
      </c>
    </row>
    <row r="2262" spans="2:12">
      <c r="B2262" s="1050"/>
      <c r="C2262" s="1050"/>
      <c r="D2262" s="382" t="s">
        <v>2896</v>
      </c>
      <c r="E2262" s="382" t="s">
        <v>2119</v>
      </c>
      <c r="F2262" s="382" t="s">
        <v>2342</v>
      </c>
      <c r="G2262" s="382" t="s">
        <v>2347</v>
      </c>
      <c r="H2262" s="383">
        <v>2370.8000000000002</v>
      </c>
      <c r="I2262" s="1046">
        <v>86.94</v>
      </c>
      <c r="J2262" s="1047"/>
      <c r="K2262" s="383">
        <v>2493.77</v>
      </c>
      <c r="L2262" s="383">
        <v>4777.63</v>
      </c>
    </row>
    <row r="2263" spans="2:12">
      <c r="B2263" s="1050"/>
      <c r="C2263" s="1050"/>
      <c r="D2263" s="382" t="s">
        <v>2896</v>
      </c>
      <c r="E2263" s="382" t="s">
        <v>2119</v>
      </c>
      <c r="F2263" s="382" t="s">
        <v>2342</v>
      </c>
      <c r="G2263" s="382" t="s">
        <v>2348</v>
      </c>
      <c r="H2263" s="383">
        <v>1391.6</v>
      </c>
      <c r="I2263" s="1046">
        <v>13.88</v>
      </c>
      <c r="J2263" s="1047"/>
      <c r="K2263" s="383">
        <v>805.73</v>
      </c>
      <c r="L2263" s="383">
        <v>2183.4499999999998</v>
      </c>
    </row>
    <row r="2264" spans="2:12">
      <c r="B2264" s="1050"/>
      <c r="C2264" s="1050"/>
      <c r="D2264" s="382" t="s">
        <v>2896</v>
      </c>
      <c r="E2264" s="382" t="s">
        <v>2119</v>
      </c>
      <c r="F2264" s="382" t="s">
        <v>2342</v>
      </c>
      <c r="G2264" s="382" t="s">
        <v>2349</v>
      </c>
      <c r="H2264" s="383">
        <v>1318.51</v>
      </c>
      <c r="I2264" s="1046">
        <v>110.7</v>
      </c>
      <c r="J2264" s="1047"/>
      <c r="K2264" s="383">
        <v>589.54999999999995</v>
      </c>
      <c r="L2264" s="383">
        <v>1797.36</v>
      </c>
    </row>
    <row r="2265" spans="2:12">
      <c r="B2265" s="1050"/>
      <c r="C2265" s="1050"/>
      <c r="D2265" s="382" t="s">
        <v>2896</v>
      </c>
      <c r="E2265" s="382" t="s">
        <v>2119</v>
      </c>
      <c r="F2265" s="382" t="s">
        <v>2342</v>
      </c>
      <c r="G2265" s="382" t="s">
        <v>2350</v>
      </c>
      <c r="H2265" s="383">
        <v>4398.7299999999996</v>
      </c>
      <c r="I2265" s="1046">
        <v>0</v>
      </c>
      <c r="J2265" s="1047"/>
      <c r="K2265" s="383">
        <v>3029.08</v>
      </c>
      <c r="L2265" s="383">
        <v>7427.81</v>
      </c>
    </row>
    <row r="2266" spans="2:12">
      <c r="B2266" s="1050"/>
      <c r="C2266" s="1050"/>
      <c r="D2266" s="382" t="s">
        <v>2896</v>
      </c>
      <c r="E2266" s="382" t="s">
        <v>2119</v>
      </c>
      <c r="F2266" s="382" t="s">
        <v>2342</v>
      </c>
      <c r="G2266" s="382" t="s">
        <v>2351</v>
      </c>
      <c r="H2266" s="383">
        <v>643.92999999999995</v>
      </c>
      <c r="I2266" s="1046">
        <v>0</v>
      </c>
      <c r="J2266" s="1047"/>
      <c r="K2266" s="383">
        <v>348.3</v>
      </c>
      <c r="L2266" s="383">
        <v>992.23</v>
      </c>
    </row>
    <row r="2267" spans="2:12">
      <c r="B2267" s="1050"/>
      <c r="C2267" s="1050"/>
      <c r="D2267" s="382" t="s">
        <v>2896</v>
      </c>
      <c r="E2267" s="382" t="s">
        <v>2119</v>
      </c>
      <c r="F2267" s="382" t="s">
        <v>2342</v>
      </c>
      <c r="G2267" s="382" t="s">
        <v>2352</v>
      </c>
      <c r="H2267" s="383">
        <v>954.14</v>
      </c>
      <c r="I2267" s="1046">
        <v>0</v>
      </c>
      <c r="J2267" s="1047"/>
      <c r="K2267" s="383">
        <v>552.77</v>
      </c>
      <c r="L2267" s="383">
        <v>1506.91</v>
      </c>
    </row>
    <row r="2268" spans="2:12">
      <c r="B2268" s="1050"/>
      <c r="C2268" s="1050"/>
      <c r="D2268" s="382" t="s">
        <v>2896</v>
      </c>
      <c r="E2268" s="382" t="s">
        <v>2119</v>
      </c>
      <c r="F2268" s="382" t="s">
        <v>2342</v>
      </c>
      <c r="G2268" s="382" t="s">
        <v>2353</v>
      </c>
      <c r="H2268" s="383">
        <v>1871.66</v>
      </c>
      <c r="I2268" s="1046">
        <v>0</v>
      </c>
      <c r="J2268" s="1047"/>
      <c r="K2268" s="383">
        <v>1399.74</v>
      </c>
      <c r="L2268" s="383">
        <v>3271.4</v>
      </c>
    </row>
    <row r="2269" spans="2:12">
      <c r="B2269" s="1050"/>
      <c r="C2269" s="1050"/>
      <c r="D2269" s="382" t="s">
        <v>2896</v>
      </c>
      <c r="E2269" s="382" t="s">
        <v>2119</v>
      </c>
      <c r="F2269" s="382" t="s">
        <v>2342</v>
      </c>
      <c r="G2269" s="382" t="s">
        <v>405</v>
      </c>
      <c r="H2269" s="383">
        <v>935.75</v>
      </c>
      <c r="I2269" s="1046">
        <v>0</v>
      </c>
      <c r="J2269" s="1047"/>
      <c r="K2269" s="383">
        <v>517.58000000000004</v>
      </c>
      <c r="L2269" s="383">
        <v>1453.33</v>
      </c>
    </row>
    <row r="2270" spans="2:12">
      <c r="B2270" s="1050"/>
      <c r="C2270" s="1050"/>
      <c r="D2270" s="382" t="s">
        <v>2896</v>
      </c>
      <c r="E2270" s="382" t="s">
        <v>2119</v>
      </c>
      <c r="F2270" s="382" t="s">
        <v>2342</v>
      </c>
      <c r="G2270" s="382" t="s">
        <v>2354</v>
      </c>
      <c r="H2270" s="383">
        <v>421.6</v>
      </c>
      <c r="I2270" s="1046">
        <v>0</v>
      </c>
      <c r="J2270" s="1047"/>
      <c r="K2270" s="383">
        <v>851.79</v>
      </c>
      <c r="L2270" s="383">
        <v>1273.3900000000001</v>
      </c>
    </row>
    <row r="2271" spans="2:12">
      <c r="B2271" s="1050"/>
      <c r="C2271" s="1050"/>
      <c r="D2271" s="382" t="s">
        <v>2896</v>
      </c>
      <c r="E2271" s="382" t="s">
        <v>2119</v>
      </c>
      <c r="F2271" s="382" t="s">
        <v>2342</v>
      </c>
      <c r="G2271" s="382" t="s">
        <v>2355</v>
      </c>
      <c r="H2271" s="383">
        <v>-5778.46</v>
      </c>
      <c r="I2271" s="1046">
        <v>11698.85</v>
      </c>
      <c r="J2271" s="1047"/>
      <c r="K2271" s="383">
        <v>130.35</v>
      </c>
      <c r="L2271" s="383">
        <v>-17346.96</v>
      </c>
    </row>
    <row r="2272" spans="2:12">
      <c r="B2272" s="1050"/>
      <c r="C2272" s="1050"/>
      <c r="D2272" s="382" t="s">
        <v>2897</v>
      </c>
      <c r="E2272" s="382" t="s">
        <v>2120</v>
      </c>
      <c r="F2272" s="382" t="s">
        <v>2342</v>
      </c>
      <c r="G2272" s="382" t="s">
        <v>2343</v>
      </c>
      <c r="H2272" s="383">
        <v>696.05</v>
      </c>
      <c r="I2272" s="1046">
        <v>0</v>
      </c>
      <c r="J2272" s="1047"/>
      <c r="K2272" s="383">
        <v>706.03</v>
      </c>
      <c r="L2272" s="383">
        <v>1402.08</v>
      </c>
    </row>
    <row r="2273" spans="2:12">
      <c r="B2273" s="1050"/>
      <c r="C2273" s="1050"/>
      <c r="D2273" s="382" t="s">
        <v>2897</v>
      </c>
      <c r="E2273" s="382" t="s">
        <v>2120</v>
      </c>
      <c r="F2273" s="382" t="s">
        <v>2342</v>
      </c>
      <c r="G2273" s="382" t="s">
        <v>2344</v>
      </c>
      <c r="H2273" s="383">
        <v>947.21</v>
      </c>
      <c r="I2273" s="1046">
        <v>0</v>
      </c>
      <c r="J2273" s="1047"/>
      <c r="K2273" s="383">
        <v>701.74</v>
      </c>
      <c r="L2273" s="383">
        <v>1648.95</v>
      </c>
    </row>
    <row r="2274" spans="2:12">
      <c r="B2274" s="1050"/>
      <c r="C2274" s="1050"/>
      <c r="D2274" s="382" t="s">
        <v>2897</v>
      </c>
      <c r="E2274" s="382" t="s">
        <v>2120</v>
      </c>
      <c r="F2274" s="382" t="s">
        <v>2342</v>
      </c>
      <c r="G2274" s="382" t="s">
        <v>2345</v>
      </c>
      <c r="H2274" s="383">
        <v>548.96</v>
      </c>
      <c r="I2274" s="1046">
        <v>0</v>
      </c>
      <c r="J2274" s="1047"/>
      <c r="K2274" s="383">
        <v>514.62</v>
      </c>
      <c r="L2274" s="383">
        <v>1063.58</v>
      </c>
    </row>
    <row r="2275" spans="2:12">
      <c r="B2275" s="1050"/>
      <c r="C2275" s="1050"/>
      <c r="D2275" s="382" t="s">
        <v>2897</v>
      </c>
      <c r="E2275" s="382" t="s">
        <v>2120</v>
      </c>
      <c r="F2275" s="382" t="s">
        <v>2342</v>
      </c>
      <c r="G2275" s="382" t="s">
        <v>2346</v>
      </c>
      <c r="H2275" s="383">
        <v>1089.71</v>
      </c>
      <c r="I2275" s="1046">
        <v>0</v>
      </c>
      <c r="J2275" s="1047"/>
      <c r="K2275" s="383">
        <v>862.16</v>
      </c>
      <c r="L2275" s="383">
        <v>1951.87</v>
      </c>
    </row>
    <row r="2276" spans="2:12">
      <c r="B2276" s="1050"/>
      <c r="C2276" s="1050"/>
      <c r="D2276" s="382" t="s">
        <v>2897</v>
      </c>
      <c r="E2276" s="382" t="s">
        <v>2120</v>
      </c>
      <c r="F2276" s="382" t="s">
        <v>2342</v>
      </c>
      <c r="G2276" s="382" t="s">
        <v>2347</v>
      </c>
      <c r="H2276" s="383">
        <v>1663.04</v>
      </c>
      <c r="I2276" s="1046">
        <v>0</v>
      </c>
      <c r="J2276" s="1047"/>
      <c r="K2276" s="383">
        <v>1540.71</v>
      </c>
      <c r="L2276" s="383">
        <v>3203.75</v>
      </c>
    </row>
    <row r="2277" spans="2:12">
      <c r="B2277" s="1050"/>
      <c r="C2277" s="1050"/>
      <c r="D2277" s="382" t="s">
        <v>2897</v>
      </c>
      <c r="E2277" s="382" t="s">
        <v>2120</v>
      </c>
      <c r="F2277" s="382" t="s">
        <v>2342</v>
      </c>
      <c r="G2277" s="382" t="s">
        <v>2348</v>
      </c>
      <c r="H2277" s="383">
        <v>1497.11</v>
      </c>
      <c r="I2277" s="1046">
        <v>0</v>
      </c>
      <c r="J2277" s="1047"/>
      <c r="K2277" s="383">
        <v>198.86</v>
      </c>
      <c r="L2277" s="383">
        <v>1695.97</v>
      </c>
    </row>
    <row r="2278" spans="2:12">
      <c r="B2278" s="1050"/>
      <c r="C2278" s="1050"/>
      <c r="D2278" s="382" t="s">
        <v>2897</v>
      </c>
      <c r="E2278" s="382" t="s">
        <v>2120</v>
      </c>
      <c r="F2278" s="382" t="s">
        <v>2342</v>
      </c>
      <c r="G2278" s="382" t="s">
        <v>2349</v>
      </c>
      <c r="H2278" s="383">
        <v>2382.19</v>
      </c>
      <c r="I2278" s="1046">
        <v>0</v>
      </c>
      <c r="J2278" s="1047"/>
      <c r="K2278" s="383">
        <v>1149.26</v>
      </c>
      <c r="L2278" s="383">
        <v>3531.45</v>
      </c>
    </row>
    <row r="2279" spans="2:12">
      <c r="B2279" s="1050"/>
      <c r="C2279" s="1050"/>
      <c r="D2279" s="382" t="s">
        <v>2897</v>
      </c>
      <c r="E2279" s="382" t="s">
        <v>2120</v>
      </c>
      <c r="F2279" s="382" t="s">
        <v>2342</v>
      </c>
      <c r="G2279" s="382" t="s">
        <v>2350</v>
      </c>
      <c r="H2279" s="383">
        <v>1294.6600000000001</v>
      </c>
      <c r="I2279" s="1046">
        <v>0</v>
      </c>
      <c r="J2279" s="1047"/>
      <c r="K2279" s="383">
        <v>1096.1300000000001</v>
      </c>
      <c r="L2279" s="383">
        <v>2390.79</v>
      </c>
    </row>
    <row r="2280" spans="2:12">
      <c r="B2280" s="1050"/>
      <c r="C2280" s="1050"/>
      <c r="D2280" s="382" t="s">
        <v>2897</v>
      </c>
      <c r="E2280" s="382" t="s">
        <v>2120</v>
      </c>
      <c r="F2280" s="382" t="s">
        <v>2342</v>
      </c>
      <c r="G2280" s="382" t="s">
        <v>2351</v>
      </c>
      <c r="H2280" s="383">
        <v>1152.8699999999999</v>
      </c>
      <c r="I2280" s="1046">
        <v>0</v>
      </c>
      <c r="J2280" s="1047"/>
      <c r="K2280" s="383">
        <v>451.87</v>
      </c>
      <c r="L2280" s="383">
        <v>1604.74</v>
      </c>
    </row>
    <row r="2281" spans="2:12">
      <c r="B2281" s="1050"/>
      <c r="C2281" s="1050"/>
      <c r="D2281" s="382" t="s">
        <v>2897</v>
      </c>
      <c r="E2281" s="382" t="s">
        <v>2120</v>
      </c>
      <c r="F2281" s="382" t="s">
        <v>2342</v>
      </c>
      <c r="G2281" s="382" t="s">
        <v>2352</v>
      </c>
      <c r="H2281" s="383">
        <v>1321.23</v>
      </c>
      <c r="I2281" s="1046">
        <v>0</v>
      </c>
      <c r="J2281" s="1047"/>
      <c r="K2281" s="383">
        <v>988.82</v>
      </c>
      <c r="L2281" s="383">
        <v>2310.0500000000002</v>
      </c>
    </row>
    <row r="2282" spans="2:12">
      <c r="B2282" s="1050"/>
      <c r="C2282" s="1050"/>
      <c r="D2282" s="382" t="s">
        <v>2897</v>
      </c>
      <c r="E2282" s="382" t="s">
        <v>2120</v>
      </c>
      <c r="F2282" s="382" t="s">
        <v>2342</v>
      </c>
      <c r="G2282" s="382" t="s">
        <v>2353</v>
      </c>
      <c r="H2282" s="383">
        <v>1110.78</v>
      </c>
      <c r="I2282" s="1046">
        <v>0</v>
      </c>
      <c r="J2282" s="1047"/>
      <c r="K2282" s="383">
        <v>786.08</v>
      </c>
      <c r="L2282" s="383">
        <v>1896.86</v>
      </c>
    </row>
    <row r="2283" spans="2:12">
      <c r="B2283" s="1050"/>
      <c r="C2283" s="1050"/>
      <c r="D2283" s="382" t="s">
        <v>2897</v>
      </c>
      <c r="E2283" s="382" t="s">
        <v>2120</v>
      </c>
      <c r="F2283" s="382" t="s">
        <v>2342</v>
      </c>
      <c r="G2283" s="382" t="s">
        <v>405</v>
      </c>
      <c r="H2283" s="383">
        <v>649.91</v>
      </c>
      <c r="I2283" s="1046">
        <v>0</v>
      </c>
      <c r="J2283" s="1047"/>
      <c r="K2283" s="383">
        <v>523.41</v>
      </c>
      <c r="L2283" s="383">
        <v>1173.32</v>
      </c>
    </row>
    <row r="2284" spans="2:12">
      <c r="B2284" s="1050"/>
      <c r="C2284" s="1050"/>
      <c r="D2284" s="382" t="s">
        <v>2897</v>
      </c>
      <c r="E2284" s="382" t="s">
        <v>2120</v>
      </c>
      <c r="F2284" s="382" t="s">
        <v>2342</v>
      </c>
      <c r="G2284" s="382" t="s">
        <v>2354</v>
      </c>
      <c r="H2284" s="383">
        <v>178.83</v>
      </c>
      <c r="I2284" s="1046">
        <v>0</v>
      </c>
      <c r="J2284" s="1047"/>
      <c r="K2284" s="383">
        <v>265.92</v>
      </c>
      <c r="L2284" s="383">
        <v>444.75</v>
      </c>
    </row>
    <row r="2285" spans="2:12">
      <c r="B2285" s="1050"/>
      <c r="C2285" s="1050"/>
      <c r="D2285" s="382" t="s">
        <v>2897</v>
      </c>
      <c r="E2285" s="382" t="s">
        <v>2120</v>
      </c>
      <c r="F2285" s="382" t="s">
        <v>2342</v>
      </c>
      <c r="G2285" s="382" t="s">
        <v>2355</v>
      </c>
      <c r="H2285" s="383">
        <v>-3902.84</v>
      </c>
      <c r="I2285" s="1046">
        <v>9271.07</v>
      </c>
      <c r="J2285" s="1047"/>
      <c r="K2285" s="383">
        <v>0</v>
      </c>
      <c r="L2285" s="383">
        <v>-13173.91</v>
      </c>
    </row>
    <row r="2286" spans="2:12">
      <c r="B2286" s="1050"/>
      <c r="C2286" s="1050"/>
      <c r="D2286" s="382" t="s">
        <v>2898</v>
      </c>
      <c r="E2286" s="382" t="s">
        <v>2121</v>
      </c>
      <c r="F2286" s="382" t="s">
        <v>2342</v>
      </c>
      <c r="G2286" s="382" t="s">
        <v>2343</v>
      </c>
      <c r="H2286" s="383">
        <v>1334.79</v>
      </c>
      <c r="I2286" s="1046">
        <v>0</v>
      </c>
      <c r="J2286" s="1047"/>
      <c r="K2286" s="383">
        <v>1118.0899999999999</v>
      </c>
      <c r="L2286" s="383">
        <v>2452.88</v>
      </c>
    </row>
    <row r="2287" spans="2:12">
      <c r="B2287" s="1050"/>
      <c r="C2287" s="1050"/>
      <c r="D2287" s="382" t="s">
        <v>2898</v>
      </c>
      <c r="E2287" s="382" t="s">
        <v>2121</v>
      </c>
      <c r="F2287" s="382" t="s">
        <v>2342</v>
      </c>
      <c r="G2287" s="382" t="s">
        <v>2344</v>
      </c>
      <c r="H2287" s="383">
        <v>1117.5899999999999</v>
      </c>
      <c r="I2287" s="1046">
        <v>0</v>
      </c>
      <c r="J2287" s="1047"/>
      <c r="K2287" s="383">
        <v>1701.18</v>
      </c>
      <c r="L2287" s="383">
        <v>2818.77</v>
      </c>
    </row>
    <row r="2288" spans="2:12">
      <c r="B2288" s="1050"/>
      <c r="C2288" s="1050"/>
      <c r="D2288" s="382" t="s">
        <v>2898</v>
      </c>
      <c r="E2288" s="382" t="s">
        <v>2121</v>
      </c>
      <c r="F2288" s="382" t="s">
        <v>2342</v>
      </c>
      <c r="G2288" s="382" t="s">
        <v>2345</v>
      </c>
      <c r="H2288" s="383">
        <v>1558.13</v>
      </c>
      <c r="I2288" s="1046">
        <v>0</v>
      </c>
      <c r="J2288" s="1047"/>
      <c r="K2288" s="383">
        <v>1928.97</v>
      </c>
      <c r="L2288" s="383">
        <v>3487.1</v>
      </c>
    </row>
    <row r="2289" spans="2:12">
      <c r="B2289" s="1050"/>
      <c r="C2289" s="1050"/>
      <c r="D2289" s="382" t="s">
        <v>2898</v>
      </c>
      <c r="E2289" s="382" t="s">
        <v>2121</v>
      </c>
      <c r="F2289" s="382" t="s">
        <v>2342</v>
      </c>
      <c r="G2289" s="382" t="s">
        <v>2346</v>
      </c>
      <c r="H2289" s="383">
        <v>283.88</v>
      </c>
      <c r="I2289" s="1046">
        <v>0</v>
      </c>
      <c r="J2289" s="1047"/>
      <c r="K2289" s="383">
        <v>648.41999999999996</v>
      </c>
      <c r="L2289" s="383">
        <v>932.3</v>
      </c>
    </row>
    <row r="2290" spans="2:12">
      <c r="B2290" s="1050"/>
      <c r="C2290" s="1050"/>
      <c r="D2290" s="382" t="s">
        <v>2898</v>
      </c>
      <c r="E2290" s="382" t="s">
        <v>2121</v>
      </c>
      <c r="F2290" s="382" t="s">
        <v>2342</v>
      </c>
      <c r="G2290" s="382" t="s">
        <v>2347</v>
      </c>
      <c r="H2290" s="383">
        <v>1445.83</v>
      </c>
      <c r="I2290" s="1046">
        <v>0</v>
      </c>
      <c r="J2290" s="1047"/>
      <c r="K2290" s="383">
        <v>290.27</v>
      </c>
      <c r="L2290" s="383">
        <v>1736.1</v>
      </c>
    </row>
    <row r="2291" spans="2:12">
      <c r="B2291" s="1050"/>
      <c r="C2291" s="1050"/>
      <c r="D2291" s="382" t="s">
        <v>2898</v>
      </c>
      <c r="E2291" s="382" t="s">
        <v>2121</v>
      </c>
      <c r="F2291" s="382" t="s">
        <v>2342</v>
      </c>
      <c r="G2291" s="382" t="s">
        <v>2348</v>
      </c>
      <c r="H2291" s="383">
        <v>1966.59</v>
      </c>
      <c r="I2291" s="1046">
        <v>0</v>
      </c>
      <c r="J2291" s="1047"/>
      <c r="K2291" s="383">
        <v>332.04</v>
      </c>
      <c r="L2291" s="383">
        <v>2298.63</v>
      </c>
    </row>
    <row r="2292" spans="2:12">
      <c r="B2292" s="1050"/>
      <c r="C2292" s="1050"/>
      <c r="D2292" s="382" t="s">
        <v>2898</v>
      </c>
      <c r="E2292" s="382" t="s">
        <v>2121</v>
      </c>
      <c r="F2292" s="382" t="s">
        <v>2342</v>
      </c>
      <c r="G2292" s="382" t="s">
        <v>2349</v>
      </c>
      <c r="H2292" s="383">
        <v>3195.1</v>
      </c>
      <c r="I2292" s="1046">
        <v>219.54</v>
      </c>
      <c r="J2292" s="1047"/>
      <c r="K2292" s="383">
        <v>1414.05</v>
      </c>
      <c r="L2292" s="383">
        <v>4389.6099999999997</v>
      </c>
    </row>
    <row r="2293" spans="2:12">
      <c r="B2293" s="1050"/>
      <c r="C2293" s="1050"/>
      <c r="D2293" s="382" t="s">
        <v>2898</v>
      </c>
      <c r="E2293" s="382" t="s">
        <v>2121</v>
      </c>
      <c r="F2293" s="382" t="s">
        <v>2342</v>
      </c>
      <c r="G2293" s="382" t="s">
        <v>2350</v>
      </c>
      <c r="H2293" s="383">
        <v>4154.1400000000003</v>
      </c>
      <c r="I2293" s="1046">
        <v>0</v>
      </c>
      <c r="J2293" s="1047"/>
      <c r="K2293" s="383">
        <v>3179.29</v>
      </c>
      <c r="L2293" s="383">
        <v>7333.43</v>
      </c>
    </row>
    <row r="2294" spans="2:12">
      <c r="B2294" s="1050"/>
      <c r="C2294" s="1050"/>
      <c r="D2294" s="382" t="s">
        <v>2898</v>
      </c>
      <c r="E2294" s="382" t="s">
        <v>2121</v>
      </c>
      <c r="F2294" s="382" t="s">
        <v>2342</v>
      </c>
      <c r="G2294" s="382" t="s">
        <v>2351</v>
      </c>
      <c r="H2294" s="383">
        <v>836.2</v>
      </c>
      <c r="I2294" s="1046">
        <v>0</v>
      </c>
      <c r="J2294" s="1047"/>
      <c r="K2294" s="383">
        <v>929.19</v>
      </c>
      <c r="L2294" s="383">
        <v>1765.39</v>
      </c>
    </row>
    <row r="2295" spans="2:12">
      <c r="B2295" s="1050"/>
      <c r="C2295" s="1050"/>
      <c r="D2295" s="382" t="s">
        <v>2898</v>
      </c>
      <c r="E2295" s="382" t="s">
        <v>2121</v>
      </c>
      <c r="F2295" s="382" t="s">
        <v>2342</v>
      </c>
      <c r="G2295" s="382" t="s">
        <v>2352</v>
      </c>
      <c r="H2295" s="383">
        <v>1855.48</v>
      </c>
      <c r="I2295" s="1046">
        <v>0</v>
      </c>
      <c r="J2295" s="1047"/>
      <c r="K2295" s="383">
        <v>1468.79</v>
      </c>
      <c r="L2295" s="383">
        <v>3324.27</v>
      </c>
    </row>
    <row r="2296" spans="2:12">
      <c r="B2296" s="1050"/>
      <c r="C2296" s="1050"/>
      <c r="D2296" s="382" t="s">
        <v>2898</v>
      </c>
      <c r="E2296" s="382" t="s">
        <v>2121</v>
      </c>
      <c r="F2296" s="382" t="s">
        <v>2342</v>
      </c>
      <c r="G2296" s="382" t="s">
        <v>2353</v>
      </c>
      <c r="H2296" s="383">
        <v>1144.6199999999999</v>
      </c>
      <c r="I2296" s="1046">
        <v>0</v>
      </c>
      <c r="J2296" s="1047"/>
      <c r="K2296" s="383">
        <v>647.5</v>
      </c>
      <c r="L2296" s="383">
        <v>1792.12</v>
      </c>
    </row>
    <row r="2297" spans="2:12">
      <c r="B2297" s="1050"/>
      <c r="C2297" s="1050"/>
      <c r="D2297" s="382" t="s">
        <v>2898</v>
      </c>
      <c r="E2297" s="382" t="s">
        <v>2121</v>
      </c>
      <c r="F2297" s="382" t="s">
        <v>2342</v>
      </c>
      <c r="G2297" s="382" t="s">
        <v>405</v>
      </c>
      <c r="H2297" s="383">
        <v>1097.56</v>
      </c>
      <c r="I2297" s="1046">
        <v>0</v>
      </c>
      <c r="J2297" s="1047"/>
      <c r="K2297" s="383">
        <v>685.95</v>
      </c>
      <c r="L2297" s="383">
        <v>1783.51</v>
      </c>
    </row>
    <row r="2298" spans="2:12">
      <c r="B2298" s="1050"/>
      <c r="C2298" s="1050"/>
      <c r="D2298" s="382" t="s">
        <v>2898</v>
      </c>
      <c r="E2298" s="382" t="s">
        <v>2121</v>
      </c>
      <c r="F2298" s="382" t="s">
        <v>2342</v>
      </c>
      <c r="G2298" s="382" t="s">
        <v>2354</v>
      </c>
      <c r="H2298" s="383">
        <v>-83.27</v>
      </c>
      <c r="I2298" s="1046">
        <v>0</v>
      </c>
      <c r="J2298" s="1047"/>
      <c r="K2298" s="383">
        <v>691.69</v>
      </c>
      <c r="L2298" s="383">
        <v>608.41999999999996</v>
      </c>
    </row>
    <row r="2299" spans="2:12">
      <c r="B2299" s="1050"/>
      <c r="C2299" s="1050"/>
      <c r="D2299" s="382" t="s">
        <v>2898</v>
      </c>
      <c r="E2299" s="382" t="s">
        <v>2121</v>
      </c>
      <c r="F2299" s="382" t="s">
        <v>2342</v>
      </c>
      <c r="G2299" s="382" t="s">
        <v>2355</v>
      </c>
      <c r="H2299" s="383">
        <v>-7221.81</v>
      </c>
      <c r="I2299" s="1046">
        <v>24142.44</v>
      </c>
      <c r="J2299" s="1047"/>
      <c r="K2299" s="383">
        <v>0</v>
      </c>
      <c r="L2299" s="383">
        <v>-31364.25</v>
      </c>
    </row>
    <row r="2300" spans="2:12">
      <c r="B2300" s="1050"/>
      <c r="C2300" s="1050"/>
      <c r="D2300" s="382" t="s">
        <v>2899</v>
      </c>
      <c r="E2300" s="382" t="s">
        <v>2122</v>
      </c>
      <c r="F2300" s="382" t="s">
        <v>2342</v>
      </c>
      <c r="G2300" s="382" t="s">
        <v>2343</v>
      </c>
      <c r="H2300" s="383">
        <v>0</v>
      </c>
      <c r="I2300" s="1046">
        <v>0</v>
      </c>
      <c r="J2300" s="1047"/>
      <c r="K2300" s="383">
        <v>448.8</v>
      </c>
      <c r="L2300" s="383">
        <v>448.8</v>
      </c>
    </row>
    <row r="2301" spans="2:12">
      <c r="B2301" s="1050"/>
      <c r="C2301" s="1050"/>
      <c r="D2301" s="382" t="s">
        <v>2899</v>
      </c>
      <c r="E2301" s="382" t="s">
        <v>2122</v>
      </c>
      <c r="F2301" s="382" t="s">
        <v>2342</v>
      </c>
      <c r="G2301" s="382" t="s">
        <v>2345</v>
      </c>
      <c r="H2301" s="383">
        <v>697.28</v>
      </c>
      <c r="I2301" s="1046">
        <v>0</v>
      </c>
      <c r="J2301" s="1047"/>
      <c r="K2301" s="383">
        <v>0</v>
      </c>
      <c r="L2301" s="383">
        <v>697.28</v>
      </c>
    </row>
    <row r="2302" spans="2:12">
      <c r="B2302" s="1050"/>
      <c r="C2302" s="1050"/>
      <c r="D2302" s="382" t="s">
        <v>2899</v>
      </c>
      <c r="E2302" s="382" t="s">
        <v>2122</v>
      </c>
      <c r="F2302" s="382" t="s">
        <v>2342</v>
      </c>
      <c r="G2302" s="382" t="s">
        <v>2346</v>
      </c>
      <c r="H2302" s="383">
        <v>934.09</v>
      </c>
      <c r="I2302" s="1046">
        <v>0</v>
      </c>
      <c r="J2302" s="1047"/>
      <c r="K2302" s="383">
        <v>0</v>
      </c>
      <c r="L2302" s="383">
        <v>934.09</v>
      </c>
    </row>
    <row r="2303" spans="2:12">
      <c r="B2303" s="1050"/>
      <c r="C2303" s="1050"/>
      <c r="D2303" s="382" t="s">
        <v>2899</v>
      </c>
      <c r="E2303" s="382" t="s">
        <v>2122</v>
      </c>
      <c r="F2303" s="382" t="s">
        <v>2342</v>
      </c>
      <c r="G2303" s="382" t="s">
        <v>2347</v>
      </c>
      <c r="H2303" s="383">
        <v>4100.17</v>
      </c>
      <c r="I2303" s="1046">
        <v>0</v>
      </c>
      <c r="J2303" s="1047"/>
      <c r="K2303" s="383">
        <v>0</v>
      </c>
      <c r="L2303" s="383">
        <v>4100.17</v>
      </c>
    </row>
    <row r="2304" spans="2:12">
      <c r="B2304" s="1050"/>
      <c r="C2304" s="1050"/>
      <c r="D2304" s="382" t="s">
        <v>2899</v>
      </c>
      <c r="E2304" s="382" t="s">
        <v>2122</v>
      </c>
      <c r="F2304" s="382" t="s">
        <v>2342</v>
      </c>
      <c r="G2304" s="382" t="s">
        <v>2348</v>
      </c>
      <c r="H2304" s="383">
        <v>2017.09</v>
      </c>
      <c r="I2304" s="1046">
        <v>0</v>
      </c>
      <c r="J2304" s="1047"/>
      <c r="K2304" s="383">
        <v>2141.41</v>
      </c>
      <c r="L2304" s="383">
        <v>4158.5</v>
      </c>
    </row>
    <row r="2305" spans="2:12">
      <c r="B2305" s="1050"/>
      <c r="C2305" s="1050"/>
      <c r="D2305" s="382" t="s">
        <v>2899</v>
      </c>
      <c r="E2305" s="382" t="s">
        <v>2122</v>
      </c>
      <c r="F2305" s="382" t="s">
        <v>2342</v>
      </c>
      <c r="G2305" s="382" t="s">
        <v>2349</v>
      </c>
      <c r="H2305" s="383">
        <v>435.69</v>
      </c>
      <c r="I2305" s="1046">
        <v>871.38</v>
      </c>
      <c r="J2305" s="1047"/>
      <c r="K2305" s="383">
        <v>934.05</v>
      </c>
      <c r="L2305" s="383">
        <v>498.36</v>
      </c>
    </row>
    <row r="2306" spans="2:12">
      <c r="B2306" s="1050"/>
      <c r="C2306" s="1050"/>
      <c r="D2306" s="382" t="s">
        <v>2899</v>
      </c>
      <c r="E2306" s="382" t="s">
        <v>2122</v>
      </c>
      <c r="F2306" s="382" t="s">
        <v>2342</v>
      </c>
      <c r="G2306" s="382" t="s">
        <v>2350</v>
      </c>
      <c r="H2306" s="383">
        <v>1663.34</v>
      </c>
      <c r="I2306" s="1046">
        <v>0</v>
      </c>
      <c r="J2306" s="1047"/>
      <c r="K2306" s="383">
        <v>3110</v>
      </c>
      <c r="L2306" s="383">
        <v>4773.34</v>
      </c>
    </row>
    <row r="2307" spans="2:12">
      <c r="B2307" s="1050"/>
      <c r="C2307" s="1050"/>
      <c r="D2307" s="382" t="s">
        <v>2899</v>
      </c>
      <c r="E2307" s="382" t="s">
        <v>2122</v>
      </c>
      <c r="F2307" s="382" t="s">
        <v>2342</v>
      </c>
      <c r="G2307" s="382" t="s">
        <v>2351</v>
      </c>
      <c r="H2307" s="383">
        <v>0</v>
      </c>
      <c r="I2307" s="1046">
        <v>0</v>
      </c>
      <c r="J2307" s="1047"/>
      <c r="K2307" s="383">
        <v>1121</v>
      </c>
      <c r="L2307" s="383">
        <v>1121</v>
      </c>
    </row>
    <row r="2308" spans="2:12">
      <c r="B2308" s="1050"/>
      <c r="C2308" s="1050"/>
      <c r="D2308" s="382" t="s">
        <v>2899</v>
      </c>
      <c r="E2308" s="382" t="s">
        <v>2122</v>
      </c>
      <c r="F2308" s="382" t="s">
        <v>2342</v>
      </c>
      <c r="G2308" s="382" t="s">
        <v>2353</v>
      </c>
      <c r="H2308" s="383">
        <v>896.47</v>
      </c>
      <c r="I2308" s="1046">
        <v>0</v>
      </c>
      <c r="J2308" s="1047"/>
      <c r="K2308" s="383">
        <v>485.82</v>
      </c>
      <c r="L2308" s="383">
        <v>1382.29</v>
      </c>
    </row>
    <row r="2309" spans="2:12">
      <c r="B2309" s="1050"/>
      <c r="C2309" s="1050"/>
      <c r="D2309" s="382" t="s">
        <v>2899</v>
      </c>
      <c r="E2309" s="382" t="s">
        <v>2122</v>
      </c>
      <c r="F2309" s="382" t="s">
        <v>2342</v>
      </c>
      <c r="G2309" s="382" t="s">
        <v>2355</v>
      </c>
      <c r="H2309" s="383">
        <v>-3482.69</v>
      </c>
      <c r="I2309" s="1046">
        <v>6000.2</v>
      </c>
      <c r="J2309" s="1047"/>
      <c r="K2309" s="383">
        <v>435.69</v>
      </c>
      <c r="L2309" s="383">
        <v>-9047.2000000000007</v>
      </c>
    </row>
    <row r="2310" spans="2:12">
      <c r="B2310" s="1050"/>
      <c r="C2310" s="1050"/>
      <c r="D2310" s="382" t="s">
        <v>2900</v>
      </c>
      <c r="E2310" s="382" t="s">
        <v>2123</v>
      </c>
      <c r="F2310" s="382" t="s">
        <v>2342</v>
      </c>
      <c r="G2310" s="382" t="s">
        <v>2355</v>
      </c>
      <c r="H2310" s="383">
        <v>0</v>
      </c>
      <c r="I2310" s="1046">
        <v>0</v>
      </c>
      <c r="J2310" s="1047"/>
      <c r="K2310" s="383">
        <v>368.06</v>
      </c>
      <c r="L2310" s="383">
        <v>368.06</v>
      </c>
    </row>
    <row r="2311" spans="2:12">
      <c r="B2311" s="1050"/>
      <c r="C2311" s="1051"/>
      <c r="D2311" s="359" t="s">
        <v>12</v>
      </c>
      <c r="E2311" s="359" t="s">
        <v>111</v>
      </c>
      <c r="F2311" s="359" t="s">
        <v>111</v>
      </c>
      <c r="G2311" s="359" t="s">
        <v>111</v>
      </c>
      <c r="H2311" s="384">
        <v>55981.08</v>
      </c>
      <c r="I2311" s="1048">
        <v>64526.54</v>
      </c>
      <c r="J2311" s="1047"/>
      <c r="K2311" s="384">
        <v>62686.79</v>
      </c>
      <c r="L2311" s="384">
        <v>54141.33</v>
      </c>
    </row>
    <row r="2312" spans="2:12">
      <c r="B2312" s="1050"/>
      <c r="C2312" s="1049" t="s">
        <v>2901</v>
      </c>
      <c r="D2312" s="382" t="s">
        <v>2902</v>
      </c>
      <c r="E2312" s="382" t="s">
        <v>2124</v>
      </c>
      <c r="F2312" s="382" t="s">
        <v>2342</v>
      </c>
      <c r="G2312" s="382" t="s">
        <v>2343</v>
      </c>
      <c r="H2312" s="383">
        <v>197150.98</v>
      </c>
      <c r="I2312" s="1046">
        <v>269723.52000000002</v>
      </c>
      <c r="J2312" s="1047"/>
      <c r="K2312" s="383">
        <v>17424.349999999999</v>
      </c>
      <c r="L2312" s="383">
        <v>-55148.19</v>
      </c>
    </row>
    <row r="2313" spans="2:12">
      <c r="B2313" s="1050"/>
      <c r="C2313" s="1050"/>
      <c r="D2313" s="382" t="s">
        <v>2902</v>
      </c>
      <c r="E2313" s="382" t="s">
        <v>2124</v>
      </c>
      <c r="F2313" s="382" t="s">
        <v>2342</v>
      </c>
      <c r="G2313" s="382" t="s">
        <v>2344</v>
      </c>
      <c r="H2313" s="383">
        <v>40510.629999999997</v>
      </c>
      <c r="I2313" s="1046">
        <v>146876.51</v>
      </c>
      <c r="J2313" s="1047"/>
      <c r="K2313" s="383">
        <v>5332.22</v>
      </c>
      <c r="L2313" s="383">
        <v>-101033.66</v>
      </c>
    </row>
    <row r="2314" spans="2:12">
      <c r="B2314" s="1050"/>
      <c r="C2314" s="1050"/>
      <c r="D2314" s="382" t="s">
        <v>2902</v>
      </c>
      <c r="E2314" s="382" t="s">
        <v>2124</v>
      </c>
      <c r="F2314" s="382" t="s">
        <v>2342</v>
      </c>
      <c r="G2314" s="382" t="s">
        <v>2345</v>
      </c>
      <c r="H2314" s="383">
        <v>7814.58</v>
      </c>
      <c r="I2314" s="1046">
        <v>100226.31</v>
      </c>
      <c r="J2314" s="1047"/>
      <c r="K2314" s="383">
        <v>9011.6</v>
      </c>
      <c r="L2314" s="383">
        <v>-83400.13</v>
      </c>
    </row>
    <row r="2315" spans="2:12">
      <c r="B2315" s="1050"/>
      <c r="C2315" s="1050"/>
      <c r="D2315" s="382" t="s">
        <v>2902</v>
      </c>
      <c r="E2315" s="382" t="s">
        <v>2124</v>
      </c>
      <c r="F2315" s="382" t="s">
        <v>2342</v>
      </c>
      <c r="G2315" s="382" t="s">
        <v>2346</v>
      </c>
      <c r="H2315" s="383">
        <v>24230.880000000001</v>
      </c>
      <c r="I2315" s="1046">
        <v>83191.55</v>
      </c>
      <c r="J2315" s="1047"/>
      <c r="K2315" s="383">
        <v>7316.42</v>
      </c>
      <c r="L2315" s="383">
        <v>-51644.25</v>
      </c>
    </row>
    <row r="2316" spans="2:12">
      <c r="B2316" s="1050"/>
      <c r="C2316" s="1050"/>
      <c r="D2316" s="382" t="s">
        <v>2902</v>
      </c>
      <c r="E2316" s="382" t="s">
        <v>2124</v>
      </c>
      <c r="F2316" s="382" t="s">
        <v>2342</v>
      </c>
      <c r="G2316" s="382" t="s">
        <v>2347</v>
      </c>
      <c r="H2316" s="383">
        <v>-14488.07</v>
      </c>
      <c r="I2316" s="1046">
        <v>182826.5</v>
      </c>
      <c r="J2316" s="1047"/>
      <c r="K2316" s="383">
        <v>25297.09</v>
      </c>
      <c r="L2316" s="383">
        <v>-172017.48</v>
      </c>
    </row>
    <row r="2317" spans="2:12">
      <c r="B2317" s="1050"/>
      <c r="C2317" s="1050"/>
      <c r="D2317" s="382" t="s">
        <v>2902</v>
      </c>
      <c r="E2317" s="382" t="s">
        <v>2124</v>
      </c>
      <c r="F2317" s="382" t="s">
        <v>2342</v>
      </c>
      <c r="G2317" s="382" t="s">
        <v>2348</v>
      </c>
      <c r="H2317" s="383">
        <v>123672.29</v>
      </c>
      <c r="I2317" s="1046">
        <v>231710.54</v>
      </c>
      <c r="J2317" s="1047"/>
      <c r="K2317" s="383">
        <v>18374.75</v>
      </c>
      <c r="L2317" s="383">
        <v>-89663.5</v>
      </c>
    </row>
    <row r="2318" spans="2:12">
      <c r="B2318" s="1050"/>
      <c r="C2318" s="1050"/>
      <c r="D2318" s="382" t="s">
        <v>2902</v>
      </c>
      <c r="E2318" s="382" t="s">
        <v>2124</v>
      </c>
      <c r="F2318" s="382" t="s">
        <v>2342</v>
      </c>
      <c r="G2318" s="382" t="s">
        <v>2349</v>
      </c>
      <c r="H2318" s="383">
        <v>160282.92000000001</v>
      </c>
      <c r="I2318" s="1046">
        <v>232548.19</v>
      </c>
      <c r="J2318" s="1047"/>
      <c r="K2318" s="383">
        <v>54294.97</v>
      </c>
      <c r="L2318" s="383">
        <v>-17970.3</v>
      </c>
    </row>
    <row r="2319" spans="2:12">
      <c r="B2319" s="1050"/>
      <c r="C2319" s="1050"/>
      <c r="D2319" s="382" t="s">
        <v>2902</v>
      </c>
      <c r="E2319" s="382" t="s">
        <v>2124</v>
      </c>
      <c r="F2319" s="382" t="s">
        <v>2342</v>
      </c>
      <c r="G2319" s="382" t="s">
        <v>2350</v>
      </c>
      <c r="H2319" s="383">
        <v>29670.06</v>
      </c>
      <c r="I2319" s="1046">
        <v>190646.18</v>
      </c>
      <c r="J2319" s="1047"/>
      <c r="K2319" s="383">
        <v>9474.5</v>
      </c>
      <c r="L2319" s="383">
        <v>-151501.62</v>
      </c>
    </row>
    <row r="2320" spans="2:12">
      <c r="B2320" s="1050"/>
      <c r="C2320" s="1050"/>
      <c r="D2320" s="382" t="s">
        <v>2902</v>
      </c>
      <c r="E2320" s="382" t="s">
        <v>2124</v>
      </c>
      <c r="F2320" s="382" t="s">
        <v>2342</v>
      </c>
      <c r="G2320" s="382" t="s">
        <v>2351</v>
      </c>
      <c r="H2320" s="383">
        <v>211090.77</v>
      </c>
      <c r="I2320" s="1046">
        <v>50846.879999999997</v>
      </c>
      <c r="J2320" s="1047"/>
      <c r="K2320" s="383">
        <v>23226.54</v>
      </c>
      <c r="L2320" s="383">
        <v>183470.43</v>
      </c>
    </row>
    <row r="2321" spans="2:12">
      <c r="B2321" s="1050"/>
      <c r="C2321" s="1050"/>
      <c r="D2321" s="382" t="s">
        <v>2902</v>
      </c>
      <c r="E2321" s="382" t="s">
        <v>2124</v>
      </c>
      <c r="F2321" s="382" t="s">
        <v>2342</v>
      </c>
      <c r="G2321" s="382" t="s">
        <v>2352</v>
      </c>
      <c r="H2321" s="383">
        <v>23162.26</v>
      </c>
      <c r="I2321" s="1046">
        <v>104912.97</v>
      </c>
      <c r="J2321" s="1047"/>
      <c r="K2321" s="383">
        <v>11251.82</v>
      </c>
      <c r="L2321" s="383">
        <v>-70498.89</v>
      </c>
    </row>
    <row r="2322" spans="2:12">
      <c r="B2322" s="1050"/>
      <c r="C2322" s="1050"/>
      <c r="D2322" s="382" t="s">
        <v>2902</v>
      </c>
      <c r="E2322" s="382" t="s">
        <v>2124</v>
      </c>
      <c r="F2322" s="382" t="s">
        <v>2342</v>
      </c>
      <c r="G2322" s="382" t="s">
        <v>2353</v>
      </c>
      <c r="H2322" s="383">
        <v>68535.77</v>
      </c>
      <c r="I2322" s="1046">
        <v>169717.16</v>
      </c>
      <c r="J2322" s="1047"/>
      <c r="K2322" s="383">
        <v>12937.75</v>
      </c>
      <c r="L2322" s="383">
        <v>-88243.64</v>
      </c>
    </row>
    <row r="2323" spans="2:12">
      <c r="B2323" s="1050"/>
      <c r="C2323" s="1050"/>
      <c r="D2323" s="382" t="s">
        <v>2902</v>
      </c>
      <c r="E2323" s="382" t="s">
        <v>2124</v>
      </c>
      <c r="F2323" s="382" t="s">
        <v>2342</v>
      </c>
      <c r="G2323" s="382" t="s">
        <v>405</v>
      </c>
      <c r="H2323" s="383">
        <v>21600.57</v>
      </c>
      <c r="I2323" s="1046">
        <v>132942.39999999999</v>
      </c>
      <c r="J2323" s="1047"/>
      <c r="K2323" s="383">
        <v>15090.76</v>
      </c>
      <c r="L2323" s="383">
        <v>-96251.07</v>
      </c>
    </row>
    <row r="2324" spans="2:12">
      <c r="B2324" s="1050"/>
      <c r="C2324" s="1050"/>
      <c r="D2324" s="382" t="s">
        <v>2902</v>
      </c>
      <c r="E2324" s="382" t="s">
        <v>2124</v>
      </c>
      <c r="F2324" s="382" t="s">
        <v>2342</v>
      </c>
      <c r="G2324" s="382" t="s">
        <v>2354</v>
      </c>
      <c r="H2324" s="383">
        <v>21245</v>
      </c>
      <c r="I2324" s="1046">
        <v>21245</v>
      </c>
      <c r="J2324" s="1047"/>
      <c r="K2324" s="383">
        <v>0</v>
      </c>
      <c r="L2324" s="383">
        <v>0</v>
      </c>
    </row>
    <row r="2325" spans="2:12">
      <c r="B2325" s="1050"/>
      <c r="C2325" s="1050"/>
      <c r="D2325" s="382" t="s">
        <v>2903</v>
      </c>
      <c r="E2325" s="382" t="s">
        <v>2125</v>
      </c>
      <c r="F2325" s="382" t="s">
        <v>2342</v>
      </c>
      <c r="G2325" s="382" t="s">
        <v>2343</v>
      </c>
      <c r="H2325" s="383">
        <v>-607.1</v>
      </c>
      <c r="I2325" s="1046">
        <v>0</v>
      </c>
      <c r="J2325" s="1047"/>
      <c r="K2325" s="383">
        <v>0</v>
      </c>
      <c r="L2325" s="383">
        <v>-607.1</v>
      </c>
    </row>
    <row r="2326" spans="2:12">
      <c r="B2326" s="1050"/>
      <c r="C2326" s="1050"/>
      <c r="D2326" s="382" t="s">
        <v>2903</v>
      </c>
      <c r="E2326" s="382" t="s">
        <v>2125</v>
      </c>
      <c r="F2326" s="382" t="s">
        <v>2342</v>
      </c>
      <c r="G2326" s="382" t="s">
        <v>2344</v>
      </c>
      <c r="H2326" s="383">
        <v>-618.91999999999996</v>
      </c>
      <c r="I2326" s="1046">
        <v>0</v>
      </c>
      <c r="J2326" s="1047"/>
      <c r="K2326" s="383">
        <v>0</v>
      </c>
      <c r="L2326" s="383">
        <v>-618.91999999999996</v>
      </c>
    </row>
    <row r="2327" spans="2:12">
      <c r="B2327" s="1050"/>
      <c r="C2327" s="1050"/>
      <c r="D2327" s="382" t="s">
        <v>2903</v>
      </c>
      <c r="E2327" s="382" t="s">
        <v>2125</v>
      </c>
      <c r="F2327" s="382" t="s">
        <v>2342</v>
      </c>
      <c r="G2327" s="382" t="s">
        <v>2345</v>
      </c>
      <c r="H2327" s="383">
        <v>-524.41</v>
      </c>
      <c r="I2327" s="1046">
        <v>0</v>
      </c>
      <c r="J2327" s="1047"/>
      <c r="K2327" s="383">
        <v>0</v>
      </c>
      <c r="L2327" s="383">
        <v>-524.41</v>
      </c>
    </row>
    <row r="2328" spans="2:12">
      <c r="B2328" s="1050"/>
      <c r="C2328" s="1050"/>
      <c r="D2328" s="382" t="s">
        <v>2903</v>
      </c>
      <c r="E2328" s="382" t="s">
        <v>2125</v>
      </c>
      <c r="F2328" s="382" t="s">
        <v>2342</v>
      </c>
      <c r="G2328" s="382" t="s">
        <v>2346</v>
      </c>
      <c r="H2328" s="383">
        <v>-382</v>
      </c>
      <c r="I2328" s="1046">
        <v>0</v>
      </c>
      <c r="J2328" s="1047"/>
      <c r="K2328" s="383">
        <v>0</v>
      </c>
      <c r="L2328" s="383">
        <v>-382</v>
      </c>
    </row>
    <row r="2329" spans="2:12">
      <c r="B2329" s="1050"/>
      <c r="C2329" s="1050"/>
      <c r="D2329" s="382" t="s">
        <v>2903</v>
      </c>
      <c r="E2329" s="382" t="s">
        <v>2125</v>
      </c>
      <c r="F2329" s="382" t="s">
        <v>2342</v>
      </c>
      <c r="G2329" s="382" t="s">
        <v>2347</v>
      </c>
      <c r="H2329" s="383">
        <v>-1232.1300000000001</v>
      </c>
      <c r="I2329" s="1046">
        <v>0</v>
      </c>
      <c r="J2329" s="1047"/>
      <c r="K2329" s="383">
        <v>0</v>
      </c>
      <c r="L2329" s="383">
        <v>-1232.1300000000001</v>
      </c>
    </row>
    <row r="2330" spans="2:12">
      <c r="B2330" s="1050"/>
      <c r="C2330" s="1050"/>
      <c r="D2330" s="382" t="s">
        <v>2903</v>
      </c>
      <c r="E2330" s="382" t="s">
        <v>2125</v>
      </c>
      <c r="F2330" s="382" t="s">
        <v>2342</v>
      </c>
      <c r="G2330" s="382" t="s">
        <v>2348</v>
      </c>
      <c r="H2330" s="383">
        <v>-722.27</v>
      </c>
      <c r="I2330" s="1046">
        <v>0</v>
      </c>
      <c r="J2330" s="1047"/>
      <c r="K2330" s="383">
        <v>0</v>
      </c>
      <c r="L2330" s="383">
        <v>-722.27</v>
      </c>
    </row>
    <row r="2331" spans="2:12">
      <c r="B2331" s="1050"/>
      <c r="C2331" s="1050"/>
      <c r="D2331" s="382" t="s">
        <v>2903</v>
      </c>
      <c r="E2331" s="382" t="s">
        <v>2125</v>
      </c>
      <c r="F2331" s="382" t="s">
        <v>2342</v>
      </c>
      <c r="G2331" s="382" t="s">
        <v>2349</v>
      </c>
      <c r="H2331" s="383">
        <v>-239878.34</v>
      </c>
      <c r="I2331" s="1046">
        <v>0</v>
      </c>
      <c r="J2331" s="1047"/>
      <c r="K2331" s="383">
        <v>0</v>
      </c>
      <c r="L2331" s="383">
        <v>-239878.34</v>
      </c>
    </row>
    <row r="2332" spans="2:12">
      <c r="B2332" s="1050"/>
      <c r="C2332" s="1050"/>
      <c r="D2332" s="382" t="s">
        <v>2903</v>
      </c>
      <c r="E2332" s="382" t="s">
        <v>2125</v>
      </c>
      <c r="F2332" s="382" t="s">
        <v>2342</v>
      </c>
      <c r="G2332" s="382" t="s">
        <v>2350</v>
      </c>
      <c r="H2332" s="383">
        <v>-1018.46</v>
      </c>
      <c r="I2332" s="1046">
        <v>0</v>
      </c>
      <c r="J2332" s="1047"/>
      <c r="K2332" s="383">
        <v>0</v>
      </c>
      <c r="L2332" s="383">
        <v>-1018.46</v>
      </c>
    </row>
    <row r="2333" spans="2:12">
      <c r="B2333" s="1050"/>
      <c r="C2333" s="1050"/>
      <c r="D2333" s="382" t="s">
        <v>2903</v>
      </c>
      <c r="E2333" s="382" t="s">
        <v>2125</v>
      </c>
      <c r="F2333" s="382" t="s">
        <v>2342</v>
      </c>
      <c r="G2333" s="382" t="s">
        <v>2351</v>
      </c>
      <c r="H2333" s="383">
        <v>-499.53</v>
      </c>
      <c r="I2333" s="1046">
        <v>0</v>
      </c>
      <c r="J2333" s="1047"/>
      <c r="K2333" s="383">
        <v>0</v>
      </c>
      <c r="L2333" s="383">
        <v>-499.53</v>
      </c>
    </row>
    <row r="2334" spans="2:12">
      <c r="B2334" s="1050"/>
      <c r="C2334" s="1050"/>
      <c r="D2334" s="382" t="s">
        <v>2903</v>
      </c>
      <c r="E2334" s="382" t="s">
        <v>2125</v>
      </c>
      <c r="F2334" s="382" t="s">
        <v>2342</v>
      </c>
      <c r="G2334" s="382" t="s">
        <v>2352</v>
      </c>
      <c r="H2334" s="383">
        <v>-536.96</v>
      </c>
      <c r="I2334" s="1046">
        <v>0</v>
      </c>
      <c r="J2334" s="1047"/>
      <c r="K2334" s="383">
        <v>0</v>
      </c>
      <c r="L2334" s="383">
        <v>-536.96</v>
      </c>
    </row>
    <row r="2335" spans="2:12">
      <c r="B2335" s="1050"/>
      <c r="C2335" s="1050"/>
      <c r="D2335" s="382" t="s">
        <v>2903</v>
      </c>
      <c r="E2335" s="382" t="s">
        <v>2125</v>
      </c>
      <c r="F2335" s="382" t="s">
        <v>2342</v>
      </c>
      <c r="G2335" s="382" t="s">
        <v>2353</v>
      </c>
      <c r="H2335" s="383">
        <v>19787.580000000002</v>
      </c>
      <c r="I2335" s="1046">
        <v>18999.080000000002</v>
      </c>
      <c r="J2335" s="1047"/>
      <c r="K2335" s="383">
        <v>225</v>
      </c>
      <c r="L2335" s="383">
        <v>1013.5</v>
      </c>
    </row>
    <row r="2336" spans="2:12">
      <c r="B2336" s="1050"/>
      <c r="C2336" s="1050"/>
      <c r="D2336" s="382" t="s">
        <v>2903</v>
      </c>
      <c r="E2336" s="382" t="s">
        <v>2125</v>
      </c>
      <c r="F2336" s="382" t="s">
        <v>2342</v>
      </c>
      <c r="G2336" s="382" t="s">
        <v>405</v>
      </c>
      <c r="H2336" s="383">
        <v>-559.54999999999995</v>
      </c>
      <c r="I2336" s="1046">
        <v>0</v>
      </c>
      <c r="J2336" s="1047"/>
      <c r="K2336" s="383">
        <v>0</v>
      </c>
      <c r="L2336" s="383">
        <v>-559.54999999999995</v>
      </c>
    </row>
    <row r="2337" spans="2:12">
      <c r="B2337" s="1050"/>
      <c r="C2337" s="1050"/>
      <c r="D2337" s="382" t="s">
        <v>2904</v>
      </c>
      <c r="E2337" s="382" t="s">
        <v>2126</v>
      </c>
      <c r="F2337" s="382" t="s">
        <v>2342</v>
      </c>
      <c r="G2337" s="382" t="s">
        <v>2343</v>
      </c>
      <c r="H2337" s="383">
        <v>17277.259999999998</v>
      </c>
      <c r="I2337" s="1046">
        <v>92988.21</v>
      </c>
      <c r="J2337" s="1047"/>
      <c r="K2337" s="383">
        <v>12508.21</v>
      </c>
      <c r="L2337" s="383">
        <v>-63202.74</v>
      </c>
    </row>
    <row r="2338" spans="2:12">
      <c r="B2338" s="1050"/>
      <c r="C2338" s="1050"/>
      <c r="D2338" s="382" t="s">
        <v>2904</v>
      </c>
      <c r="E2338" s="382" t="s">
        <v>2126</v>
      </c>
      <c r="F2338" s="382" t="s">
        <v>2342</v>
      </c>
      <c r="G2338" s="382" t="s">
        <v>2344</v>
      </c>
      <c r="H2338" s="383">
        <v>45039.79</v>
      </c>
      <c r="I2338" s="1046">
        <v>140878</v>
      </c>
      <c r="J2338" s="1047"/>
      <c r="K2338" s="383">
        <v>4511.78</v>
      </c>
      <c r="L2338" s="383">
        <v>-91326.43</v>
      </c>
    </row>
    <row r="2339" spans="2:12">
      <c r="B2339" s="1050"/>
      <c r="C2339" s="1050"/>
      <c r="D2339" s="382" t="s">
        <v>2904</v>
      </c>
      <c r="E2339" s="382" t="s">
        <v>2126</v>
      </c>
      <c r="F2339" s="382" t="s">
        <v>2342</v>
      </c>
      <c r="G2339" s="382" t="s">
        <v>2345</v>
      </c>
      <c r="H2339" s="383">
        <v>55229.8</v>
      </c>
      <c r="I2339" s="1046">
        <v>127745.28</v>
      </c>
      <c r="J2339" s="1047"/>
      <c r="K2339" s="383">
        <v>12537.28</v>
      </c>
      <c r="L2339" s="383">
        <v>-59978.2</v>
      </c>
    </row>
    <row r="2340" spans="2:12">
      <c r="B2340" s="1050"/>
      <c r="C2340" s="1050"/>
      <c r="D2340" s="382" t="s">
        <v>2904</v>
      </c>
      <c r="E2340" s="382" t="s">
        <v>2126</v>
      </c>
      <c r="F2340" s="382" t="s">
        <v>2342</v>
      </c>
      <c r="G2340" s="382" t="s">
        <v>2346</v>
      </c>
      <c r="H2340" s="383">
        <v>-5341.68</v>
      </c>
      <c r="I2340" s="1046">
        <v>58126.23</v>
      </c>
      <c r="J2340" s="1047"/>
      <c r="K2340" s="383">
        <v>5288.23</v>
      </c>
      <c r="L2340" s="383">
        <v>-58179.68</v>
      </c>
    </row>
    <row r="2341" spans="2:12">
      <c r="B2341" s="1050"/>
      <c r="C2341" s="1050"/>
      <c r="D2341" s="382" t="s">
        <v>2904</v>
      </c>
      <c r="E2341" s="382" t="s">
        <v>2126</v>
      </c>
      <c r="F2341" s="382" t="s">
        <v>2342</v>
      </c>
      <c r="G2341" s="382" t="s">
        <v>2347</v>
      </c>
      <c r="H2341" s="383">
        <v>47970.65</v>
      </c>
      <c r="I2341" s="1046">
        <v>266507.28999999998</v>
      </c>
      <c r="J2341" s="1047"/>
      <c r="K2341" s="383">
        <v>9199.64</v>
      </c>
      <c r="L2341" s="383">
        <v>-209337</v>
      </c>
    </row>
    <row r="2342" spans="2:12">
      <c r="B2342" s="1050"/>
      <c r="C2342" s="1050"/>
      <c r="D2342" s="382" t="s">
        <v>2904</v>
      </c>
      <c r="E2342" s="382" t="s">
        <v>2126</v>
      </c>
      <c r="F2342" s="382" t="s">
        <v>2342</v>
      </c>
      <c r="G2342" s="382" t="s">
        <v>2348</v>
      </c>
      <c r="H2342" s="383">
        <v>66835.64</v>
      </c>
      <c r="I2342" s="1046">
        <v>173627.38</v>
      </c>
      <c r="J2342" s="1047"/>
      <c r="K2342" s="383">
        <v>13641.78</v>
      </c>
      <c r="L2342" s="383">
        <v>-93149.96</v>
      </c>
    </row>
    <row r="2343" spans="2:12">
      <c r="B2343" s="1050"/>
      <c r="C2343" s="1050"/>
      <c r="D2343" s="382" t="s">
        <v>2904</v>
      </c>
      <c r="E2343" s="382" t="s">
        <v>2126</v>
      </c>
      <c r="F2343" s="382" t="s">
        <v>2342</v>
      </c>
      <c r="G2343" s="382" t="s">
        <v>2349</v>
      </c>
      <c r="H2343" s="383">
        <v>267850.96000000002</v>
      </c>
      <c r="I2343" s="1046">
        <v>181725.47</v>
      </c>
      <c r="J2343" s="1047"/>
      <c r="K2343" s="383">
        <v>13617.39</v>
      </c>
      <c r="L2343" s="383">
        <v>99742.88</v>
      </c>
    </row>
    <row r="2344" spans="2:12">
      <c r="B2344" s="1050"/>
      <c r="C2344" s="1050"/>
      <c r="D2344" s="382" t="s">
        <v>2904</v>
      </c>
      <c r="E2344" s="382" t="s">
        <v>2126</v>
      </c>
      <c r="F2344" s="382" t="s">
        <v>2342</v>
      </c>
      <c r="G2344" s="382" t="s">
        <v>2350</v>
      </c>
      <c r="H2344" s="383">
        <v>216414.38</v>
      </c>
      <c r="I2344" s="1046">
        <v>328513</v>
      </c>
      <c r="J2344" s="1047"/>
      <c r="K2344" s="383">
        <v>12747.52</v>
      </c>
      <c r="L2344" s="383">
        <v>-99351.1</v>
      </c>
    </row>
    <row r="2345" spans="2:12">
      <c r="B2345" s="1050"/>
      <c r="C2345" s="1050"/>
      <c r="D2345" s="382" t="s">
        <v>2904</v>
      </c>
      <c r="E2345" s="382" t="s">
        <v>2126</v>
      </c>
      <c r="F2345" s="382" t="s">
        <v>2342</v>
      </c>
      <c r="G2345" s="382" t="s">
        <v>2351</v>
      </c>
      <c r="H2345" s="383">
        <v>129514.65</v>
      </c>
      <c r="I2345" s="1046">
        <v>152395.38</v>
      </c>
      <c r="J2345" s="1047"/>
      <c r="K2345" s="383">
        <v>27434.09</v>
      </c>
      <c r="L2345" s="383">
        <v>4553.3599999999997</v>
      </c>
    </row>
    <row r="2346" spans="2:12">
      <c r="B2346" s="1050"/>
      <c r="C2346" s="1050"/>
      <c r="D2346" s="382" t="s">
        <v>2904</v>
      </c>
      <c r="E2346" s="382" t="s">
        <v>2126</v>
      </c>
      <c r="F2346" s="382" t="s">
        <v>2342</v>
      </c>
      <c r="G2346" s="382" t="s">
        <v>2352</v>
      </c>
      <c r="H2346" s="383">
        <v>-8035.38</v>
      </c>
      <c r="I2346" s="1046">
        <v>102016.69</v>
      </c>
      <c r="J2346" s="1047"/>
      <c r="K2346" s="383">
        <v>2297.13</v>
      </c>
      <c r="L2346" s="383">
        <v>-107754.94</v>
      </c>
    </row>
    <row r="2347" spans="2:12">
      <c r="B2347" s="1050"/>
      <c r="C2347" s="1050"/>
      <c r="D2347" s="382" t="s">
        <v>2904</v>
      </c>
      <c r="E2347" s="382" t="s">
        <v>2126</v>
      </c>
      <c r="F2347" s="382" t="s">
        <v>2342</v>
      </c>
      <c r="G2347" s="382" t="s">
        <v>2353</v>
      </c>
      <c r="H2347" s="383">
        <v>56574.42</v>
      </c>
      <c r="I2347" s="1046">
        <v>194341.25</v>
      </c>
      <c r="J2347" s="1047"/>
      <c r="K2347" s="383">
        <v>2834.11</v>
      </c>
      <c r="L2347" s="383">
        <v>-134932.72</v>
      </c>
    </row>
    <row r="2348" spans="2:12">
      <c r="B2348" s="1050"/>
      <c r="C2348" s="1050"/>
      <c r="D2348" s="382" t="s">
        <v>2904</v>
      </c>
      <c r="E2348" s="382" t="s">
        <v>2126</v>
      </c>
      <c r="F2348" s="382" t="s">
        <v>2342</v>
      </c>
      <c r="G2348" s="382" t="s">
        <v>405</v>
      </c>
      <c r="H2348" s="383">
        <v>-15363.93</v>
      </c>
      <c r="I2348" s="1046">
        <v>86750.03</v>
      </c>
      <c r="J2348" s="1047"/>
      <c r="K2348" s="383">
        <v>8147.98</v>
      </c>
      <c r="L2348" s="383">
        <v>-93965.98</v>
      </c>
    </row>
    <row r="2349" spans="2:12">
      <c r="B2349" s="1050"/>
      <c r="C2349" s="1050"/>
      <c r="D2349" s="382" t="s">
        <v>2904</v>
      </c>
      <c r="E2349" s="382" t="s">
        <v>2126</v>
      </c>
      <c r="F2349" s="382" t="s">
        <v>2342</v>
      </c>
      <c r="G2349" s="382" t="s">
        <v>2354</v>
      </c>
      <c r="H2349" s="383">
        <v>12920</v>
      </c>
      <c r="I2349" s="1046">
        <v>12320</v>
      </c>
      <c r="J2349" s="1047"/>
      <c r="K2349" s="383">
        <v>0</v>
      </c>
      <c r="L2349" s="383">
        <v>600</v>
      </c>
    </row>
    <row r="2350" spans="2:12">
      <c r="B2350" s="1050"/>
      <c r="C2350" s="1050"/>
      <c r="D2350" s="382" t="s">
        <v>2905</v>
      </c>
      <c r="E2350" s="382" t="s">
        <v>2127</v>
      </c>
      <c r="F2350" s="382" t="s">
        <v>2342</v>
      </c>
      <c r="G2350" s="382" t="s">
        <v>2343</v>
      </c>
      <c r="H2350" s="383">
        <v>137166.59</v>
      </c>
      <c r="I2350" s="1046">
        <v>146758.82999999999</v>
      </c>
      <c r="J2350" s="1047"/>
      <c r="K2350" s="383">
        <v>10641.43</v>
      </c>
      <c r="L2350" s="383">
        <v>1049.19</v>
      </c>
    </row>
    <row r="2351" spans="2:12">
      <c r="B2351" s="1050"/>
      <c r="C2351" s="1050"/>
      <c r="D2351" s="382" t="s">
        <v>2905</v>
      </c>
      <c r="E2351" s="382" t="s">
        <v>2127</v>
      </c>
      <c r="F2351" s="382" t="s">
        <v>2342</v>
      </c>
      <c r="G2351" s="382" t="s">
        <v>2344</v>
      </c>
      <c r="H2351" s="383">
        <v>76809.539999999994</v>
      </c>
      <c r="I2351" s="1046">
        <v>156239.13</v>
      </c>
      <c r="J2351" s="1047"/>
      <c r="K2351" s="383">
        <v>4173.07</v>
      </c>
      <c r="L2351" s="383">
        <v>-75256.52</v>
      </c>
    </row>
    <row r="2352" spans="2:12">
      <c r="B2352" s="1050"/>
      <c r="C2352" s="1050"/>
      <c r="D2352" s="382" t="s">
        <v>2905</v>
      </c>
      <c r="E2352" s="382" t="s">
        <v>2127</v>
      </c>
      <c r="F2352" s="382" t="s">
        <v>2342</v>
      </c>
      <c r="G2352" s="382" t="s">
        <v>2345</v>
      </c>
      <c r="H2352" s="383">
        <v>100700.76</v>
      </c>
      <c r="I2352" s="1046">
        <v>64686.32</v>
      </c>
      <c r="J2352" s="1047"/>
      <c r="K2352" s="383">
        <v>7941.87</v>
      </c>
      <c r="L2352" s="383">
        <v>43956.31</v>
      </c>
    </row>
    <row r="2353" spans="2:12">
      <c r="B2353" s="1050"/>
      <c r="C2353" s="1050"/>
      <c r="D2353" s="382" t="s">
        <v>2905</v>
      </c>
      <c r="E2353" s="382" t="s">
        <v>2127</v>
      </c>
      <c r="F2353" s="382" t="s">
        <v>2342</v>
      </c>
      <c r="G2353" s="382" t="s">
        <v>2346</v>
      </c>
      <c r="H2353" s="383">
        <v>47155.48</v>
      </c>
      <c r="I2353" s="1046">
        <v>113968.75</v>
      </c>
      <c r="J2353" s="1047"/>
      <c r="K2353" s="383">
        <v>3637.89</v>
      </c>
      <c r="L2353" s="383">
        <v>-63175.38</v>
      </c>
    </row>
    <row r="2354" spans="2:12">
      <c r="B2354" s="1050"/>
      <c r="C2354" s="1050"/>
      <c r="D2354" s="382" t="s">
        <v>2905</v>
      </c>
      <c r="E2354" s="382" t="s">
        <v>2127</v>
      </c>
      <c r="F2354" s="382" t="s">
        <v>2342</v>
      </c>
      <c r="G2354" s="382" t="s">
        <v>2347</v>
      </c>
      <c r="H2354" s="383">
        <v>88917.68</v>
      </c>
      <c r="I2354" s="1046">
        <v>235052.08</v>
      </c>
      <c r="J2354" s="1047"/>
      <c r="K2354" s="383">
        <v>24864.61</v>
      </c>
      <c r="L2354" s="383">
        <v>-121269.79</v>
      </c>
    </row>
    <row r="2355" spans="2:12">
      <c r="B2355" s="1050"/>
      <c r="C2355" s="1050"/>
      <c r="D2355" s="382" t="s">
        <v>2905</v>
      </c>
      <c r="E2355" s="382" t="s">
        <v>2127</v>
      </c>
      <c r="F2355" s="382" t="s">
        <v>2342</v>
      </c>
      <c r="G2355" s="382" t="s">
        <v>2348</v>
      </c>
      <c r="H2355" s="383">
        <v>16568.87</v>
      </c>
      <c r="I2355" s="1046">
        <v>136676.31</v>
      </c>
      <c r="J2355" s="1047"/>
      <c r="K2355" s="383">
        <v>1738.39</v>
      </c>
      <c r="L2355" s="383">
        <v>-118369.05</v>
      </c>
    </row>
    <row r="2356" spans="2:12">
      <c r="B2356" s="1050"/>
      <c r="C2356" s="1050"/>
      <c r="D2356" s="382" t="s">
        <v>2905</v>
      </c>
      <c r="E2356" s="382" t="s">
        <v>2127</v>
      </c>
      <c r="F2356" s="382" t="s">
        <v>2342</v>
      </c>
      <c r="G2356" s="382" t="s">
        <v>2349</v>
      </c>
      <c r="H2356" s="383">
        <v>528602.36</v>
      </c>
      <c r="I2356" s="1046">
        <v>315342.02</v>
      </c>
      <c r="J2356" s="1047"/>
      <c r="K2356" s="383">
        <v>39713.870000000003</v>
      </c>
      <c r="L2356" s="383">
        <v>252974.21</v>
      </c>
    </row>
    <row r="2357" spans="2:12">
      <c r="B2357" s="1050"/>
      <c r="C2357" s="1050"/>
      <c r="D2357" s="382" t="s">
        <v>2905</v>
      </c>
      <c r="E2357" s="382" t="s">
        <v>2127</v>
      </c>
      <c r="F2357" s="382" t="s">
        <v>2342</v>
      </c>
      <c r="G2357" s="382" t="s">
        <v>2350</v>
      </c>
      <c r="H2357" s="383">
        <v>-32459.24</v>
      </c>
      <c r="I2357" s="1046">
        <v>136359.66</v>
      </c>
      <c r="J2357" s="1047"/>
      <c r="K2357" s="383">
        <v>8139.26</v>
      </c>
      <c r="L2357" s="383">
        <v>-160679.64000000001</v>
      </c>
    </row>
    <row r="2358" spans="2:12">
      <c r="B2358" s="1050"/>
      <c r="C2358" s="1050"/>
      <c r="D2358" s="382" t="s">
        <v>2905</v>
      </c>
      <c r="E2358" s="382" t="s">
        <v>2127</v>
      </c>
      <c r="F2358" s="382" t="s">
        <v>2342</v>
      </c>
      <c r="G2358" s="382" t="s">
        <v>2351</v>
      </c>
      <c r="H2358" s="383">
        <v>82824.22</v>
      </c>
      <c r="I2358" s="1046">
        <v>141580.09</v>
      </c>
      <c r="J2358" s="1047"/>
      <c r="K2358" s="383">
        <v>3981.44</v>
      </c>
      <c r="L2358" s="383">
        <v>-54774.43</v>
      </c>
    </row>
    <row r="2359" spans="2:12">
      <c r="B2359" s="1050"/>
      <c r="C2359" s="1050"/>
      <c r="D2359" s="382" t="s">
        <v>2905</v>
      </c>
      <c r="E2359" s="382" t="s">
        <v>2127</v>
      </c>
      <c r="F2359" s="382" t="s">
        <v>2342</v>
      </c>
      <c r="G2359" s="382" t="s">
        <v>2352</v>
      </c>
      <c r="H2359" s="383">
        <v>105964.76</v>
      </c>
      <c r="I2359" s="1046">
        <v>159072.75</v>
      </c>
      <c r="J2359" s="1047"/>
      <c r="K2359" s="383">
        <v>3683.96</v>
      </c>
      <c r="L2359" s="383">
        <v>-49424.03</v>
      </c>
    </row>
    <row r="2360" spans="2:12">
      <c r="B2360" s="1050"/>
      <c r="C2360" s="1050"/>
      <c r="D2360" s="382" t="s">
        <v>2905</v>
      </c>
      <c r="E2360" s="382" t="s">
        <v>2127</v>
      </c>
      <c r="F2360" s="382" t="s">
        <v>2342</v>
      </c>
      <c r="G2360" s="382" t="s">
        <v>2353</v>
      </c>
      <c r="H2360" s="383">
        <v>28632.22</v>
      </c>
      <c r="I2360" s="1046">
        <v>143123.6</v>
      </c>
      <c r="J2360" s="1047"/>
      <c r="K2360" s="383">
        <v>9609.66</v>
      </c>
      <c r="L2360" s="383">
        <v>-104881.72</v>
      </c>
    </row>
    <row r="2361" spans="2:12">
      <c r="B2361" s="1050"/>
      <c r="C2361" s="1050"/>
      <c r="D2361" s="382" t="s">
        <v>2905</v>
      </c>
      <c r="E2361" s="382" t="s">
        <v>2127</v>
      </c>
      <c r="F2361" s="382" t="s">
        <v>2342</v>
      </c>
      <c r="G2361" s="382" t="s">
        <v>405</v>
      </c>
      <c r="H2361" s="383">
        <v>-20089.55</v>
      </c>
      <c r="I2361" s="1046">
        <v>73723.649999999994</v>
      </c>
      <c r="J2361" s="1047"/>
      <c r="K2361" s="383">
        <v>2334.44</v>
      </c>
      <c r="L2361" s="383">
        <v>-91478.76</v>
      </c>
    </row>
    <row r="2362" spans="2:12">
      <c r="B2362" s="1050"/>
      <c r="C2362" s="1050"/>
      <c r="D2362" s="382" t="s">
        <v>2905</v>
      </c>
      <c r="E2362" s="382" t="s">
        <v>2127</v>
      </c>
      <c r="F2362" s="382" t="s">
        <v>2342</v>
      </c>
      <c r="G2362" s="382" t="s">
        <v>2354</v>
      </c>
      <c r="H2362" s="383">
        <v>5050</v>
      </c>
      <c r="I2362" s="1046">
        <v>5050</v>
      </c>
      <c r="J2362" s="1047"/>
      <c r="K2362" s="383">
        <v>0</v>
      </c>
      <c r="L2362" s="383">
        <v>0</v>
      </c>
    </row>
    <row r="2363" spans="2:12">
      <c r="B2363" s="1050"/>
      <c r="C2363" s="1050"/>
      <c r="D2363" s="382" t="s">
        <v>2906</v>
      </c>
      <c r="E2363" s="382" t="s">
        <v>2128</v>
      </c>
      <c r="F2363" s="382" t="s">
        <v>2342</v>
      </c>
      <c r="G2363" s="382" t="s">
        <v>2343</v>
      </c>
      <c r="H2363" s="383">
        <v>109220.31</v>
      </c>
      <c r="I2363" s="1046">
        <v>189748.91</v>
      </c>
      <c r="J2363" s="1047"/>
      <c r="K2363" s="383">
        <v>1680.51</v>
      </c>
      <c r="L2363" s="383">
        <v>-78848.09</v>
      </c>
    </row>
    <row r="2364" spans="2:12">
      <c r="B2364" s="1050"/>
      <c r="C2364" s="1050"/>
      <c r="D2364" s="382" t="s">
        <v>2906</v>
      </c>
      <c r="E2364" s="382" t="s">
        <v>2128</v>
      </c>
      <c r="F2364" s="382" t="s">
        <v>2342</v>
      </c>
      <c r="G2364" s="382" t="s">
        <v>2344</v>
      </c>
      <c r="H2364" s="383">
        <v>76609.09</v>
      </c>
      <c r="I2364" s="1046">
        <v>200322.78</v>
      </c>
      <c r="J2364" s="1047"/>
      <c r="K2364" s="383">
        <v>0</v>
      </c>
      <c r="L2364" s="383">
        <v>-123713.69</v>
      </c>
    </row>
    <row r="2365" spans="2:12">
      <c r="B2365" s="1050"/>
      <c r="C2365" s="1050"/>
      <c r="D2365" s="382" t="s">
        <v>2906</v>
      </c>
      <c r="E2365" s="382" t="s">
        <v>2128</v>
      </c>
      <c r="F2365" s="382" t="s">
        <v>2342</v>
      </c>
      <c r="G2365" s="382" t="s">
        <v>2345</v>
      </c>
      <c r="H2365" s="383">
        <v>84761.24</v>
      </c>
      <c r="I2365" s="1046">
        <v>188020.28</v>
      </c>
      <c r="J2365" s="1047"/>
      <c r="K2365" s="383">
        <v>21483.87</v>
      </c>
      <c r="L2365" s="383">
        <v>-81775.17</v>
      </c>
    </row>
    <row r="2366" spans="2:12">
      <c r="B2366" s="1050"/>
      <c r="C2366" s="1050"/>
      <c r="D2366" s="382" t="s">
        <v>2906</v>
      </c>
      <c r="E2366" s="382" t="s">
        <v>2128</v>
      </c>
      <c r="F2366" s="382" t="s">
        <v>2342</v>
      </c>
      <c r="G2366" s="382" t="s">
        <v>2346</v>
      </c>
      <c r="H2366" s="383">
        <v>31696.5</v>
      </c>
      <c r="I2366" s="1046">
        <v>140567.23000000001</v>
      </c>
      <c r="J2366" s="1047"/>
      <c r="K2366" s="383">
        <v>223.11</v>
      </c>
      <c r="L2366" s="383">
        <v>-108647.62</v>
      </c>
    </row>
    <row r="2367" spans="2:12">
      <c r="B2367" s="1050"/>
      <c r="C2367" s="1050"/>
      <c r="D2367" s="382" t="s">
        <v>2906</v>
      </c>
      <c r="E2367" s="382" t="s">
        <v>2128</v>
      </c>
      <c r="F2367" s="382" t="s">
        <v>2342</v>
      </c>
      <c r="G2367" s="382" t="s">
        <v>2347</v>
      </c>
      <c r="H2367" s="383">
        <v>-94489.39</v>
      </c>
      <c r="I2367" s="1046">
        <v>251158.35</v>
      </c>
      <c r="J2367" s="1047"/>
      <c r="K2367" s="383">
        <v>1189.6400000000001</v>
      </c>
      <c r="L2367" s="383">
        <v>-344458.1</v>
      </c>
    </row>
    <row r="2368" spans="2:12">
      <c r="B2368" s="1050"/>
      <c r="C2368" s="1050"/>
      <c r="D2368" s="382" t="s">
        <v>2906</v>
      </c>
      <c r="E2368" s="382" t="s">
        <v>2128</v>
      </c>
      <c r="F2368" s="382" t="s">
        <v>2342</v>
      </c>
      <c r="G2368" s="382" t="s">
        <v>2348</v>
      </c>
      <c r="H2368" s="383">
        <v>-45914.239999999998</v>
      </c>
      <c r="I2368" s="1046">
        <v>145908.72</v>
      </c>
      <c r="J2368" s="1047"/>
      <c r="K2368" s="383">
        <v>6040.81</v>
      </c>
      <c r="L2368" s="383">
        <v>-185782.15</v>
      </c>
    </row>
    <row r="2369" spans="2:12">
      <c r="B2369" s="1050"/>
      <c r="C2369" s="1050"/>
      <c r="D2369" s="382" t="s">
        <v>2906</v>
      </c>
      <c r="E2369" s="382" t="s">
        <v>2128</v>
      </c>
      <c r="F2369" s="382" t="s">
        <v>2342</v>
      </c>
      <c r="G2369" s="382" t="s">
        <v>2349</v>
      </c>
      <c r="H2369" s="383">
        <v>252269.83</v>
      </c>
      <c r="I2369" s="1046">
        <v>481283.52</v>
      </c>
      <c r="J2369" s="1047"/>
      <c r="K2369" s="383">
        <v>33739.620000000003</v>
      </c>
      <c r="L2369" s="383">
        <v>-195274.07</v>
      </c>
    </row>
    <row r="2370" spans="2:12">
      <c r="B2370" s="1050"/>
      <c r="C2370" s="1050"/>
      <c r="D2370" s="382" t="s">
        <v>2906</v>
      </c>
      <c r="E2370" s="382" t="s">
        <v>2128</v>
      </c>
      <c r="F2370" s="382" t="s">
        <v>2342</v>
      </c>
      <c r="G2370" s="382" t="s">
        <v>2350</v>
      </c>
      <c r="H2370" s="383">
        <v>180161.45</v>
      </c>
      <c r="I2370" s="1046">
        <v>384074.29</v>
      </c>
      <c r="J2370" s="1047"/>
      <c r="K2370" s="383">
        <v>5434.71</v>
      </c>
      <c r="L2370" s="383">
        <v>-198478.13</v>
      </c>
    </row>
    <row r="2371" spans="2:12">
      <c r="B2371" s="1050"/>
      <c r="C2371" s="1050"/>
      <c r="D2371" s="382" t="s">
        <v>2906</v>
      </c>
      <c r="E2371" s="382" t="s">
        <v>2128</v>
      </c>
      <c r="F2371" s="382" t="s">
        <v>2342</v>
      </c>
      <c r="G2371" s="382" t="s">
        <v>2351</v>
      </c>
      <c r="H2371" s="383">
        <v>22286.77</v>
      </c>
      <c r="I2371" s="1046">
        <v>164967.17000000001</v>
      </c>
      <c r="J2371" s="1047"/>
      <c r="K2371" s="383">
        <v>6307.1</v>
      </c>
      <c r="L2371" s="383">
        <v>-136373.29999999999</v>
      </c>
    </row>
    <row r="2372" spans="2:12">
      <c r="B2372" s="1050"/>
      <c r="C2372" s="1050"/>
      <c r="D2372" s="382" t="s">
        <v>2906</v>
      </c>
      <c r="E2372" s="382" t="s">
        <v>2128</v>
      </c>
      <c r="F2372" s="382" t="s">
        <v>2342</v>
      </c>
      <c r="G2372" s="382" t="s">
        <v>2352</v>
      </c>
      <c r="H2372" s="383">
        <v>79793.929999999993</v>
      </c>
      <c r="I2372" s="1046">
        <v>209892.65</v>
      </c>
      <c r="J2372" s="1047"/>
      <c r="K2372" s="383">
        <v>7840.96</v>
      </c>
      <c r="L2372" s="383">
        <v>-122257.76</v>
      </c>
    </row>
    <row r="2373" spans="2:12">
      <c r="B2373" s="1050"/>
      <c r="C2373" s="1050"/>
      <c r="D2373" s="382" t="s">
        <v>2906</v>
      </c>
      <c r="E2373" s="382" t="s">
        <v>2128</v>
      </c>
      <c r="F2373" s="382" t="s">
        <v>2342</v>
      </c>
      <c r="G2373" s="382" t="s">
        <v>2353</v>
      </c>
      <c r="H2373" s="383">
        <v>-33688.74</v>
      </c>
      <c r="I2373" s="1046">
        <v>143767</v>
      </c>
      <c r="J2373" s="1047"/>
      <c r="K2373" s="383">
        <v>0</v>
      </c>
      <c r="L2373" s="383">
        <v>-177455.74</v>
      </c>
    </row>
    <row r="2374" spans="2:12">
      <c r="B2374" s="1050"/>
      <c r="C2374" s="1050"/>
      <c r="D2374" s="382" t="s">
        <v>2906</v>
      </c>
      <c r="E2374" s="382" t="s">
        <v>2128</v>
      </c>
      <c r="F2374" s="382" t="s">
        <v>2342</v>
      </c>
      <c r="G2374" s="382" t="s">
        <v>405</v>
      </c>
      <c r="H2374" s="383">
        <v>-78230.880000000005</v>
      </c>
      <c r="I2374" s="1046">
        <v>86933.54</v>
      </c>
      <c r="J2374" s="1047"/>
      <c r="K2374" s="383">
        <v>0</v>
      </c>
      <c r="L2374" s="383">
        <v>-165164.42000000001</v>
      </c>
    </row>
    <row r="2375" spans="2:12">
      <c r="B2375" s="1050"/>
      <c r="C2375" s="1050"/>
      <c r="D2375" s="382" t="s">
        <v>2906</v>
      </c>
      <c r="E2375" s="382" t="s">
        <v>2128</v>
      </c>
      <c r="F2375" s="382" t="s">
        <v>2342</v>
      </c>
      <c r="G2375" s="382" t="s">
        <v>2355</v>
      </c>
      <c r="H2375" s="383">
        <v>-362016.32</v>
      </c>
      <c r="I2375" s="1056">
        <v>11196206.289999999</v>
      </c>
      <c r="J2375" s="1057"/>
      <c r="K2375" s="383">
        <v>21205283.07</v>
      </c>
      <c r="L2375" s="383">
        <f>H2375+K2375-I2375</f>
        <v>9647060.4600000009</v>
      </c>
    </row>
    <row r="2376" spans="2:12">
      <c r="B2376" s="1050"/>
      <c r="C2376" s="1050"/>
      <c r="D2376" s="382" t="s">
        <v>2907</v>
      </c>
      <c r="E2376" s="382" t="s">
        <v>2129</v>
      </c>
      <c r="F2376" s="382" t="s">
        <v>2342</v>
      </c>
      <c r="G2376" s="382" t="s">
        <v>2343</v>
      </c>
      <c r="H2376" s="383">
        <v>-16245.04</v>
      </c>
      <c r="I2376" s="1046">
        <v>0</v>
      </c>
      <c r="J2376" s="1047"/>
      <c r="K2376" s="383">
        <v>0</v>
      </c>
      <c r="L2376" s="383">
        <v>-16245.04</v>
      </c>
    </row>
    <row r="2377" spans="2:12">
      <c r="B2377" s="1050"/>
      <c r="C2377" s="1050"/>
      <c r="D2377" s="382" t="s">
        <v>2907</v>
      </c>
      <c r="E2377" s="382" t="s">
        <v>2129</v>
      </c>
      <c r="F2377" s="382" t="s">
        <v>2342</v>
      </c>
      <c r="G2377" s="382" t="s">
        <v>2344</v>
      </c>
      <c r="H2377" s="383">
        <v>-16561.22</v>
      </c>
      <c r="I2377" s="1046">
        <v>0</v>
      </c>
      <c r="J2377" s="1047"/>
      <c r="K2377" s="383">
        <v>0</v>
      </c>
      <c r="L2377" s="383">
        <v>-16561.22</v>
      </c>
    </row>
    <row r="2378" spans="2:12">
      <c r="B2378" s="1050"/>
      <c r="C2378" s="1050"/>
      <c r="D2378" s="382" t="s">
        <v>2907</v>
      </c>
      <c r="E2378" s="382" t="s">
        <v>2129</v>
      </c>
      <c r="F2378" s="382" t="s">
        <v>2342</v>
      </c>
      <c r="G2378" s="382" t="s">
        <v>2345</v>
      </c>
      <c r="H2378" s="383">
        <v>-14032.28</v>
      </c>
      <c r="I2378" s="1046">
        <v>0</v>
      </c>
      <c r="J2378" s="1047"/>
      <c r="K2378" s="383">
        <v>0</v>
      </c>
      <c r="L2378" s="383">
        <v>-14032.28</v>
      </c>
    </row>
    <row r="2379" spans="2:12">
      <c r="B2379" s="1050"/>
      <c r="C2379" s="1050"/>
      <c r="D2379" s="382" t="s">
        <v>2907</v>
      </c>
      <c r="E2379" s="382" t="s">
        <v>2129</v>
      </c>
      <c r="F2379" s="382" t="s">
        <v>2342</v>
      </c>
      <c r="G2379" s="382" t="s">
        <v>2346</v>
      </c>
      <c r="H2379" s="383">
        <v>-10221.790000000001</v>
      </c>
      <c r="I2379" s="1046">
        <v>0</v>
      </c>
      <c r="J2379" s="1047"/>
      <c r="K2379" s="383">
        <v>0</v>
      </c>
      <c r="L2379" s="383">
        <v>-10221.790000000001</v>
      </c>
    </row>
    <row r="2380" spans="2:12">
      <c r="B2380" s="1050"/>
      <c r="C2380" s="1050"/>
      <c r="D2380" s="382" t="s">
        <v>2907</v>
      </c>
      <c r="E2380" s="382" t="s">
        <v>2129</v>
      </c>
      <c r="F2380" s="382" t="s">
        <v>2342</v>
      </c>
      <c r="G2380" s="382" t="s">
        <v>2347</v>
      </c>
      <c r="H2380" s="383">
        <v>-32969.699999999997</v>
      </c>
      <c r="I2380" s="1046">
        <v>0</v>
      </c>
      <c r="J2380" s="1047"/>
      <c r="K2380" s="383">
        <v>0</v>
      </c>
      <c r="L2380" s="383">
        <v>-32969.699999999997</v>
      </c>
    </row>
    <row r="2381" spans="2:12">
      <c r="B2381" s="1050"/>
      <c r="C2381" s="1050"/>
      <c r="D2381" s="382" t="s">
        <v>2907</v>
      </c>
      <c r="E2381" s="382" t="s">
        <v>2129</v>
      </c>
      <c r="F2381" s="382" t="s">
        <v>2342</v>
      </c>
      <c r="G2381" s="382" t="s">
        <v>2348</v>
      </c>
      <c r="H2381" s="383">
        <v>-19326.7</v>
      </c>
      <c r="I2381" s="1046">
        <v>0</v>
      </c>
      <c r="J2381" s="1047"/>
      <c r="K2381" s="383">
        <v>0</v>
      </c>
      <c r="L2381" s="383">
        <v>-19326.7</v>
      </c>
    </row>
    <row r="2382" spans="2:12">
      <c r="B2382" s="1050"/>
      <c r="C2382" s="1050"/>
      <c r="D2382" s="382" t="s">
        <v>2907</v>
      </c>
      <c r="E2382" s="382" t="s">
        <v>2129</v>
      </c>
      <c r="F2382" s="382" t="s">
        <v>2342</v>
      </c>
      <c r="G2382" s="382" t="s">
        <v>2349</v>
      </c>
      <c r="H2382" s="383">
        <v>-27660.12</v>
      </c>
      <c r="I2382" s="1046">
        <v>0</v>
      </c>
      <c r="J2382" s="1047"/>
      <c r="K2382" s="383">
        <v>0</v>
      </c>
      <c r="L2382" s="383">
        <v>-27660.12</v>
      </c>
    </row>
    <row r="2383" spans="2:12">
      <c r="B2383" s="1050"/>
      <c r="C2383" s="1050"/>
      <c r="D2383" s="382" t="s">
        <v>2907</v>
      </c>
      <c r="E2383" s="382" t="s">
        <v>2129</v>
      </c>
      <c r="F2383" s="382" t="s">
        <v>2342</v>
      </c>
      <c r="G2383" s="382" t="s">
        <v>2350</v>
      </c>
      <c r="H2383" s="383">
        <v>-27252.26</v>
      </c>
      <c r="I2383" s="1046">
        <v>0</v>
      </c>
      <c r="J2383" s="1047"/>
      <c r="K2383" s="383">
        <v>0</v>
      </c>
      <c r="L2383" s="383">
        <v>-27252.26</v>
      </c>
    </row>
    <row r="2384" spans="2:12">
      <c r="B2384" s="1050"/>
      <c r="C2384" s="1050"/>
      <c r="D2384" s="382" t="s">
        <v>2907</v>
      </c>
      <c r="E2384" s="382" t="s">
        <v>2129</v>
      </c>
      <c r="F2384" s="382" t="s">
        <v>2342</v>
      </c>
      <c r="G2384" s="382" t="s">
        <v>2351</v>
      </c>
      <c r="H2384" s="383">
        <v>-13366.58</v>
      </c>
      <c r="I2384" s="1046">
        <v>0</v>
      </c>
      <c r="J2384" s="1047"/>
      <c r="K2384" s="383">
        <v>0</v>
      </c>
      <c r="L2384" s="383">
        <v>-13366.58</v>
      </c>
    </row>
    <row r="2385" spans="2:12">
      <c r="B2385" s="1050"/>
      <c r="C2385" s="1050"/>
      <c r="D2385" s="382" t="s">
        <v>2907</v>
      </c>
      <c r="E2385" s="382" t="s">
        <v>2129</v>
      </c>
      <c r="F2385" s="382" t="s">
        <v>2342</v>
      </c>
      <c r="G2385" s="382" t="s">
        <v>2352</v>
      </c>
      <c r="H2385" s="383">
        <v>-14368.06</v>
      </c>
      <c r="I2385" s="1046">
        <v>0</v>
      </c>
      <c r="J2385" s="1047"/>
      <c r="K2385" s="383">
        <v>0</v>
      </c>
      <c r="L2385" s="383">
        <v>-14368.06</v>
      </c>
    </row>
    <row r="2386" spans="2:12">
      <c r="B2386" s="1050"/>
      <c r="C2386" s="1050"/>
      <c r="D2386" s="382" t="s">
        <v>2907</v>
      </c>
      <c r="E2386" s="382" t="s">
        <v>2129</v>
      </c>
      <c r="F2386" s="382" t="s">
        <v>2342</v>
      </c>
      <c r="G2386" s="382" t="s">
        <v>2353</v>
      </c>
      <c r="H2386" s="383">
        <v>-17526.490000000002</v>
      </c>
      <c r="I2386" s="1046">
        <v>0</v>
      </c>
      <c r="J2386" s="1047"/>
      <c r="K2386" s="383">
        <v>0</v>
      </c>
      <c r="L2386" s="383">
        <v>-17526.490000000002</v>
      </c>
    </row>
    <row r="2387" spans="2:12">
      <c r="B2387" s="1050"/>
      <c r="C2387" s="1050"/>
      <c r="D2387" s="382" t="s">
        <v>2907</v>
      </c>
      <c r="E2387" s="382" t="s">
        <v>2129</v>
      </c>
      <c r="F2387" s="382" t="s">
        <v>2342</v>
      </c>
      <c r="G2387" s="382" t="s">
        <v>405</v>
      </c>
      <c r="H2387" s="383">
        <v>-14972.42</v>
      </c>
      <c r="I2387" s="1046">
        <v>0</v>
      </c>
      <c r="J2387" s="1047"/>
      <c r="K2387" s="383">
        <v>0</v>
      </c>
      <c r="L2387" s="383">
        <v>-14972.42</v>
      </c>
    </row>
    <row r="2388" spans="2:12">
      <c r="B2388" s="1050"/>
      <c r="C2388" s="1050"/>
      <c r="D2388" s="382" t="s">
        <v>2907</v>
      </c>
      <c r="E2388" s="382" t="s">
        <v>2129</v>
      </c>
      <c r="F2388" s="382" t="s">
        <v>2342</v>
      </c>
      <c r="G2388" s="382" t="s">
        <v>2355</v>
      </c>
      <c r="H2388" s="383">
        <v>314408.38</v>
      </c>
      <c r="I2388" s="1046">
        <v>221236.1</v>
      </c>
      <c r="J2388" s="1047"/>
      <c r="K2388" s="383">
        <v>6771.99</v>
      </c>
      <c r="L2388" s="383">
        <v>99944.27</v>
      </c>
    </row>
    <row r="2389" spans="2:12">
      <c r="B2389" s="1050"/>
      <c r="C2389" s="1050"/>
      <c r="D2389" s="382" t="s">
        <v>2908</v>
      </c>
      <c r="E2389" s="382" t="s">
        <v>2130</v>
      </c>
      <c r="F2389" s="382" t="s">
        <v>2342</v>
      </c>
      <c r="G2389" s="382" t="s">
        <v>2343</v>
      </c>
      <c r="H2389" s="383">
        <v>56338.84</v>
      </c>
      <c r="I2389" s="1046">
        <v>104608.53</v>
      </c>
      <c r="J2389" s="1047"/>
      <c r="K2389" s="383">
        <v>45039.93</v>
      </c>
      <c r="L2389" s="383">
        <v>-3229.76</v>
      </c>
    </row>
    <row r="2390" spans="2:12">
      <c r="B2390" s="1050"/>
      <c r="C2390" s="1050"/>
      <c r="D2390" s="382" t="s">
        <v>2908</v>
      </c>
      <c r="E2390" s="382" t="s">
        <v>2130</v>
      </c>
      <c r="F2390" s="382" t="s">
        <v>2342</v>
      </c>
      <c r="G2390" s="382" t="s">
        <v>2344</v>
      </c>
      <c r="H2390" s="383">
        <v>-87491.04</v>
      </c>
      <c r="I2390" s="1046">
        <v>13865.8</v>
      </c>
      <c r="J2390" s="1047"/>
      <c r="K2390" s="383">
        <v>0</v>
      </c>
      <c r="L2390" s="383">
        <v>-101356.84</v>
      </c>
    </row>
    <row r="2391" spans="2:12">
      <c r="B2391" s="1050"/>
      <c r="C2391" s="1050"/>
      <c r="D2391" s="382" t="s">
        <v>2908</v>
      </c>
      <c r="E2391" s="382" t="s">
        <v>2130</v>
      </c>
      <c r="F2391" s="382" t="s">
        <v>2342</v>
      </c>
      <c r="G2391" s="382" t="s">
        <v>2345</v>
      </c>
      <c r="H2391" s="383">
        <v>-93222.07</v>
      </c>
      <c r="I2391" s="1046">
        <v>100003.51</v>
      </c>
      <c r="J2391" s="1047"/>
      <c r="K2391" s="383">
        <v>0</v>
      </c>
      <c r="L2391" s="383">
        <v>-193225.58</v>
      </c>
    </row>
    <row r="2392" spans="2:12">
      <c r="B2392" s="1050"/>
      <c r="C2392" s="1050"/>
      <c r="D2392" s="382" t="s">
        <v>2908</v>
      </c>
      <c r="E2392" s="382" t="s">
        <v>2130</v>
      </c>
      <c r="F2392" s="382" t="s">
        <v>2342</v>
      </c>
      <c r="G2392" s="382" t="s">
        <v>2346</v>
      </c>
      <c r="H2392" s="383">
        <v>-25340.87</v>
      </c>
      <c r="I2392" s="1046">
        <v>37217.81</v>
      </c>
      <c r="J2392" s="1047"/>
      <c r="K2392" s="383">
        <v>0</v>
      </c>
      <c r="L2392" s="383">
        <v>-62558.68</v>
      </c>
    </row>
    <row r="2393" spans="2:12">
      <c r="B2393" s="1050"/>
      <c r="C2393" s="1050"/>
      <c r="D2393" s="382" t="s">
        <v>2908</v>
      </c>
      <c r="E2393" s="382" t="s">
        <v>2130</v>
      </c>
      <c r="F2393" s="382" t="s">
        <v>2342</v>
      </c>
      <c r="G2393" s="382" t="s">
        <v>2347</v>
      </c>
      <c r="H2393" s="383">
        <v>318349.32</v>
      </c>
      <c r="I2393" s="1046">
        <v>520128.24</v>
      </c>
      <c r="J2393" s="1047"/>
      <c r="K2393" s="383">
        <v>0</v>
      </c>
      <c r="L2393" s="383">
        <v>-201778.92</v>
      </c>
    </row>
    <row r="2394" spans="2:12">
      <c r="B2394" s="1050"/>
      <c r="C2394" s="1050"/>
      <c r="D2394" s="382" t="s">
        <v>2908</v>
      </c>
      <c r="E2394" s="382" t="s">
        <v>2130</v>
      </c>
      <c r="F2394" s="382" t="s">
        <v>2342</v>
      </c>
      <c r="G2394" s="382" t="s">
        <v>2348</v>
      </c>
      <c r="H2394" s="383">
        <v>79238.740000000005</v>
      </c>
      <c r="I2394" s="1046">
        <v>175329.94</v>
      </c>
      <c r="J2394" s="1047"/>
      <c r="K2394" s="383">
        <v>0</v>
      </c>
      <c r="L2394" s="383">
        <v>-96091.199999999997</v>
      </c>
    </row>
    <row r="2395" spans="2:12">
      <c r="B2395" s="1050"/>
      <c r="C2395" s="1050"/>
      <c r="D2395" s="382" t="s">
        <v>2908</v>
      </c>
      <c r="E2395" s="382" t="s">
        <v>2130</v>
      </c>
      <c r="F2395" s="382" t="s">
        <v>2342</v>
      </c>
      <c r="G2395" s="382" t="s">
        <v>2349</v>
      </c>
      <c r="H2395" s="383">
        <v>-319087.51</v>
      </c>
      <c r="I2395" s="1046">
        <v>61794.58</v>
      </c>
      <c r="J2395" s="1047"/>
      <c r="K2395" s="383">
        <v>0</v>
      </c>
      <c r="L2395" s="383">
        <v>-380882.09</v>
      </c>
    </row>
    <row r="2396" spans="2:12">
      <c r="B2396" s="1050"/>
      <c r="C2396" s="1050"/>
      <c r="D2396" s="382" t="s">
        <v>2908</v>
      </c>
      <c r="E2396" s="382" t="s">
        <v>2130</v>
      </c>
      <c r="F2396" s="382" t="s">
        <v>2342</v>
      </c>
      <c r="G2396" s="382" t="s">
        <v>2350</v>
      </c>
      <c r="H2396" s="383">
        <v>108895.69</v>
      </c>
      <c r="I2396" s="1046">
        <v>275683.11</v>
      </c>
      <c r="J2396" s="1047"/>
      <c r="K2396" s="383">
        <v>0</v>
      </c>
      <c r="L2396" s="383">
        <v>-166787.42000000001</v>
      </c>
    </row>
    <row r="2397" spans="2:12">
      <c r="B2397" s="1050"/>
      <c r="C2397" s="1050"/>
      <c r="D2397" s="382" t="s">
        <v>2908</v>
      </c>
      <c r="E2397" s="382" t="s">
        <v>2130</v>
      </c>
      <c r="F2397" s="382" t="s">
        <v>2342</v>
      </c>
      <c r="G2397" s="382" t="s">
        <v>2351</v>
      </c>
      <c r="H2397" s="383">
        <v>-38027.64</v>
      </c>
      <c r="I2397" s="1046">
        <v>43777.62</v>
      </c>
      <c r="J2397" s="1047"/>
      <c r="K2397" s="383">
        <v>0</v>
      </c>
      <c r="L2397" s="383">
        <v>-81805.259999999995</v>
      </c>
    </row>
    <row r="2398" spans="2:12">
      <c r="B2398" s="1050"/>
      <c r="C2398" s="1050"/>
      <c r="D2398" s="382" t="s">
        <v>2908</v>
      </c>
      <c r="E2398" s="382" t="s">
        <v>2130</v>
      </c>
      <c r="F2398" s="382" t="s">
        <v>2342</v>
      </c>
      <c r="G2398" s="382" t="s">
        <v>2352</v>
      </c>
      <c r="H2398" s="383">
        <v>-28335.66</v>
      </c>
      <c r="I2398" s="1046">
        <v>59598.78</v>
      </c>
      <c r="J2398" s="1047"/>
      <c r="K2398" s="383">
        <v>0</v>
      </c>
      <c r="L2398" s="383">
        <v>-87934.44</v>
      </c>
    </row>
    <row r="2399" spans="2:12">
      <c r="B2399" s="1050"/>
      <c r="C2399" s="1050"/>
      <c r="D2399" s="382" t="s">
        <v>2908</v>
      </c>
      <c r="E2399" s="382" t="s">
        <v>2130</v>
      </c>
      <c r="F2399" s="382" t="s">
        <v>2342</v>
      </c>
      <c r="G2399" s="382" t="s">
        <v>2353</v>
      </c>
      <c r="H2399" s="383">
        <v>29307.85</v>
      </c>
      <c r="I2399" s="1046">
        <v>119354.84</v>
      </c>
      <c r="J2399" s="1047"/>
      <c r="K2399" s="383">
        <v>14717.47</v>
      </c>
      <c r="L2399" s="383">
        <v>-75329.52</v>
      </c>
    </row>
    <row r="2400" spans="2:12">
      <c r="B2400" s="1050"/>
      <c r="C2400" s="1050"/>
      <c r="D2400" s="382" t="s">
        <v>2908</v>
      </c>
      <c r="E2400" s="382" t="s">
        <v>2130</v>
      </c>
      <c r="F2400" s="382" t="s">
        <v>2342</v>
      </c>
      <c r="G2400" s="382" t="s">
        <v>405</v>
      </c>
      <c r="H2400" s="383">
        <v>-72295.539999999994</v>
      </c>
      <c r="I2400" s="1046">
        <v>19337.61</v>
      </c>
      <c r="J2400" s="1047"/>
      <c r="K2400" s="383">
        <v>0</v>
      </c>
      <c r="L2400" s="383">
        <v>-91633.15</v>
      </c>
    </row>
    <row r="2401" spans="2:13">
      <c r="B2401" s="1050"/>
      <c r="C2401" s="1051"/>
      <c r="D2401" s="359" t="s">
        <v>12</v>
      </c>
      <c r="E2401" s="359" t="s">
        <v>111</v>
      </c>
      <c r="F2401" s="359" t="s">
        <v>111</v>
      </c>
      <c r="G2401" s="359" t="s">
        <v>111</v>
      </c>
      <c r="H2401" s="384">
        <f>SUM(H2312:H2400)</f>
        <v>2981112.1799999992</v>
      </c>
      <c r="I2401" s="1048">
        <v>20839714.77</v>
      </c>
      <c r="J2401" s="1047"/>
      <c r="K2401" s="384">
        <v>21810035.59</v>
      </c>
      <c r="L2401" s="384">
        <f>SUM(L2312:L2400)</f>
        <v>3574580.3800000022</v>
      </c>
      <c r="M2401" s="387" t="s">
        <v>3004</v>
      </c>
    </row>
    <row r="2402" spans="2:13">
      <c r="B2402" s="1050"/>
      <c r="C2402" s="1049" t="s">
        <v>2909</v>
      </c>
      <c r="D2402" s="382" t="s">
        <v>2910</v>
      </c>
      <c r="E2402" s="382" t="s">
        <v>2131</v>
      </c>
      <c r="F2402" s="382" t="s">
        <v>2342</v>
      </c>
      <c r="G2402" s="382" t="s">
        <v>2343</v>
      </c>
      <c r="H2402" s="383">
        <v>0</v>
      </c>
      <c r="I2402" s="1046">
        <v>1000.56</v>
      </c>
      <c r="J2402" s="1047"/>
      <c r="K2402" s="383">
        <v>1000.56</v>
      </c>
      <c r="L2402" s="383">
        <v>0</v>
      </c>
    </row>
    <row r="2403" spans="2:13">
      <c r="B2403" s="1050"/>
      <c r="C2403" s="1050"/>
      <c r="D2403" s="382" t="s">
        <v>2910</v>
      </c>
      <c r="E2403" s="382" t="s">
        <v>2131</v>
      </c>
      <c r="F2403" s="382" t="s">
        <v>2342</v>
      </c>
      <c r="G2403" s="382" t="s">
        <v>2344</v>
      </c>
      <c r="H2403" s="383">
        <v>0</v>
      </c>
      <c r="I2403" s="1046">
        <v>87.09</v>
      </c>
      <c r="J2403" s="1047"/>
      <c r="K2403" s="383">
        <v>87.09</v>
      </c>
      <c r="L2403" s="383">
        <v>0</v>
      </c>
    </row>
    <row r="2404" spans="2:13">
      <c r="B2404" s="1050"/>
      <c r="C2404" s="1050"/>
      <c r="D2404" s="382" t="s">
        <v>2910</v>
      </c>
      <c r="E2404" s="382" t="s">
        <v>2131</v>
      </c>
      <c r="F2404" s="382" t="s">
        <v>2342</v>
      </c>
      <c r="G2404" s="382" t="s">
        <v>2345</v>
      </c>
      <c r="H2404" s="383">
        <v>0</v>
      </c>
      <c r="I2404" s="1046">
        <v>32.67</v>
      </c>
      <c r="J2404" s="1047"/>
      <c r="K2404" s="383">
        <v>32.67</v>
      </c>
      <c r="L2404" s="383">
        <v>0</v>
      </c>
    </row>
    <row r="2405" spans="2:13">
      <c r="B2405" s="1050"/>
      <c r="C2405" s="1050"/>
      <c r="D2405" s="382" t="s">
        <v>2910</v>
      </c>
      <c r="E2405" s="382" t="s">
        <v>2131</v>
      </c>
      <c r="F2405" s="382" t="s">
        <v>2342</v>
      </c>
      <c r="G2405" s="382" t="s">
        <v>2346</v>
      </c>
      <c r="H2405" s="383">
        <v>0</v>
      </c>
      <c r="I2405" s="1046">
        <v>16.52</v>
      </c>
      <c r="J2405" s="1047"/>
      <c r="K2405" s="383">
        <v>16.52</v>
      </c>
      <c r="L2405" s="383">
        <v>0</v>
      </c>
    </row>
    <row r="2406" spans="2:13">
      <c r="B2406" s="1050"/>
      <c r="C2406" s="1050"/>
      <c r="D2406" s="382" t="s">
        <v>2910</v>
      </c>
      <c r="E2406" s="382" t="s">
        <v>2131</v>
      </c>
      <c r="F2406" s="382" t="s">
        <v>2342</v>
      </c>
      <c r="G2406" s="382" t="s">
        <v>2347</v>
      </c>
      <c r="H2406" s="383">
        <v>0</v>
      </c>
      <c r="I2406" s="1046">
        <v>384.91</v>
      </c>
      <c r="J2406" s="1047"/>
      <c r="K2406" s="383">
        <v>384.91</v>
      </c>
      <c r="L2406" s="383">
        <v>0</v>
      </c>
    </row>
    <row r="2407" spans="2:13">
      <c r="B2407" s="1050"/>
      <c r="C2407" s="1050"/>
      <c r="D2407" s="382" t="s">
        <v>2910</v>
      </c>
      <c r="E2407" s="382" t="s">
        <v>2131</v>
      </c>
      <c r="F2407" s="382" t="s">
        <v>2342</v>
      </c>
      <c r="G2407" s="382" t="s">
        <v>2348</v>
      </c>
      <c r="H2407" s="383">
        <v>0</v>
      </c>
      <c r="I2407" s="1046">
        <v>1228.9000000000001</v>
      </c>
      <c r="J2407" s="1047"/>
      <c r="K2407" s="383">
        <v>1228.9000000000001</v>
      </c>
      <c r="L2407" s="383">
        <v>0</v>
      </c>
    </row>
    <row r="2408" spans="2:13">
      <c r="B2408" s="1050"/>
      <c r="C2408" s="1050"/>
      <c r="D2408" s="382" t="s">
        <v>2910</v>
      </c>
      <c r="E2408" s="382" t="s">
        <v>2131</v>
      </c>
      <c r="F2408" s="382" t="s">
        <v>2342</v>
      </c>
      <c r="G2408" s="382" t="s">
        <v>2349</v>
      </c>
      <c r="H2408" s="383">
        <v>0</v>
      </c>
      <c r="I2408" s="1046">
        <v>972.54</v>
      </c>
      <c r="J2408" s="1047"/>
      <c r="K2408" s="383">
        <v>972.54</v>
      </c>
      <c r="L2408" s="383">
        <v>0</v>
      </c>
    </row>
    <row r="2409" spans="2:13">
      <c r="B2409" s="1050"/>
      <c r="C2409" s="1050"/>
      <c r="D2409" s="382" t="s">
        <v>2910</v>
      </c>
      <c r="E2409" s="382" t="s">
        <v>2131</v>
      </c>
      <c r="F2409" s="382" t="s">
        <v>2342</v>
      </c>
      <c r="G2409" s="382" t="s">
        <v>2350</v>
      </c>
      <c r="H2409" s="383">
        <v>0</v>
      </c>
      <c r="I2409" s="1046">
        <v>270.55</v>
      </c>
      <c r="J2409" s="1047"/>
      <c r="K2409" s="383">
        <v>270.55</v>
      </c>
      <c r="L2409" s="383">
        <v>0</v>
      </c>
    </row>
    <row r="2410" spans="2:13">
      <c r="B2410" s="1050"/>
      <c r="C2410" s="1050"/>
      <c r="D2410" s="382" t="s">
        <v>2910</v>
      </c>
      <c r="E2410" s="382" t="s">
        <v>2131</v>
      </c>
      <c r="F2410" s="382" t="s">
        <v>2342</v>
      </c>
      <c r="G2410" s="382" t="s">
        <v>2351</v>
      </c>
      <c r="H2410" s="383">
        <v>0</v>
      </c>
      <c r="I2410" s="1046">
        <v>766.96</v>
      </c>
      <c r="J2410" s="1047"/>
      <c r="K2410" s="383">
        <v>766.96</v>
      </c>
      <c r="L2410" s="383">
        <v>0</v>
      </c>
    </row>
    <row r="2411" spans="2:13">
      <c r="B2411" s="1050"/>
      <c r="C2411" s="1050"/>
      <c r="D2411" s="382" t="s">
        <v>2910</v>
      </c>
      <c r="E2411" s="382" t="s">
        <v>2131</v>
      </c>
      <c r="F2411" s="382" t="s">
        <v>2342</v>
      </c>
      <c r="G2411" s="382" t="s">
        <v>2352</v>
      </c>
      <c r="H2411" s="383">
        <v>0</v>
      </c>
      <c r="I2411" s="1046">
        <v>1969.31</v>
      </c>
      <c r="J2411" s="1047"/>
      <c r="K2411" s="383">
        <v>1969.31</v>
      </c>
      <c r="L2411" s="383">
        <v>0</v>
      </c>
    </row>
    <row r="2412" spans="2:13">
      <c r="B2412" s="1050"/>
      <c r="C2412" s="1050"/>
      <c r="D2412" s="382" t="s">
        <v>2910</v>
      </c>
      <c r="E2412" s="382" t="s">
        <v>2131</v>
      </c>
      <c r="F2412" s="382" t="s">
        <v>2342</v>
      </c>
      <c r="G2412" s="382" t="s">
        <v>2353</v>
      </c>
      <c r="H2412" s="383">
        <v>0</v>
      </c>
      <c r="I2412" s="1046">
        <v>11.1</v>
      </c>
      <c r="J2412" s="1047"/>
      <c r="K2412" s="383">
        <v>11.1</v>
      </c>
      <c r="L2412" s="383">
        <v>0</v>
      </c>
    </row>
    <row r="2413" spans="2:13">
      <c r="B2413" s="1050"/>
      <c r="C2413" s="1050"/>
      <c r="D2413" s="382" t="s">
        <v>2910</v>
      </c>
      <c r="E2413" s="382" t="s">
        <v>2131</v>
      </c>
      <c r="F2413" s="382" t="s">
        <v>2342</v>
      </c>
      <c r="G2413" s="382" t="s">
        <v>405</v>
      </c>
      <c r="H2413" s="383">
        <v>0</v>
      </c>
      <c r="I2413" s="1046">
        <v>15.37</v>
      </c>
      <c r="J2413" s="1047"/>
      <c r="K2413" s="383">
        <v>15.37</v>
      </c>
      <c r="L2413" s="383">
        <v>0</v>
      </c>
    </row>
    <row r="2414" spans="2:13">
      <c r="B2414" s="1050"/>
      <c r="C2414" s="1051"/>
      <c r="D2414" s="359" t="s">
        <v>12</v>
      </c>
      <c r="E2414" s="359" t="s">
        <v>111</v>
      </c>
      <c r="F2414" s="359" t="s">
        <v>111</v>
      </c>
      <c r="G2414" s="359" t="s">
        <v>111</v>
      </c>
      <c r="H2414" s="384">
        <v>0</v>
      </c>
      <c r="I2414" s="1048">
        <v>6756.48</v>
      </c>
      <c r="J2414" s="1047"/>
      <c r="K2414" s="384">
        <v>6756.48</v>
      </c>
      <c r="L2414" s="384">
        <v>0</v>
      </c>
    </row>
    <row r="2415" spans="2:13">
      <c r="B2415" s="1050"/>
      <c r="C2415" s="1049" t="s">
        <v>2911</v>
      </c>
      <c r="D2415" s="382" t="s">
        <v>2912</v>
      </c>
      <c r="E2415" s="382" t="s">
        <v>2010</v>
      </c>
      <c r="F2415" s="382" t="s">
        <v>2342</v>
      </c>
      <c r="G2415" s="382" t="s">
        <v>2343</v>
      </c>
      <c r="H2415" s="383">
        <v>12401.23</v>
      </c>
      <c r="I2415" s="1046">
        <v>8256.25</v>
      </c>
      <c r="J2415" s="1047"/>
      <c r="K2415" s="383">
        <v>3013.31</v>
      </c>
      <c r="L2415" s="383">
        <v>7158.29</v>
      </c>
    </row>
    <row r="2416" spans="2:13">
      <c r="B2416" s="1050"/>
      <c r="C2416" s="1050"/>
      <c r="D2416" s="382" t="s">
        <v>2912</v>
      </c>
      <c r="E2416" s="382" t="s">
        <v>2010</v>
      </c>
      <c r="F2416" s="382" t="s">
        <v>2342</v>
      </c>
      <c r="G2416" s="382" t="s">
        <v>2344</v>
      </c>
      <c r="H2416" s="383">
        <v>7755.25</v>
      </c>
      <c r="I2416" s="1046">
        <v>113.51</v>
      </c>
      <c r="J2416" s="1047"/>
      <c r="K2416" s="383">
        <v>1208.1199999999999</v>
      </c>
      <c r="L2416" s="383">
        <v>8849.86</v>
      </c>
    </row>
    <row r="2417" spans="2:12">
      <c r="B2417" s="1050"/>
      <c r="C2417" s="1050"/>
      <c r="D2417" s="382" t="s">
        <v>2912</v>
      </c>
      <c r="E2417" s="382" t="s">
        <v>2010</v>
      </c>
      <c r="F2417" s="382" t="s">
        <v>2342</v>
      </c>
      <c r="G2417" s="382" t="s">
        <v>2345</v>
      </c>
      <c r="H2417" s="383">
        <v>1605.11</v>
      </c>
      <c r="I2417" s="1046">
        <v>275.08999999999997</v>
      </c>
      <c r="J2417" s="1047"/>
      <c r="K2417" s="383">
        <v>764.94</v>
      </c>
      <c r="L2417" s="383">
        <v>2094.96</v>
      </c>
    </row>
    <row r="2418" spans="2:12">
      <c r="B2418" s="1050"/>
      <c r="C2418" s="1050"/>
      <c r="D2418" s="382" t="s">
        <v>2912</v>
      </c>
      <c r="E2418" s="382" t="s">
        <v>2010</v>
      </c>
      <c r="F2418" s="382" t="s">
        <v>2342</v>
      </c>
      <c r="G2418" s="382" t="s">
        <v>2346</v>
      </c>
      <c r="H2418" s="383">
        <v>5045.62</v>
      </c>
      <c r="I2418" s="1046">
        <v>1353.36</v>
      </c>
      <c r="J2418" s="1047"/>
      <c r="K2418" s="383">
        <v>1567.64</v>
      </c>
      <c r="L2418" s="383">
        <v>5259.9</v>
      </c>
    </row>
    <row r="2419" spans="2:12">
      <c r="B2419" s="1050"/>
      <c r="C2419" s="1050"/>
      <c r="D2419" s="382" t="s">
        <v>2912</v>
      </c>
      <c r="E2419" s="382" t="s">
        <v>2010</v>
      </c>
      <c r="F2419" s="382" t="s">
        <v>2342</v>
      </c>
      <c r="G2419" s="382" t="s">
        <v>2347</v>
      </c>
      <c r="H2419" s="383">
        <v>12416.25</v>
      </c>
      <c r="I2419" s="1046">
        <v>703.25</v>
      </c>
      <c r="J2419" s="1047"/>
      <c r="K2419" s="383">
        <v>4786.3599999999997</v>
      </c>
      <c r="L2419" s="383">
        <v>16499.36</v>
      </c>
    </row>
    <row r="2420" spans="2:12">
      <c r="B2420" s="1050"/>
      <c r="C2420" s="1050"/>
      <c r="D2420" s="382" t="s">
        <v>2912</v>
      </c>
      <c r="E2420" s="382" t="s">
        <v>2010</v>
      </c>
      <c r="F2420" s="382" t="s">
        <v>2342</v>
      </c>
      <c r="G2420" s="382" t="s">
        <v>2348</v>
      </c>
      <c r="H2420" s="383">
        <v>4839.88</v>
      </c>
      <c r="I2420" s="1046">
        <v>1551.71</v>
      </c>
      <c r="J2420" s="1047"/>
      <c r="K2420" s="383">
        <v>2693.9</v>
      </c>
      <c r="L2420" s="383">
        <v>5982.07</v>
      </c>
    </row>
    <row r="2421" spans="2:12">
      <c r="B2421" s="1050"/>
      <c r="C2421" s="1050"/>
      <c r="D2421" s="382" t="s">
        <v>2912</v>
      </c>
      <c r="E2421" s="382" t="s">
        <v>2010</v>
      </c>
      <c r="F2421" s="382" t="s">
        <v>2342</v>
      </c>
      <c r="G2421" s="382" t="s">
        <v>2349</v>
      </c>
      <c r="H2421" s="383">
        <v>19160.62</v>
      </c>
      <c r="I2421" s="1046">
        <v>3843.82</v>
      </c>
      <c r="J2421" s="1047"/>
      <c r="K2421" s="383">
        <v>8821.1</v>
      </c>
      <c r="L2421" s="383">
        <v>24137.9</v>
      </c>
    </row>
    <row r="2422" spans="2:12">
      <c r="B2422" s="1050"/>
      <c r="C2422" s="1050"/>
      <c r="D2422" s="382" t="s">
        <v>2912</v>
      </c>
      <c r="E2422" s="382" t="s">
        <v>2010</v>
      </c>
      <c r="F2422" s="382" t="s">
        <v>2342</v>
      </c>
      <c r="G2422" s="382" t="s">
        <v>2350</v>
      </c>
      <c r="H2422" s="383">
        <v>27184.65</v>
      </c>
      <c r="I2422" s="1046">
        <v>14830.55</v>
      </c>
      <c r="J2422" s="1047"/>
      <c r="K2422" s="383">
        <v>5241.5</v>
      </c>
      <c r="L2422" s="383">
        <v>17595.599999999999</v>
      </c>
    </row>
    <row r="2423" spans="2:12">
      <c r="B2423" s="1050"/>
      <c r="C2423" s="1050"/>
      <c r="D2423" s="382" t="s">
        <v>2912</v>
      </c>
      <c r="E2423" s="382" t="s">
        <v>2010</v>
      </c>
      <c r="F2423" s="382" t="s">
        <v>2342</v>
      </c>
      <c r="G2423" s="382" t="s">
        <v>2351</v>
      </c>
      <c r="H2423" s="383">
        <v>68098.009999999995</v>
      </c>
      <c r="I2423" s="1046">
        <v>5760.52</v>
      </c>
      <c r="J2423" s="1047"/>
      <c r="K2423" s="383">
        <v>13865.7</v>
      </c>
      <c r="L2423" s="383">
        <v>76203.19</v>
      </c>
    </row>
    <row r="2424" spans="2:12">
      <c r="B2424" s="1050"/>
      <c r="C2424" s="1050"/>
      <c r="D2424" s="382" t="s">
        <v>2912</v>
      </c>
      <c r="E2424" s="382" t="s">
        <v>2010</v>
      </c>
      <c r="F2424" s="382" t="s">
        <v>2342</v>
      </c>
      <c r="G2424" s="382" t="s">
        <v>2352</v>
      </c>
      <c r="H2424" s="383">
        <v>4527.54</v>
      </c>
      <c r="I2424" s="1046">
        <v>1143.53</v>
      </c>
      <c r="J2424" s="1047"/>
      <c r="K2424" s="383">
        <v>2163.67</v>
      </c>
      <c r="L2424" s="383">
        <v>5547.68</v>
      </c>
    </row>
    <row r="2425" spans="2:12">
      <c r="B2425" s="1050"/>
      <c r="C2425" s="1050"/>
      <c r="D2425" s="382" t="s">
        <v>2912</v>
      </c>
      <c r="E2425" s="382" t="s">
        <v>2010</v>
      </c>
      <c r="F2425" s="382" t="s">
        <v>2342</v>
      </c>
      <c r="G2425" s="382" t="s">
        <v>2353</v>
      </c>
      <c r="H2425" s="383">
        <v>6383.06</v>
      </c>
      <c r="I2425" s="1046">
        <v>359.11</v>
      </c>
      <c r="J2425" s="1047"/>
      <c r="K2425" s="383">
        <v>2261.54</v>
      </c>
      <c r="L2425" s="383">
        <v>8285.49</v>
      </c>
    </row>
    <row r="2426" spans="2:12">
      <c r="B2426" s="1050"/>
      <c r="C2426" s="1050"/>
      <c r="D2426" s="382" t="s">
        <v>2912</v>
      </c>
      <c r="E2426" s="382" t="s">
        <v>2010</v>
      </c>
      <c r="F2426" s="382" t="s">
        <v>2342</v>
      </c>
      <c r="G2426" s="382" t="s">
        <v>405</v>
      </c>
      <c r="H2426" s="383">
        <v>0</v>
      </c>
      <c r="I2426" s="1046">
        <v>103.12</v>
      </c>
      <c r="J2426" s="1047"/>
      <c r="K2426" s="383">
        <v>1030.77</v>
      </c>
      <c r="L2426" s="383">
        <v>927.65</v>
      </c>
    </row>
    <row r="2427" spans="2:12">
      <c r="B2427" s="1050"/>
      <c r="C2427" s="1050"/>
      <c r="D2427" s="382" t="s">
        <v>2913</v>
      </c>
      <c r="E2427" s="382" t="s">
        <v>2011</v>
      </c>
      <c r="F2427" s="382" t="s">
        <v>2342</v>
      </c>
      <c r="G2427" s="382" t="s">
        <v>2343</v>
      </c>
      <c r="H2427" s="383">
        <v>6628.64</v>
      </c>
      <c r="I2427" s="1046">
        <v>1389.3</v>
      </c>
      <c r="J2427" s="1047"/>
      <c r="K2427" s="383">
        <v>3541.11</v>
      </c>
      <c r="L2427" s="383">
        <v>8780.4500000000007</v>
      </c>
    </row>
    <row r="2428" spans="2:12">
      <c r="B2428" s="1050"/>
      <c r="C2428" s="1050"/>
      <c r="D2428" s="382" t="s">
        <v>2913</v>
      </c>
      <c r="E2428" s="382" t="s">
        <v>2011</v>
      </c>
      <c r="F2428" s="382" t="s">
        <v>2342</v>
      </c>
      <c r="G2428" s="382" t="s">
        <v>2344</v>
      </c>
      <c r="H2428" s="383">
        <v>17762.22</v>
      </c>
      <c r="I2428" s="1046">
        <v>102.32</v>
      </c>
      <c r="J2428" s="1047"/>
      <c r="K2428" s="383">
        <v>2092.41</v>
      </c>
      <c r="L2428" s="383">
        <v>19752.310000000001</v>
      </c>
    </row>
    <row r="2429" spans="2:12">
      <c r="B2429" s="1050"/>
      <c r="C2429" s="1050"/>
      <c r="D2429" s="382" t="s">
        <v>2913</v>
      </c>
      <c r="E2429" s="382" t="s">
        <v>2011</v>
      </c>
      <c r="F2429" s="382" t="s">
        <v>2342</v>
      </c>
      <c r="G2429" s="382" t="s">
        <v>2345</v>
      </c>
      <c r="H2429" s="383">
        <v>3239.51</v>
      </c>
      <c r="I2429" s="1046">
        <v>436.6</v>
      </c>
      <c r="J2429" s="1047"/>
      <c r="K2429" s="383">
        <v>1471.86</v>
      </c>
      <c r="L2429" s="383">
        <v>4274.7700000000004</v>
      </c>
    </row>
    <row r="2430" spans="2:12">
      <c r="B2430" s="1050"/>
      <c r="C2430" s="1050"/>
      <c r="D2430" s="382" t="s">
        <v>2913</v>
      </c>
      <c r="E2430" s="382" t="s">
        <v>2011</v>
      </c>
      <c r="F2430" s="382" t="s">
        <v>2342</v>
      </c>
      <c r="G2430" s="382" t="s">
        <v>2346</v>
      </c>
      <c r="H2430" s="383">
        <v>3940.21</v>
      </c>
      <c r="I2430" s="1046">
        <v>1139.58</v>
      </c>
      <c r="J2430" s="1047"/>
      <c r="K2430" s="383">
        <v>1155.8800000000001</v>
      </c>
      <c r="L2430" s="383">
        <v>3956.51</v>
      </c>
    </row>
    <row r="2431" spans="2:12">
      <c r="B2431" s="1050"/>
      <c r="C2431" s="1050"/>
      <c r="D2431" s="382" t="s">
        <v>2913</v>
      </c>
      <c r="E2431" s="382" t="s">
        <v>2011</v>
      </c>
      <c r="F2431" s="382" t="s">
        <v>2342</v>
      </c>
      <c r="G2431" s="382" t="s">
        <v>2347</v>
      </c>
      <c r="H2431" s="383">
        <v>12775</v>
      </c>
      <c r="I2431" s="1046">
        <v>429.37</v>
      </c>
      <c r="J2431" s="1047"/>
      <c r="K2431" s="383">
        <v>2543.14</v>
      </c>
      <c r="L2431" s="383">
        <v>14888.77</v>
      </c>
    </row>
    <row r="2432" spans="2:12">
      <c r="B2432" s="1050"/>
      <c r="C2432" s="1050"/>
      <c r="D2432" s="382" t="s">
        <v>2913</v>
      </c>
      <c r="E2432" s="382" t="s">
        <v>2011</v>
      </c>
      <c r="F2432" s="382" t="s">
        <v>2342</v>
      </c>
      <c r="G2432" s="382" t="s">
        <v>2348</v>
      </c>
      <c r="H2432" s="383">
        <v>8493.14</v>
      </c>
      <c r="I2432" s="1046">
        <v>2872.38</v>
      </c>
      <c r="J2432" s="1047"/>
      <c r="K2432" s="383">
        <v>2891.94</v>
      </c>
      <c r="L2432" s="383">
        <v>8512.7000000000007</v>
      </c>
    </row>
    <row r="2433" spans="2:12">
      <c r="B2433" s="1050"/>
      <c r="C2433" s="1050"/>
      <c r="D2433" s="382" t="s">
        <v>2913</v>
      </c>
      <c r="E2433" s="382" t="s">
        <v>2011</v>
      </c>
      <c r="F2433" s="382" t="s">
        <v>2342</v>
      </c>
      <c r="G2433" s="382" t="s">
        <v>2349</v>
      </c>
      <c r="H2433" s="383">
        <v>15260.74</v>
      </c>
      <c r="I2433" s="1046">
        <v>1942.47</v>
      </c>
      <c r="J2433" s="1047"/>
      <c r="K2433" s="383">
        <v>4084.84</v>
      </c>
      <c r="L2433" s="383">
        <v>17403.11</v>
      </c>
    </row>
    <row r="2434" spans="2:12">
      <c r="B2434" s="1050"/>
      <c r="C2434" s="1050"/>
      <c r="D2434" s="382" t="s">
        <v>2913</v>
      </c>
      <c r="E2434" s="382" t="s">
        <v>2011</v>
      </c>
      <c r="F2434" s="382" t="s">
        <v>2342</v>
      </c>
      <c r="G2434" s="382" t="s">
        <v>2350</v>
      </c>
      <c r="H2434" s="383">
        <v>24499.96</v>
      </c>
      <c r="I2434" s="1046">
        <v>2938.24</v>
      </c>
      <c r="J2434" s="1047"/>
      <c r="K2434" s="383">
        <v>6316.15</v>
      </c>
      <c r="L2434" s="383">
        <v>27877.87</v>
      </c>
    </row>
    <row r="2435" spans="2:12">
      <c r="B2435" s="1050"/>
      <c r="C2435" s="1050"/>
      <c r="D2435" s="382" t="s">
        <v>2913</v>
      </c>
      <c r="E2435" s="382" t="s">
        <v>2011</v>
      </c>
      <c r="F2435" s="382" t="s">
        <v>2342</v>
      </c>
      <c r="G2435" s="382" t="s">
        <v>2351</v>
      </c>
      <c r="H2435" s="383">
        <v>16034.91</v>
      </c>
      <c r="I2435" s="1046">
        <v>6842.45</v>
      </c>
      <c r="J2435" s="1047"/>
      <c r="K2435" s="383">
        <v>4658.34</v>
      </c>
      <c r="L2435" s="383">
        <v>13850.8</v>
      </c>
    </row>
    <row r="2436" spans="2:12">
      <c r="B2436" s="1050"/>
      <c r="C2436" s="1050"/>
      <c r="D2436" s="382" t="s">
        <v>2913</v>
      </c>
      <c r="E2436" s="382" t="s">
        <v>2011</v>
      </c>
      <c r="F2436" s="382" t="s">
        <v>2342</v>
      </c>
      <c r="G2436" s="382" t="s">
        <v>2352</v>
      </c>
      <c r="H2436" s="383">
        <v>2790.13</v>
      </c>
      <c r="I2436" s="1046">
        <v>787.38</v>
      </c>
      <c r="J2436" s="1047"/>
      <c r="K2436" s="383">
        <v>704.63</v>
      </c>
      <c r="L2436" s="383">
        <v>2707.38</v>
      </c>
    </row>
    <row r="2437" spans="2:12">
      <c r="B2437" s="1050"/>
      <c r="C2437" s="1050"/>
      <c r="D2437" s="382" t="s">
        <v>2913</v>
      </c>
      <c r="E2437" s="382" t="s">
        <v>2011</v>
      </c>
      <c r="F2437" s="382" t="s">
        <v>2342</v>
      </c>
      <c r="G2437" s="382" t="s">
        <v>2353</v>
      </c>
      <c r="H2437" s="383">
        <v>1987.47</v>
      </c>
      <c r="I2437" s="1046">
        <v>1079.97</v>
      </c>
      <c r="J2437" s="1047"/>
      <c r="K2437" s="383">
        <v>1100.07</v>
      </c>
      <c r="L2437" s="383">
        <v>2007.57</v>
      </c>
    </row>
    <row r="2438" spans="2:12">
      <c r="B2438" s="1050"/>
      <c r="C2438" s="1050"/>
      <c r="D2438" s="382" t="s">
        <v>2913</v>
      </c>
      <c r="E2438" s="382" t="s">
        <v>2011</v>
      </c>
      <c r="F2438" s="382" t="s">
        <v>2342</v>
      </c>
      <c r="G2438" s="382" t="s">
        <v>405</v>
      </c>
      <c r="H2438" s="383">
        <v>1515.46</v>
      </c>
      <c r="I2438" s="1046">
        <v>965.45</v>
      </c>
      <c r="J2438" s="1047"/>
      <c r="K2438" s="383">
        <v>531.75</v>
      </c>
      <c r="L2438" s="383">
        <v>1081.76</v>
      </c>
    </row>
    <row r="2439" spans="2:12">
      <c r="B2439" s="1050"/>
      <c r="C2439" s="1050"/>
      <c r="D2439" s="382" t="s">
        <v>2914</v>
      </c>
      <c r="E2439" s="382" t="s">
        <v>2012</v>
      </c>
      <c r="F2439" s="382" t="s">
        <v>2342</v>
      </c>
      <c r="G2439" s="382" t="s">
        <v>2343</v>
      </c>
      <c r="H2439" s="383">
        <v>8949.15</v>
      </c>
      <c r="I2439" s="1046">
        <v>3057.19</v>
      </c>
      <c r="J2439" s="1047"/>
      <c r="K2439" s="383">
        <v>3566.71</v>
      </c>
      <c r="L2439" s="383">
        <v>9458.67</v>
      </c>
    </row>
    <row r="2440" spans="2:12">
      <c r="B2440" s="1050"/>
      <c r="C2440" s="1050"/>
      <c r="D2440" s="382" t="s">
        <v>2914</v>
      </c>
      <c r="E2440" s="382" t="s">
        <v>2012</v>
      </c>
      <c r="F2440" s="382" t="s">
        <v>2342</v>
      </c>
      <c r="G2440" s="382" t="s">
        <v>2344</v>
      </c>
      <c r="H2440" s="383">
        <v>4995.95</v>
      </c>
      <c r="I2440" s="1046">
        <v>1.44</v>
      </c>
      <c r="J2440" s="1047"/>
      <c r="K2440" s="383">
        <v>1950.11</v>
      </c>
      <c r="L2440" s="383">
        <v>6944.62</v>
      </c>
    </row>
    <row r="2441" spans="2:12">
      <c r="B2441" s="1050"/>
      <c r="C2441" s="1050"/>
      <c r="D2441" s="382" t="s">
        <v>2914</v>
      </c>
      <c r="E2441" s="382" t="s">
        <v>2012</v>
      </c>
      <c r="F2441" s="382" t="s">
        <v>2342</v>
      </c>
      <c r="G2441" s="382" t="s">
        <v>2345</v>
      </c>
      <c r="H2441" s="383">
        <v>989.29</v>
      </c>
      <c r="I2441" s="1046">
        <v>0.95</v>
      </c>
      <c r="J2441" s="1047"/>
      <c r="K2441" s="383">
        <v>1526.47</v>
      </c>
      <c r="L2441" s="383">
        <v>2514.81</v>
      </c>
    </row>
    <row r="2442" spans="2:12">
      <c r="B2442" s="1050"/>
      <c r="C2442" s="1050"/>
      <c r="D2442" s="382" t="s">
        <v>2914</v>
      </c>
      <c r="E2442" s="382" t="s">
        <v>2012</v>
      </c>
      <c r="F2442" s="382" t="s">
        <v>2342</v>
      </c>
      <c r="G2442" s="382" t="s">
        <v>2346</v>
      </c>
      <c r="H2442" s="383">
        <v>1850.29</v>
      </c>
      <c r="I2442" s="1046">
        <v>872.84</v>
      </c>
      <c r="J2442" s="1047"/>
      <c r="K2442" s="383">
        <v>492.34</v>
      </c>
      <c r="L2442" s="383">
        <v>1469.79</v>
      </c>
    </row>
    <row r="2443" spans="2:12">
      <c r="B2443" s="1050"/>
      <c r="C2443" s="1050"/>
      <c r="D2443" s="382" t="s">
        <v>2914</v>
      </c>
      <c r="E2443" s="382" t="s">
        <v>2012</v>
      </c>
      <c r="F2443" s="382" t="s">
        <v>2342</v>
      </c>
      <c r="G2443" s="382" t="s">
        <v>2347</v>
      </c>
      <c r="H2443" s="383">
        <v>11187.92</v>
      </c>
      <c r="I2443" s="1046">
        <v>439.12</v>
      </c>
      <c r="J2443" s="1047"/>
      <c r="K2443" s="383">
        <v>4023.46</v>
      </c>
      <c r="L2443" s="383">
        <v>14772.26</v>
      </c>
    </row>
    <row r="2444" spans="2:12">
      <c r="B2444" s="1050"/>
      <c r="C2444" s="1050"/>
      <c r="D2444" s="382" t="s">
        <v>2914</v>
      </c>
      <c r="E2444" s="382" t="s">
        <v>2012</v>
      </c>
      <c r="F2444" s="382" t="s">
        <v>2342</v>
      </c>
      <c r="G2444" s="382" t="s">
        <v>2348</v>
      </c>
      <c r="H2444" s="383">
        <v>4811.6400000000003</v>
      </c>
      <c r="I2444" s="1046">
        <v>887.78</v>
      </c>
      <c r="J2444" s="1047"/>
      <c r="K2444" s="383">
        <v>1249.92</v>
      </c>
      <c r="L2444" s="383">
        <v>5173.78</v>
      </c>
    </row>
    <row r="2445" spans="2:12">
      <c r="B2445" s="1050"/>
      <c r="C2445" s="1050"/>
      <c r="D2445" s="382" t="s">
        <v>2914</v>
      </c>
      <c r="E2445" s="382" t="s">
        <v>2012</v>
      </c>
      <c r="F2445" s="382" t="s">
        <v>2342</v>
      </c>
      <c r="G2445" s="382" t="s">
        <v>2349</v>
      </c>
      <c r="H2445" s="383">
        <v>15245.92</v>
      </c>
      <c r="I2445" s="1046">
        <v>1551.64</v>
      </c>
      <c r="J2445" s="1047"/>
      <c r="K2445" s="383">
        <v>6628.46</v>
      </c>
      <c r="L2445" s="383">
        <v>20322.740000000002</v>
      </c>
    </row>
    <row r="2446" spans="2:12">
      <c r="B2446" s="1050"/>
      <c r="C2446" s="1050"/>
      <c r="D2446" s="382" t="s">
        <v>2914</v>
      </c>
      <c r="E2446" s="382" t="s">
        <v>2012</v>
      </c>
      <c r="F2446" s="382" t="s">
        <v>2342</v>
      </c>
      <c r="G2446" s="382" t="s">
        <v>2350</v>
      </c>
      <c r="H2446" s="383">
        <v>4947.74</v>
      </c>
      <c r="I2446" s="1046">
        <v>1362.4</v>
      </c>
      <c r="J2446" s="1047"/>
      <c r="K2446" s="383">
        <v>1630.37</v>
      </c>
      <c r="L2446" s="383">
        <v>5215.71</v>
      </c>
    </row>
    <row r="2447" spans="2:12">
      <c r="B2447" s="1050"/>
      <c r="C2447" s="1050"/>
      <c r="D2447" s="382" t="s">
        <v>2914</v>
      </c>
      <c r="E2447" s="382" t="s">
        <v>2012</v>
      </c>
      <c r="F2447" s="382" t="s">
        <v>2342</v>
      </c>
      <c r="G2447" s="382" t="s">
        <v>2351</v>
      </c>
      <c r="H2447" s="383">
        <v>5519.53</v>
      </c>
      <c r="I2447" s="1046">
        <v>2.62</v>
      </c>
      <c r="J2447" s="1047"/>
      <c r="K2447" s="383">
        <v>1897.94</v>
      </c>
      <c r="L2447" s="383">
        <v>7414.85</v>
      </c>
    </row>
    <row r="2448" spans="2:12">
      <c r="B2448" s="1050"/>
      <c r="C2448" s="1050"/>
      <c r="D2448" s="382" t="s">
        <v>2914</v>
      </c>
      <c r="E2448" s="382" t="s">
        <v>2012</v>
      </c>
      <c r="F2448" s="382" t="s">
        <v>2342</v>
      </c>
      <c r="G2448" s="382" t="s">
        <v>2352</v>
      </c>
      <c r="H2448" s="383">
        <v>5013.95</v>
      </c>
      <c r="I2448" s="1046">
        <v>178.06</v>
      </c>
      <c r="J2448" s="1047"/>
      <c r="K2448" s="383">
        <v>1879.32</v>
      </c>
      <c r="L2448" s="383">
        <v>6715.21</v>
      </c>
    </row>
    <row r="2449" spans="2:13">
      <c r="B2449" s="1050"/>
      <c r="C2449" s="1050"/>
      <c r="D2449" s="382" t="s">
        <v>2914</v>
      </c>
      <c r="E2449" s="382" t="s">
        <v>2012</v>
      </c>
      <c r="F2449" s="382" t="s">
        <v>2342</v>
      </c>
      <c r="G2449" s="382" t="s">
        <v>2353</v>
      </c>
      <c r="H2449" s="383">
        <v>1885.21</v>
      </c>
      <c r="I2449" s="1046">
        <v>1339.73</v>
      </c>
      <c r="J2449" s="1047"/>
      <c r="K2449" s="383">
        <v>1061.3499999999999</v>
      </c>
      <c r="L2449" s="383">
        <v>1606.83</v>
      </c>
    </row>
    <row r="2450" spans="2:13">
      <c r="B2450" s="1050"/>
      <c r="C2450" s="1050"/>
      <c r="D2450" s="382" t="s">
        <v>2914</v>
      </c>
      <c r="E2450" s="382" t="s">
        <v>2012</v>
      </c>
      <c r="F2450" s="382" t="s">
        <v>2342</v>
      </c>
      <c r="G2450" s="382" t="s">
        <v>405</v>
      </c>
      <c r="H2450" s="383">
        <v>199.37</v>
      </c>
      <c r="I2450" s="1046">
        <v>0.24</v>
      </c>
      <c r="J2450" s="1047"/>
      <c r="K2450" s="383">
        <v>77.72</v>
      </c>
      <c r="L2450" s="383">
        <v>276.85000000000002</v>
      </c>
    </row>
    <row r="2451" spans="2:13">
      <c r="B2451" s="1050"/>
      <c r="C2451" s="1050"/>
      <c r="D2451" s="382" t="s">
        <v>2915</v>
      </c>
      <c r="E2451" s="382" t="s">
        <v>2013</v>
      </c>
      <c r="F2451" s="382" t="s">
        <v>2342</v>
      </c>
      <c r="G2451" s="382" t="s">
        <v>2343</v>
      </c>
      <c r="H2451" s="383">
        <v>1350.21</v>
      </c>
      <c r="I2451" s="1046">
        <v>343.87</v>
      </c>
      <c r="J2451" s="1047"/>
      <c r="K2451" s="383">
        <v>156.49</v>
      </c>
      <c r="L2451" s="383">
        <v>1162.83</v>
      </c>
    </row>
    <row r="2452" spans="2:13">
      <c r="B2452" s="1050"/>
      <c r="C2452" s="1050"/>
      <c r="D2452" s="382" t="s">
        <v>2915</v>
      </c>
      <c r="E2452" s="382" t="s">
        <v>2013</v>
      </c>
      <c r="F2452" s="382" t="s">
        <v>2342</v>
      </c>
      <c r="G2452" s="382" t="s">
        <v>2344</v>
      </c>
      <c r="H2452" s="383">
        <v>3649.12</v>
      </c>
      <c r="I2452" s="1046">
        <v>88.03</v>
      </c>
      <c r="J2452" s="1047"/>
      <c r="K2452" s="383">
        <v>1707.81</v>
      </c>
      <c r="L2452" s="383">
        <v>5268.9</v>
      </c>
    </row>
    <row r="2453" spans="2:13">
      <c r="B2453" s="1050"/>
      <c r="C2453" s="1050"/>
      <c r="D2453" s="382" t="s">
        <v>2915</v>
      </c>
      <c r="E2453" s="382" t="s">
        <v>2013</v>
      </c>
      <c r="F2453" s="382" t="s">
        <v>2342</v>
      </c>
      <c r="G2453" s="382" t="s">
        <v>2345</v>
      </c>
      <c r="H2453" s="383">
        <v>2334.6799999999998</v>
      </c>
      <c r="I2453" s="1046">
        <v>1612.93</v>
      </c>
      <c r="J2453" s="1047"/>
      <c r="K2453" s="383">
        <v>893.33</v>
      </c>
      <c r="L2453" s="383">
        <v>1615.08</v>
      </c>
    </row>
    <row r="2454" spans="2:13">
      <c r="B2454" s="1050"/>
      <c r="C2454" s="1050"/>
      <c r="D2454" s="382" t="s">
        <v>2915</v>
      </c>
      <c r="E2454" s="382" t="s">
        <v>2013</v>
      </c>
      <c r="F2454" s="382" t="s">
        <v>2342</v>
      </c>
      <c r="G2454" s="382" t="s">
        <v>2346</v>
      </c>
      <c r="H2454" s="383">
        <v>0</v>
      </c>
      <c r="I2454" s="1046">
        <v>0</v>
      </c>
      <c r="J2454" s="1047"/>
      <c r="K2454" s="383">
        <v>0</v>
      </c>
      <c r="L2454" s="383">
        <v>0</v>
      </c>
    </row>
    <row r="2455" spans="2:13">
      <c r="B2455" s="1050"/>
      <c r="C2455" s="1050"/>
      <c r="D2455" s="382" t="s">
        <v>2915</v>
      </c>
      <c r="E2455" s="382" t="s">
        <v>2013</v>
      </c>
      <c r="F2455" s="382" t="s">
        <v>2342</v>
      </c>
      <c r="G2455" s="382" t="s">
        <v>2347</v>
      </c>
      <c r="H2455" s="383">
        <v>3069.03</v>
      </c>
      <c r="I2455" s="1046">
        <v>0.75</v>
      </c>
      <c r="J2455" s="1047"/>
      <c r="K2455" s="383">
        <v>129.30000000000001</v>
      </c>
      <c r="L2455" s="383">
        <v>3197.58</v>
      </c>
    </row>
    <row r="2456" spans="2:13">
      <c r="B2456" s="1050"/>
      <c r="C2456" s="1050"/>
      <c r="D2456" s="382" t="s">
        <v>2915</v>
      </c>
      <c r="E2456" s="382" t="s">
        <v>2013</v>
      </c>
      <c r="F2456" s="382" t="s">
        <v>2342</v>
      </c>
      <c r="G2456" s="382" t="s">
        <v>2348</v>
      </c>
      <c r="H2456" s="383">
        <v>2004.33</v>
      </c>
      <c r="I2456" s="1046">
        <v>143.56</v>
      </c>
      <c r="J2456" s="1047"/>
      <c r="K2456" s="383">
        <v>522.47</v>
      </c>
      <c r="L2456" s="383">
        <v>2383.2399999999998</v>
      </c>
    </row>
    <row r="2457" spans="2:13">
      <c r="B2457" s="1050"/>
      <c r="C2457" s="1050"/>
      <c r="D2457" s="382" t="s">
        <v>2915</v>
      </c>
      <c r="E2457" s="382" t="s">
        <v>2013</v>
      </c>
      <c r="F2457" s="382" t="s">
        <v>2342</v>
      </c>
      <c r="G2457" s="382" t="s">
        <v>2349</v>
      </c>
      <c r="H2457" s="383">
        <v>108403.38</v>
      </c>
      <c r="I2457" s="1046">
        <v>107526.19</v>
      </c>
      <c r="J2457" s="1047"/>
      <c r="K2457" s="383">
        <v>3268.09</v>
      </c>
      <c r="L2457" s="383">
        <v>4145.28</v>
      </c>
    </row>
    <row r="2458" spans="2:13">
      <c r="B2458" s="1050"/>
      <c r="C2458" s="1050"/>
      <c r="D2458" s="382" t="s">
        <v>2915</v>
      </c>
      <c r="E2458" s="382" t="s">
        <v>2013</v>
      </c>
      <c r="F2458" s="382" t="s">
        <v>2342</v>
      </c>
      <c r="G2458" s="382" t="s">
        <v>2350</v>
      </c>
      <c r="H2458" s="383">
        <v>13770.47</v>
      </c>
      <c r="I2458" s="1046">
        <v>4040.2</v>
      </c>
      <c r="J2458" s="1047"/>
      <c r="K2458" s="383">
        <v>3104.51</v>
      </c>
      <c r="L2458" s="383">
        <v>12834.78</v>
      </c>
    </row>
    <row r="2459" spans="2:13">
      <c r="B2459" s="1050"/>
      <c r="C2459" s="1050"/>
      <c r="D2459" s="382" t="s">
        <v>2915</v>
      </c>
      <c r="E2459" s="382" t="s">
        <v>2013</v>
      </c>
      <c r="F2459" s="382" t="s">
        <v>2342</v>
      </c>
      <c r="G2459" s="382" t="s">
        <v>2351</v>
      </c>
      <c r="H2459" s="383">
        <v>5.65</v>
      </c>
      <c r="I2459" s="1046">
        <v>129.96</v>
      </c>
      <c r="J2459" s="1047"/>
      <c r="K2459" s="383">
        <v>477.79</v>
      </c>
      <c r="L2459" s="383">
        <v>353.48</v>
      </c>
    </row>
    <row r="2460" spans="2:13">
      <c r="B2460" s="1050"/>
      <c r="C2460" s="1050"/>
      <c r="D2460" s="382" t="s">
        <v>2915</v>
      </c>
      <c r="E2460" s="382" t="s">
        <v>2013</v>
      </c>
      <c r="F2460" s="382" t="s">
        <v>2342</v>
      </c>
      <c r="G2460" s="382" t="s">
        <v>2352</v>
      </c>
      <c r="H2460" s="383">
        <v>1255.9000000000001</v>
      </c>
      <c r="I2460" s="1046">
        <v>1746.89</v>
      </c>
      <c r="J2460" s="1047"/>
      <c r="K2460" s="383">
        <v>1554.23</v>
      </c>
      <c r="L2460" s="383">
        <v>1063.24</v>
      </c>
    </row>
    <row r="2461" spans="2:13">
      <c r="B2461" s="1050"/>
      <c r="C2461" s="1050"/>
      <c r="D2461" s="382" t="s">
        <v>2915</v>
      </c>
      <c r="E2461" s="382" t="s">
        <v>2013</v>
      </c>
      <c r="F2461" s="382" t="s">
        <v>2342</v>
      </c>
      <c r="G2461" s="382" t="s">
        <v>2353</v>
      </c>
      <c r="H2461" s="383">
        <v>2347.5700000000002</v>
      </c>
      <c r="I2461" s="1046">
        <v>1769.03</v>
      </c>
      <c r="J2461" s="1047"/>
      <c r="K2461" s="383">
        <v>677.82</v>
      </c>
      <c r="L2461" s="383">
        <v>1256.3599999999999</v>
      </c>
    </row>
    <row r="2462" spans="2:13">
      <c r="B2462" s="1050"/>
      <c r="C2462" s="1050"/>
      <c r="D2462" s="382" t="s">
        <v>2916</v>
      </c>
      <c r="E2462" s="382" t="s">
        <v>2014</v>
      </c>
      <c r="F2462" s="382" t="s">
        <v>2342</v>
      </c>
      <c r="G2462" s="382" t="s">
        <v>2355</v>
      </c>
      <c r="H2462" s="383">
        <v>3918.48</v>
      </c>
      <c r="I2462" s="1046">
        <v>649.54</v>
      </c>
      <c r="J2462" s="1047"/>
      <c r="K2462" s="383">
        <v>610.23</v>
      </c>
      <c r="L2462" s="383">
        <v>3879.17</v>
      </c>
    </row>
    <row r="2463" spans="2:13">
      <c r="B2463" s="1050"/>
      <c r="C2463" s="1051"/>
      <c r="D2463" s="359" t="s">
        <v>12</v>
      </c>
      <c r="E2463" s="359" t="s">
        <v>111</v>
      </c>
      <c r="F2463" s="359" t="s">
        <v>111</v>
      </c>
      <c r="G2463" s="359" t="s">
        <v>111</v>
      </c>
      <c r="H2463" s="384">
        <v>492049.39</v>
      </c>
      <c r="I2463" s="1048">
        <v>186964.29</v>
      </c>
      <c r="J2463" s="1047"/>
      <c r="K2463" s="384">
        <v>117596.91</v>
      </c>
      <c r="L2463" s="384">
        <v>422682.01</v>
      </c>
      <c r="M2463" s="387" t="s">
        <v>3003</v>
      </c>
    </row>
    <row r="2464" spans="2:13">
      <c r="B2464" s="1050"/>
      <c r="C2464" s="1049" t="s">
        <v>2917</v>
      </c>
      <c r="D2464" s="382" t="s">
        <v>2918</v>
      </c>
      <c r="E2464" s="382" t="s">
        <v>2132</v>
      </c>
      <c r="F2464" s="382" t="s">
        <v>2342</v>
      </c>
      <c r="G2464" s="382" t="s">
        <v>2343</v>
      </c>
      <c r="H2464" s="383">
        <v>7066377.9900000002</v>
      </c>
      <c r="I2464" s="1046">
        <v>0</v>
      </c>
      <c r="J2464" s="1047"/>
      <c r="K2464" s="383">
        <v>1461311.25</v>
      </c>
      <c r="L2464" s="383">
        <v>8527689.2400000002</v>
      </c>
    </row>
    <row r="2465" spans="2:12">
      <c r="B2465" s="1050"/>
      <c r="C2465" s="1050"/>
      <c r="D2465" s="382" t="s">
        <v>2918</v>
      </c>
      <c r="E2465" s="382" t="s">
        <v>2132</v>
      </c>
      <c r="F2465" s="382" t="s">
        <v>2342</v>
      </c>
      <c r="G2465" s="382" t="s">
        <v>2344</v>
      </c>
      <c r="H2465" s="383">
        <v>1864021.45</v>
      </c>
      <c r="I2465" s="1046">
        <v>0</v>
      </c>
      <c r="J2465" s="1047"/>
      <c r="K2465" s="383">
        <v>500849.05</v>
      </c>
      <c r="L2465" s="383">
        <v>2364870.5</v>
      </c>
    </row>
    <row r="2466" spans="2:12">
      <c r="B2466" s="1050"/>
      <c r="C2466" s="1050"/>
      <c r="D2466" s="382" t="s">
        <v>2918</v>
      </c>
      <c r="E2466" s="382" t="s">
        <v>2132</v>
      </c>
      <c r="F2466" s="382" t="s">
        <v>2342</v>
      </c>
      <c r="G2466" s="382" t="s">
        <v>2345</v>
      </c>
      <c r="H2466" s="383">
        <v>1786462.39</v>
      </c>
      <c r="I2466" s="1046">
        <v>0</v>
      </c>
      <c r="J2466" s="1047"/>
      <c r="K2466" s="383">
        <v>601728.11</v>
      </c>
      <c r="L2466" s="383">
        <v>2388190.5</v>
      </c>
    </row>
    <row r="2467" spans="2:12">
      <c r="B2467" s="1050"/>
      <c r="C2467" s="1050"/>
      <c r="D2467" s="382" t="s">
        <v>2918</v>
      </c>
      <c r="E2467" s="382" t="s">
        <v>2132</v>
      </c>
      <c r="F2467" s="382" t="s">
        <v>2342</v>
      </c>
      <c r="G2467" s="382" t="s">
        <v>2346</v>
      </c>
      <c r="H2467" s="383">
        <v>1249321.6000000001</v>
      </c>
      <c r="I2467" s="1046">
        <v>0</v>
      </c>
      <c r="J2467" s="1047"/>
      <c r="K2467" s="383">
        <v>296171.48</v>
      </c>
      <c r="L2467" s="383">
        <v>1545493.08</v>
      </c>
    </row>
    <row r="2468" spans="2:12">
      <c r="B2468" s="1050"/>
      <c r="C2468" s="1050"/>
      <c r="D2468" s="382" t="s">
        <v>2918</v>
      </c>
      <c r="E2468" s="382" t="s">
        <v>2132</v>
      </c>
      <c r="F2468" s="382" t="s">
        <v>2342</v>
      </c>
      <c r="G2468" s="382" t="s">
        <v>2347</v>
      </c>
      <c r="H2468" s="383">
        <v>3033004.12</v>
      </c>
      <c r="I2468" s="1046">
        <v>0</v>
      </c>
      <c r="J2468" s="1047"/>
      <c r="K2468" s="383">
        <v>973661.46</v>
      </c>
      <c r="L2468" s="383">
        <v>4006665.58</v>
      </c>
    </row>
    <row r="2469" spans="2:12">
      <c r="B2469" s="1050"/>
      <c r="C2469" s="1050"/>
      <c r="D2469" s="382" t="s">
        <v>2918</v>
      </c>
      <c r="E2469" s="382" t="s">
        <v>2132</v>
      </c>
      <c r="F2469" s="382" t="s">
        <v>2342</v>
      </c>
      <c r="G2469" s="382" t="s">
        <v>2348</v>
      </c>
      <c r="H2469" s="383">
        <v>2671619.54</v>
      </c>
      <c r="I2469" s="1046">
        <v>0</v>
      </c>
      <c r="J2469" s="1047"/>
      <c r="K2469" s="383">
        <v>764571.71</v>
      </c>
      <c r="L2469" s="383">
        <v>3436191.25</v>
      </c>
    </row>
    <row r="2470" spans="2:12">
      <c r="B2470" s="1050"/>
      <c r="C2470" s="1050"/>
      <c r="D2470" s="382" t="s">
        <v>2918</v>
      </c>
      <c r="E2470" s="382" t="s">
        <v>2132</v>
      </c>
      <c r="F2470" s="382" t="s">
        <v>2342</v>
      </c>
      <c r="G2470" s="382" t="s">
        <v>2349</v>
      </c>
      <c r="H2470" s="383">
        <v>2663697.75</v>
      </c>
      <c r="I2470" s="1046">
        <v>0</v>
      </c>
      <c r="J2470" s="1047"/>
      <c r="K2470" s="383">
        <v>907360.13</v>
      </c>
      <c r="L2470" s="383">
        <v>3571057.88</v>
      </c>
    </row>
    <row r="2471" spans="2:12">
      <c r="B2471" s="1050"/>
      <c r="C2471" s="1050"/>
      <c r="D2471" s="382" t="s">
        <v>2918</v>
      </c>
      <c r="E2471" s="382" t="s">
        <v>2132</v>
      </c>
      <c r="F2471" s="382" t="s">
        <v>2342</v>
      </c>
      <c r="G2471" s="382" t="s">
        <v>2350</v>
      </c>
      <c r="H2471" s="383">
        <v>3895882.26</v>
      </c>
      <c r="I2471" s="1046">
        <v>0</v>
      </c>
      <c r="J2471" s="1047"/>
      <c r="K2471" s="383">
        <v>2054403.33</v>
      </c>
      <c r="L2471" s="383">
        <v>5950285.5899999999</v>
      </c>
    </row>
    <row r="2472" spans="2:12">
      <c r="B2472" s="1050"/>
      <c r="C2472" s="1050"/>
      <c r="D2472" s="382" t="s">
        <v>2918</v>
      </c>
      <c r="E2472" s="382" t="s">
        <v>2132</v>
      </c>
      <c r="F2472" s="382" t="s">
        <v>2342</v>
      </c>
      <c r="G2472" s="382" t="s">
        <v>2351</v>
      </c>
      <c r="H2472" s="383">
        <v>1294516.3600000001</v>
      </c>
      <c r="I2472" s="1046">
        <v>0</v>
      </c>
      <c r="J2472" s="1047"/>
      <c r="K2472" s="383">
        <v>389029.03</v>
      </c>
      <c r="L2472" s="383">
        <v>1683545.39</v>
      </c>
    </row>
    <row r="2473" spans="2:12">
      <c r="B2473" s="1050"/>
      <c r="C2473" s="1050"/>
      <c r="D2473" s="382" t="s">
        <v>2918</v>
      </c>
      <c r="E2473" s="382" t="s">
        <v>2132</v>
      </c>
      <c r="F2473" s="382" t="s">
        <v>2342</v>
      </c>
      <c r="G2473" s="382" t="s">
        <v>2352</v>
      </c>
      <c r="H2473" s="383">
        <v>1616414.1</v>
      </c>
      <c r="I2473" s="1046">
        <v>0</v>
      </c>
      <c r="J2473" s="1047"/>
      <c r="K2473" s="383">
        <v>661755.01</v>
      </c>
      <c r="L2473" s="383">
        <v>2278169.11</v>
      </c>
    </row>
    <row r="2474" spans="2:12">
      <c r="B2474" s="1050"/>
      <c r="C2474" s="1050"/>
      <c r="D2474" s="382" t="s">
        <v>2918</v>
      </c>
      <c r="E2474" s="382" t="s">
        <v>2132</v>
      </c>
      <c r="F2474" s="382" t="s">
        <v>2342</v>
      </c>
      <c r="G2474" s="382" t="s">
        <v>2353</v>
      </c>
      <c r="H2474" s="383">
        <v>2459577.9</v>
      </c>
      <c r="I2474" s="1046">
        <v>0</v>
      </c>
      <c r="J2474" s="1047"/>
      <c r="K2474" s="383">
        <v>713799.83</v>
      </c>
      <c r="L2474" s="383">
        <v>3173377.73</v>
      </c>
    </row>
    <row r="2475" spans="2:12">
      <c r="B2475" s="1050"/>
      <c r="C2475" s="1050"/>
      <c r="D2475" s="382" t="s">
        <v>2918</v>
      </c>
      <c r="E2475" s="382" t="s">
        <v>2132</v>
      </c>
      <c r="F2475" s="382" t="s">
        <v>2342</v>
      </c>
      <c r="G2475" s="382" t="s">
        <v>405</v>
      </c>
      <c r="H2475" s="383">
        <v>1448560.14</v>
      </c>
      <c r="I2475" s="1046">
        <v>0</v>
      </c>
      <c r="J2475" s="1047"/>
      <c r="K2475" s="383">
        <v>307044.69</v>
      </c>
      <c r="L2475" s="383">
        <v>1755604.83</v>
      </c>
    </row>
    <row r="2476" spans="2:12">
      <c r="B2476" s="1050"/>
      <c r="C2476" s="1050"/>
      <c r="D2476" s="382" t="s">
        <v>2918</v>
      </c>
      <c r="E2476" s="382" t="s">
        <v>2132</v>
      </c>
      <c r="F2476" s="382" t="s">
        <v>2342</v>
      </c>
      <c r="G2476" s="382" t="s">
        <v>2354</v>
      </c>
      <c r="H2476" s="383">
        <v>811004.59</v>
      </c>
      <c r="I2476" s="1046">
        <v>0</v>
      </c>
      <c r="J2476" s="1047"/>
      <c r="K2476" s="383">
        <v>960862.13</v>
      </c>
      <c r="L2476" s="383">
        <v>1771866.72</v>
      </c>
    </row>
    <row r="2477" spans="2:12">
      <c r="B2477" s="1050"/>
      <c r="C2477" s="1050"/>
      <c r="D2477" s="382" t="s">
        <v>2918</v>
      </c>
      <c r="E2477" s="382" t="s">
        <v>2132</v>
      </c>
      <c r="F2477" s="382" t="s">
        <v>2342</v>
      </c>
      <c r="G2477" s="382" t="s">
        <v>2355</v>
      </c>
      <c r="H2477" s="383">
        <v>32028764.140000001</v>
      </c>
      <c r="I2477" s="1046">
        <v>0</v>
      </c>
      <c r="J2477" s="1047"/>
      <c r="K2477" s="383">
        <v>12537673.23</v>
      </c>
      <c r="L2477" s="383">
        <v>44566437.369999997</v>
      </c>
    </row>
    <row r="2478" spans="2:12">
      <c r="B2478" s="1050"/>
      <c r="C2478" s="1051"/>
      <c r="D2478" s="359" t="s">
        <v>12</v>
      </c>
      <c r="E2478" s="359" t="s">
        <v>111</v>
      </c>
      <c r="F2478" s="359" t="s">
        <v>111</v>
      </c>
      <c r="G2478" s="359" t="s">
        <v>111</v>
      </c>
      <c r="H2478" s="384">
        <v>63889224.329999998</v>
      </c>
      <c r="I2478" s="1048">
        <v>0</v>
      </c>
      <c r="J2478" s="1047"/>
      <c r="K2478" s="384">
        <v>23130220.440000001</v>
      </c>
      <c r="L2478" s="384">
        <v>87019444.769999996</v>
      </c>
    </row>
    <row r="2479" spans="2:12">
      <c r="B2479" s="1050"/>
      <c r="C2479" s="1049" t="s">
        <v>2919</v>
      </c>
      <c r="D2479" s="382" t="s">
        <v>2920</v>
      </c>
      <c r="E2479" s="382" t="s">
        <v>2133</v>
      </c>
      <c r="F2479" s="382" t="s">
        <v>2342</v>
      </c>
      <c r="G2479" s="382" t="s">
        <v>2355</v>
      </c>
      <c r="H2479" s="383">
        <v>-769400.62</v>
      </c>
      <c r="I2479" s="1046">
        <v>126124.38</v>
      </c>
      <c r="J2479" s="1047"/>
      <c r="K2479" s="383">
        <v>0</v>
      </c>
      <c r="L2479" s="383">
        <v>-895525</v>
      </c>
    </row>
    <row r="2480" spans="2:12">
      <c r="B2480" s="1050"/>
      <c r="C2480" s="1050"/>
      <c r="D2480" s="382" t="s">
        <v>2921</v>
      </c>
      <c r="E2480" s="382" t="s">
        <v>2134</v>
      </c>
      <c r="F2480" s="382" t="s">
        <v>2342</v>
      </c>
      <c r="G2480" s="382" t="s">
        <v>2345</v>
      </c>
      <c r="H2480" s="383">
        <v>2691.74</v>
      </c>
      <c r="I2480" s="1046">
        <v>0</v>
      </c>
      <c r="J2480" s="1047"/>
      <c r="K2480" s="383">
        <v>0</v>
      </c>
      <c r="L2480" s="383">
        <v>2691.74</v>
      </c>
    </row>
    <row r="2481" spans="2:12">
      <c r="B2481" s="1050"/>
      <c r="C2481" s="1050"/>
      <c r="D2481" s="382" t="s">
        <v>2921</v>
      </c>
      <c r="E2481" s="382" t="s">
        <v>2134</v>
      </c>
      <c r="F2481" s="382" t="s">
        <v>2342</v>
      </c>
      <c r="G2481" s="382" t="s">
        <v>2351</v>
      </c>
      <c r="H2481" s="383">
        <v>4333.33</v>
      </c>
      <c r="I2481" s="1046">
        <v>0</v>
      </c>
      <c r="J2481" s="1047"/>
      <c r="K2481" s="383">
        <v>0</v>
      </c>
      <c r="L2481" s="383">
        <v>4333.33</v>
      </c>
    </row>
    <row r="2482" spans="2:12">
      <c r="B2482" s="1050"/>
      <c r="C2482" s="1050"/>
      <c r="D2482" s="382" t="s">
        <v>2921</v>
      </c>
      <c r="E2482" s="382" t="s">
        <v>2134</v>
      </c>
      <c r="F2482" s="382" t="s">
        <v>2342</v>
      </c>
      <c r="G2482" s="382" t="s">
        <v>2352</v>
      </c>
      <c r="H2482" s="383">
        <v>2850</v>
      </c>
      <c r="I2482" s="1046">
        <v>0</v>
      </c>
      <c r="J2482" s="1047"/>
      <c r="K2482" s="383">
        <v>0</v>
      </c>
      <c r="L2482" s="383">
        <v>2850</v>
      </c>
    </row>
    <row r="2483" spans="2:12">
      <c r="B2483" s="1050"/>
      <c r="C2483" s="1050"/>
      <c r="D2483" s="382" t="s">
        <v>2921</v>
      </c>
      <c r="E2483" s="382" t="s">
        <v>2134</v>
      </c>
      <c r="F2483" s="382" t="s">
        <v>2342</v>
      </c>
      <c r="G2483" s="382" t="s">
        <v>2355</v>
      </c>
      <c r="H2483" s="383">
        <v>-111945.05</v>
      </c>
      <c r="I2483" s="1046">
        <f>3044.74</f>
        <v>3044.74</v>
      </c>
      <c r="J2483" s="1047"/>
      <c r="K2483" s="383">
        <v>133604</v>
      </c>
      <c r="L2483" s="383">
        <f>H2483+K2483-I2483</f>
        <v>18614.21</v>
      </c>
    </row>
    <row r="2484" spans="2:12">
      <c r="B2484" s="1050"/>
      <c r="C2484" s="1050"/>
      <c r="D2484" s="382" t="s">
        <v>2922</v>
      </c>
      <c r="E2484" s="382" t="s">
        <v>2135</v>
      </c>
      <c r="F2484" s="382" t="s">
        <v>2342</v>
      </c>
      <c r="G2484" s="382" t="s">
        <v>2355</v>
      </c>
      <c r="H2484" s="383">
        <v>357241.56</v>
      </c>
      <c r="I2484" s="1046">
        <v>357353.14</v>
      </c>
      <c r="J2484" s="1047"/>
      <c r="K2484" s="383">
        <v>294835.17</v>
      </c>
      <c r="L2484" s="383">
        <v>294723.59000000003</v>
      </c>
    </row>
    <row r="2485" spans="2:12">
      <c r="B2485" s="1050"/>
      <c r="C2485" s="1050"/>
      <c r="D2485" s="382" t="s">
        <v>2923</v>
      </c>
      <c r="E2485" s="382" t="s">
        <v>2136</v>
      </c>
      <c r="F2485" s="382" t="s">
        <v>2342</v>
      </c>
      <c r="G2485" s="382" t="s">
        <v>2343</v>
      </c>
      <c r="H2485" s="383">
        <v>0</v>
      </c>
      <c r="I2485" s="1046">
        <v>0</v>
      </c>
      <c r="J2485" s="1047"/>
      <c r="K2485" s="383">
        <v>35053.42</v>
      </c>
      <c r="L2485" s="383">
        <v>35053.42</v>
      </c>
    </row>
    <row r="2486" spans="2:12">
      <c r="B2486" s="1050"/>
      <c r="C2486" s="1050"/>
      <c r="D2486" s="382" t="s">
        <v>2923</v>
      </c>
      <c r="E2486" s="382" t="s">
        <v>2136</v>
      </c>
      <c r="F2486" s="382" t="s">
        <v>2342</v>
      </c>
      <c r="G2486" s="382" t="s">
        <v>2355</v>
      </c>
      <c r="H2486" s="383">
        <v>33319</v>
      </c>
      <c r="I2486" s="1046">
        <v>0</v>
      </c>
      <c r="J2486" s="1047"/>
      <c r="K2486" s="383">
        <v>0</v>
      </c>
      <c r="L2486" s="383">
        <v>33319</v>
      </c>
    </row>
    <row r="2487" spans="2:12">
      <c r="B2487" s="1050"/>
      <c r="C2487" s="1050"/>
      <c r="D2487" s="382" t="s">
        <v>2924</v>
      </c>
      <c r="E2487" s="382" t="s">
        <v>2137</v>
      </c>
      <c r="F2487" s="382" t="s">
        <v>2342</v>
      </c>
      <c r="G2487" s="382" t="s">
        <v>2355</v>
      </c>
      <c r="H2487" s="383">
        <v>1973199.81</v>
      </c>
      <c r="I2487" s="1046">
        <v>984116.86</v>
      </c>
      <c r="J2487" s="1047"/>
      <c r="K2487" s="383">
        <v>349039.86</v>
      </c>
      <c r="L2487" s="383">
        <v>1338122.81</v>
      </c>
    </row>
    <row r="2488" spans="2:12">
      <c r="B2488" s="1050"/>
      <c r="C2488" s="1050"/>
      <c r="D2488" s="382">
        <v>211011011</v>
      </c>
      <c r="E2488" s="382" t="s">
        <v>3007</v>
      </c>
      <c r="F2488" s="382" t="s">
        <v>2342</v>
      </c>
      <c r="G2488" s="382">
        <v>999</v>
      </c>
      <c r="H2488" s="383"/>
      <c r="I2488" s="383"/>
      <c r="J2488" s="390"/>
      <c r="K2488" s="383">
        <v>510625</v>
      </c>
      <c r="L2488" s="383">
        <f>H2488+K2488-I2488</f>
        <v>510625</v>
      </c>
    </row>
    <row r="2489" spans="2:12">
      <c r="B2489" s="1050"/>
      <c r="C2489" s="1051"/>
      <c r="D2489" s="359" t="s">
        <v>12</v>
      </c>
      <c r="E2489" s="359" t="s">
        <v>111</v>
      </c>
      <c r="F2489" s="359" t="s">
        <v>111</v>
      </c>
      <c r="G2489" s="359" t="s">
        <v>111</v>
      </c>
      <c r="H2489" s="384">
        <f>SUM(H2479:H2488)</f>
        <v>1492289.77</v>
      </c>
      <c r="I2489" s="1048">
        <f>SUM(I2479:I2488)</f>
        <v>1470639.12</v>
      </c>
      <c r="J2489" s="1047">
        <f>SUM(J2479:J2488)</f>
        <v>0</v>
      </c>
      <c r="K2489" s="384">
        <f>SUM(K2479:K2488)</f>
        <v>1323157.45</v>
      </c>
      <c r="L2489" s="384">
        <f>SUM(L2479:L2488)</f>
        <v>1344808.1</v>
      </c>
    </row>
    <row r="2490" spans="2:12">
      <c r="B2490" s="1050"/>
      <c r="C2490" s="1049" t="s">
        <v>2925</v>
      </c>
      <c r="D2490" s="382" t="s">
        <v>2926</v>
      </c>
      <c r="E2490" s="382" t="s">
        <v>2138</v>
      </c>
      <c r="F2490" s="382" t="s">
        <v>2342</v>
      </c>
      <c r="G2490" s="382" t="s">
        <v>2355</v>
      </c>
      <c r="H2490" s="383">
        <v>-1922733.04</v>
      </c>
      <c r="I2490" s="1046">
        <v>0</v>
      </c>
      <c r="J2490" s="1047"/>
      <c r="K2490" s="383">
        <v>1922733.04</v>
      </c>
      <c r="L2490" s="383">
        <v>0</v>
      </c>
    </row>
    <row r="2491" spans="2:12">
      <c r="B2491" s="1050"/>
      <c r="C2491" s="1050"/>
      <c r="D2491" s="382" t="s">
        <v>2927</v>
      </c>
      <c r="E2491" s="382" t="s">
        <v>2139</v>
      </c>
      <c r="F2491" s="382" t="s">
        <v>2342</v>
      </c>
      <c r="G2491" s="382" t="s">
        <v>2355</v>
      </c>
      <c r="H2491" s="383">
        <v>-15975.1</v>
      </c>
      <c r="I2491" s="1046">
        <v>64706.66</v>
      </c>
      <c r="J2491" s="1047"/>
      <c r="K2491" s="383">
        <v>82281.759999999995</v>
      </c>
      <c r="L2491" s="383">
        <v>1600</v>
      </c>
    </row>
    <row r="2492" spans="2:12">
      <c r="B2492" s="1050"/>
      <c r="C2492" s="1050"/>
      <c r="D2492" s="382" t="s">
        <v>2928</v>
      </c>
      <c r="E2492" s="382" t="s">
        <v>2140</v>
      </c>
      <c r="F2492" s="382" t="s">
        <v>2342</v>
      </c>
      <c r="G2492" s="382" t="s">
        <v>2355</v>
      </c>
      <c r="H2492" s="383">
        <v>126377.21</v>
      </c>
      <c r="I2492" s="1046">
        <v>0</v>
      </c>
      <c r="J2492" s="1047"/>
      <c r="K2492" s="383">
        <v>50000</v>
      </c>
      <c r="L2492" s="383">
        <v>176377.21</v>
      </c>
    </row>
    <row r="2493" spans="2:12">
      <c r="B2493" s="1050"/>
      <c r="C2493" s="1050"/>
      <c r="D2493" s="382" t="s">
        <v>2929</v>
      </c>
      <c r="E2493" s="382" t="s">
        <v>2141</v>
      </c>
      <c r="F2493" s="382" t="s">
        <v>2342</v>
      </c>
      <c r="G2493" s="382" t="s">
        <v>2355</v>
      </c>
      <c r="H2493" s="383">
        <v>136421.76999999999</v>
      </c>
      <c r="I2493" s="1046">
        <v>0</v>
      </c>
      <c r="J2493" s="1047"/>
      <c r="K2493" s="383">
        <v>767417.32</v>
      </c>
      <c r="L2493" s="383">
        <v>903839.09</v>
      </c>
    </row>
    <row r="2494" spans="2:12">
      <c r="B2494" s="1050"/>
      <c r="C2494" s="1050"/>
      <c r="D2494" s="382" t="s">
        <v>2930</v>
      </c>
      <c r="E2494" s="382" t="s">
        <v>2142</v>
      </c>
      <c r="F2494" s="382" t="s">
        <v>2342</v>
      </c>
      <c r="G2494" s="382" t="s">
        <v>2355</v>
      </c>
      <c r="H2494" s="383">
        <v>-24281</v>
      </c>
      <c r="I2494" s="1046">
        <v>1938571.29</v>
      </c>
      <c r="J2494" s="1047"/>
      <c r="K2494" s="383">
        <v>1962852.29</v>
      </c>
      <c r="L2494" s="383">
        <v>0</v>
      </c>
    </row>
    <row r="2495" spans="2:12">
      <c r="B2495" s="1050"/>
      <c r="C2495" s="1050"/>
      <c r="D2495" s="382" t="s">
        <v>2931</v>
      </c>
      <c r="E2495" s="382" t="s">
        <v>2143</v>
      </c>
      <c r="F2495" s="382" t="s">
        <v>2342</v>
      </c>
      <c r="G2495" s="382" t="s">
        <v>2355</v>
      </c>
      <c r="H2495" s="383">
        <v>0</v>
      </c>
      <c r="I2495" s="1046">
        <v>0</v>
      </c>
      <c r="J2495" s="1047"/>
      <c r="K2495" s="383">
        <v>0</v>
      </c>
      <c r="L2495" s="383">
        <v>0</v>
      </c>
    </row>
    <row r="2496" spans="2:12">
      <c r="B2496" s="1050"/>
      <c r="C2496" s="1051"/>
      <c r="D2496" s="359" t="s">
        <v>12</v>
      </c>
      <c r="E2496" s="359" t="s">
        <v>111</v>
      </c>
      <c r="F2496" s="359" t="s">
        <v>111</v>
      </c>
      <c r="G2496" s="359" t="s">
        <v>111</v>
      </c>
      <c r="H2496" s="384">
        <v>-1700190.16</v>
      </c>
      <c r="I2496" s="1048">
        <v>2003277.95</v>
      </c>
      <c r="J2496" s="1047"/>
      <c r="K2496" s="384">
        <v>4785284.41</v>
      </c>
      <c r="L2496" s="384">
        <v>1081816.3</v>
      </c>
    </row>
    <row r="2497" spans="2:12">
      <c r="B2497" s="1050"/>
      <c r="C2497" s="1049" t="s">
        <v>2932</v>
      </c>
      <c r="D2497" s="382" t="s">
        <v>2933</v>
      </c>
      <c r="E2497" s="382" t="s">
        <v>2144</v>
      </c>
      <c r="F2497" s="382" t="s">
        <v>2342</v>
      </c>
      <c r="G2497" s="382" t="s">
        <v>2343</v>
      </c>
      <c r="H2497" s="383">
        <v>233823.94</v>
      </c>
      <c r="I2497" s="1046">
        <v>0</v>
      </c>
      <c r="J2497" s="1047"/>
      <c r="K2497" s="383">
        <v>93284.69</v>
      </c>
      <c r="L2497" s="383">
        <v>327108.63</v>
      </c>
    </row>
    <row r="2498" spans="2:12">
      <c r="B2498" s="1050"/>
      <c r="C2498" s="1050"/>
      <c r="D2498" s="382" t="s">
        <v>2933</v>
      </c>
      <c r="E2498" s="382" t="s">
        <v>2144</v>
      </c>
      <c r="F2498" s="382" t="s">
        <v>2342</v>
      </c>
      <c r="G2498" s="382" t="s">
        <v>2344</v>
      </c>
      <c r="H2498" s="383">
        <v>175068.81</v>
      </c>
      <c r="I2498" s="1046">
        <v>0</v>
      </c>
      <c r="J2498" s="1047"/>
      <c r="K2498" s="383">
        <v>85912.98</v>
      </c>
      <c r="L2498" s="383">
        <v>260981.79</v>
      </c>
    </row>
    <row r="2499" spans="2:12">
      <c r="B2499" s="1050"/>
      <c r="C2499" s="1050"/>
      <c r="D2499" s="382" t="s">
        <v>2933</v>
      </c>
      <c r="E2499" s="382" t="s">
        <v>2144</v>
      </c>
      <c r="F2499" s="382" t="s">
        <v>2342</v>
      </c>
      <c r="G2499" s="382" t="s">
        <v>2345</v>
      </c>
      <c r="H2499" s="383">
        <v>136996.85999999999</v>
      </c>
      <c r="I2499" s="1046">
        <v>0</v>
      </c>
      <c r="J2499" s="1047"/>
      <c r="K2499" s="383">
        <v>75122.13</v>
      </c>
      <c r="L2499" s="383">
        <v>212118.99</v>
      </c>
    </row>
    <row r="2500" spans="2:12">
      <c r="B2500" s="1050"/>
      <c r="C2500" s="1050"/>
      <c r="D2500" s="382" t="s">
        <v>2933</v>
      </c>
      <c r="E2500" s="382" t="s">
        <v>2144</v>
      </c>
      <c r="F2500" s="382" t="s">
        <v>2342</v>
      </c>
      <c r="G2500" s="382" t="s">
        <v>2346</v>
      </c>
      <c r="H2500" s="383">
        <v>120410.79</v>
      </c>
      <c r="I2500" s="1046">
        <v>0</v>
      </c>
      <c r="J2500" s="1047"/>
      <c r="K2500" s="383">
        <v>69485.009999999995</v>
      </c>
      <c r="L2500" s="383">
        <v>189895.8</v>
      </c>
    </row>
    <row r="2501" spans="2:12">
      <c r="B2501" s="1050"/>
      <c r="C2501" s="1050"/>
      <c r="D2501" s="382" t="s">
        <v>2933</v>
      </c>
      <c r="E2501" s="382" t="s">
        <v>2144</v>
      </c>
      <c r="F2501" s="382" t="s">
        <v>2342</v>
      </c>
      <c r="G2501" s="382" t="s">
        <v>2347</v>
      </c>
      <c r="H2501" s="383">
        <v>278839.73</v>
      </c>
      <c r="I2501" s="1046">
        <v>0</v>
      </c>
      <c r="J2501" s="1047"/>
      <c r="K2501" s="383">
        <v>134175.47</v>
      </c>
      <c r="L2501" s="383">
        <v>413015.2</v>
      </c>
    </row>
    <row r="2502" spans="2:12">
      <c r="B2502" s="1050"/>
      <c r="C2502" s="1050"/>
      <c r="D2502" s="382" t="s">
        <v>2933</v>
      </c>
      <c r="E2502" s="382" t="s">
        <v>2144</v>
      </c>
      <c r="F2502" s="382" t="s">
        <v>2342</v>
      </c>
      <c r="G2502" s="382" t="s">
        <v>2348</v>
      </c>
      <c r="H2502" s="383">
        <v>180304.58</v>
      </c>
      <c r="I2502" s="1046">
        <v>0</v>
      </c>
      <c r="J2502" s="1047"/>
      <c r="K2502" s="383">
        <v>81071.27</v>
      </c>
      <c r="L2502" s="383">
        <v>261375.85</v>
      </c>
    </row>
    <row r="2503" spans="2:12">
      <c r="B2503" s="1050"/>
      <c r="C2503" s="1050"/>
      <c r="D2503" s="382" t="s">
        <v>2933</v>
      </c>
      <c r="E2503" s="382" t="s">
        <v>2144</v>
      </c>
      <c r="F2503" s="382" t="s">
        <v>2342</v>
      </c>
      <c r="G2503" s="382" t="s">
        <v>2349</v>
      </c>
      <c r="H2503" s="383">
        <v>236684.68</v>
      </c>
      <c r="I2503" s="1046">
        <v>0</v>
      </c>
      <c r="J2503" s="1047"/>
      <c r="K2503" s="383">
        <v>125773.33</v>
      </c>
      <c r="L2503" s="383">
        <v>362458.01</v>
      </c>
    </row>
    <row r="2504" spans="2:12">
      <c r="B2504" s="1050"/>
      <c r="C2504" s="1050"/>
      <c r="D2504" s="382" t="s">
        <v>2933</v>
      </c>
      <c r="E2504" s="382" t="s">
        <v>2144</v>
      </c>
      <c r="F2504" s="382" t="s">
        <v>2342</v>
      </c>
      <c r="G2504" s="382" t="s">
        <v>2350</v>
      </c>
      <c r="H2504" s="383">
        <v>287720.39</v>
      </c>
      <c r="I2504" s="1046">
        <v>0</v>
      </c>
      <c r="J2504" s="1047"/>
      <c r="K2504" s="383">
        <v>173046.77</v>
      </c>
      <c r="L2504" s="383">
        <v>460767.16</v>
      </c>
    </row>
    <row r="2505" spans="2:12">
      <c r="B2505" s="1050"/>
      <c r="C2505" s="1050"/>
      <c r="D2505" s="382" t="s">
        <v>2933</v>
      </c>
      <c r="E2505" s="382" t="s">
        <v>2144</v>
      </c>
      <c r="F2505" s="382" t="s">
        <v>2342</v>
      </c>
      <c r="G2505" s="382" t="s">
        <v>2351</v>
      </c>
      <c r="H2505" s="383">
        <v>118066.65</v>
      </c>
      <c r="I2505" s="1046">
        <v>0</v>
      </c>
      <c r="J2505" s="1047"/>
      <c r="K2505" s="383">
        <v>57103.3</v>
      </c>
      <c r="L2505" s="383">
        <v>175169.95</v>
      </c>
    </row>
    <row r="2506" spans="2:12">
      <c r="B2506" s="1050"/>
      <c r="C2506" s="1050"/>
      <c r="D2506" s="382" t="s">
        <v>2933</v>
      </c>
      <c r="E2506" s="382" t="s">
        <v>2144</v>
      </c>
      <c r="F2506" s="382" t="s">
        <v>2342</v>
      </c>
      <c r="G2506" s="382" t="s">
        <v>2352</v>
      </c>
      <c r="H2506" s="383">
        <v>126299.32</v>
      </c>
      <c r="I2506" s="1046">
        <v>0</v>
      </c>
      <c r="J2506" s="1047"/>
      <c r="K2506" s="383">
        <v>65594.19</v>
      </c>
      <c r="L2506" s="383">
        <v>191893.51</v>
      </c>
    </row>
    <row r="2507" spans="2:12">
      <c r="B2507" s="1050"/>
      <c r="C2507" s="1050"/>
      <c r="D2507" s="382" t="s">
        <v>2933</v>
      </c>
      <c r="E2507" s="382" t="s">
        <v>2144</v>
      </c>
      <c r="F2507" s="382" t="s">
        <v>2342</v>
      </c>
      <c r="G2507" s="382" t="s">
        <v>2353</v>
      </c>
      <c r="H2507" s="383">
        <v>138492.21</v>
      </c>
      <c r="I2507" s="1046">
        <v>0</v>
      </c>
      <c r="J2507" s="1047"/>
      <c r="K2507" s="383">
        <v>66208.179999999993</v>
      </c>
      <c r="L2507" s="383">
        <v>204700.39</v>
      </c>
    </row>
    <row r="2508" spans="2:12">
      <c r="B2508" s="1050"/>
      <c r="C2508" s="1050"/>
      <c r="D2508" s="382" t="s">
        <v>2933</v>
      </c>
      <c r="E2508" s="382" t="s">
        <v>2144</v>
      </c>
      <c r="F2508" s="382" t="s">
        <v>2342</v>
      </c>
      <c r="G2508" s="382" t="s">
        <v>405</v>
      </c>
      <c r="H2508" s="383">
        <v>76286.789999999994</v>
      </c>
      <c r="I2508" s="1046">
        <v>0</v>
      </c>
      <c r="J2508" s="1047"/>
      <c r="K2508" s="383">
        <v>38486.51</v>
      </c>
      <c r="L2508" s="383">
        <v>114773.3</v>
      </c>
    </row>
    <row r="2509" spans="2:12">
      <c r="B2509" s="1050"/>
      <c r="C2509" s="1050"/>
      <c r="D2509" s="382" t="s">
        <v>2933</v>
      </c>
      <c r="E2509" s="382" t="s">
        <v>2144</v>
      </c>
      <c r="F2509" s="382" t="s">
        <v>2342</v>
      </c>
      <c r="G2509" s="382" t="s">
        <v>2355</v>
      </c>
      <c r="H2509" s="383">
        <v>-2082155.37</v>
      </c>
      <c r="I2509" s="1046">
        <v>1601267.78</v>
      </c>
      <c r="J2509" s="1047"/>
      <c r="K2509" s="383">
        <v>570230.5</v>
      </c>
      <c r="L2509" s="383">
        <v>-3113192.65</v>
      </c>
    </row>
    <row r="2510" spans="2:12">
      <c r="B2510" s="1050"/>
      <c r="C2510" s="1050"/>
      <c r="D2510" s="382" t="s">
        <v>2934</v>
      </c>
      <c r="E2510" s="382" t="s">
        <v>2145</v>
      </c>
      <c r="F2510" s="382" t="s">
        <v>2342</v>
      </c>
      <c r="G2510" s="382" t="s">
        <v>2355</v>
      </c>
      <c r="H2510" s="383">
        <v>195036.11</v>
      </c>
      <c r="I2510" s="1046">
        <v>199486.7</v>
      </c>
      <c r="J2510" s="1047"/>
      <c r="K2510" s="383">
        <v>206830.63</v>
      </c>
      <c r="L2510" s="383">
        <v>202380.04</v>
      </c>
    </row>
    <row r="2511" spans="2:12">
      <c r="B2511" s="1050"/>
      <c r="C2511" s="1050"/>
      <c r="D2511" s="382" t="s">
        <v>2935</v>
      </c>
      <c r="E2511" s="382" t="s">
        <v>2146</v>
      </c>
      <c r="F2511" s="382" t="s">
        <v>2342</v>
      </c>
      <c r="G2511" s="382" t="s">
        <v>2343</v>
      </c>
      <c r="H2511" s="383">
        <v>54.2</v>
      </c>
      <c r="I2511" s="1046">
        <v>20</v>
      </c>
      <c r="J2511" s="1047"/>
      <c r="K2511" s="383">
        <v>0</v>
      </c>
      <c r="L2511" s="383">
        <v>34.200000000000003</v>
      </c>
    </row>
    <row r="2512" spans="2:12">
      <c r="B2512" s="1050"/>
      <c r="C2512" s="1050"/>
      <c r="D2512" s="382" t="s">
        <v>2935</v>
      </c>
      <c r="E2512" s="382" t="s">
        <v>2146</v>
      </c>
      <c r="F2512" s="382" t="s">
        <v>2342</v>
      </c>
      <c r="G2512" s="382" t="s">
        <v>2344</v>
      </c>
      <c r="H2512" s="383">
        <v>193.3</v>
      </c>
      <c r="I2512" s="1046">
        <v>834</v>
      </c>
      <c r="J2512" s="1047"/>
      <c r="K2512" s="383">
        <v>1424.7</v>
      </c>
      <c r="L2512" s="383">
        <v>784</v>
      </c>
    </row>
    <row r="2513" spans="2:14">
      <c r="B2513" s="1050"/>
      <c r="C2513" s="1050"/>
      <c r="D2513" s="382" t="s">
        <v>2935</v>
      </c>
      <c r="E2513" s="382" t="s">
        <v>2146</v>
      </c>
      <c r="F2513" s="382" t="s">
        <v>2342</v>
      </c>
      <c r="G2513" s="382" t="s">
        <v>2345</v>
      </c>
      <c r="H2513" s="383">
        <v>129</v>
      </c>
      <c r="I2513" s="1046">
        <v>258</v>
      </c>
      <c r="J2513" s="1047"/>
      <c r="K2513" s="383">
        <v>1371</v>
      </c>
      <c r="L2513" s="383">
        <v>1242</v>
      </c>
    </row>
    <row r="2514" spans="2:14">
      <c r="B2514" s="1050"/>
      <c r="C2514" s="1050"/>
      <c r="D2514" s="382" t="s">
        <v>2935</v>
      </c>
      <c r="E2514" s="382" t="s">
        <v>2146</v>
      </c>
      <c r="F2514" s="382" t="s">
        <v>2342</v>
      </c>
      <c r="G2514" s="382" t="s">
        <v>2346</v>
      </c>
      <c r="H2514" s="383">
        <v>352.8</v>
      </c>
      <c r="I2514" s="1046">
        <v>1371</v>
      </c>
      <c r="J2514" s="1047"/>
      <c r="K2514" s="383">
        <v>1326.6</v>
      </c>
      <c r="L2514" s="383">
        <v>308.39999999999998</v>
      </c>
    </row>
    <row r="2515" spans="2:14">
      <c r="B2515" s="1050"/>
      <c r="C2515" s="1050"/>
      <c r="D2515" s="382" t="s">
        <v>2935</v>
      </c>
      <c r="E2515" s="382" t="s">
        <v>2146</v>
      </c>
      <c r="F2515" s="382" t="s">
        <v>2342</v>
      </c>
      <c r="G2515" s="382" t="s">
        <v>2347</v>
      </c>
      <c r="H2515" s="383">
        <v>859.5</v>
      </c>
      <c r="I2515" s="1046">
        <v>810</v>
      </c>
      <c r="J2515" s="1047"/>
      <c r="K2515" s="383">
        <v>0</v>
      </c>
      <c r="L2515" s="383">
        <v>49.5</v>
      </c>
    </row>
    <row r="2516" spans="2:14">
      <c r="B2516" s="1050"/>
      <c r="C2516" s="1050"/>
      <c r="D2516" s="382" t="s">
        <v>2935</v>
      </c>
      <c r="E2516" s="382" t="s">
        <v>2146</v>
      </c>
      <c r="F2516" s="382" t="s">
        <v>2342</v>
      </c>
      <c r="G2516" s="382" t="s">
        <v>2348</v>
      </c>
      <c r="H2516" s="383">
        <v>0</v>
      </c>
      <c r="I2516" s="1046">
        <v>0</v>
      </c>
      <c r="J2516" s="1047"/>
      <c r="K2516" s="383">
        <v>1438.89</v>
      </c>
      <c r="L2516" s="383">
        <v>1438.89</v>
      </c>
    </row>
    <row r="2517" spans="2:14">
      <c r="B2517" s="1050"/>
      <c r="C2517" s="1050"/>
      <c r="D2517" s="382" t="s">
        <v>2935</v>
      </c>
      <c r="E2517" s="382" t="s">
        <v>2146</v>
      </c>
      <c r="F2517" s="382" t="s">
        <v>2342</v>
      </c>
      <c r="G2517" s="382" t="s">
        <v>2349</v>
      </c>
      <c r="H2517" s="383">
        <v>0</v>
      </c>
      <c r="I2517" s="1046">
        <v>1544.35</v>
      </c>
      <c r="J2517" s="1047"/>
      <c r="K2517" s="383">
        <v>2968.65</v>
      </c>
      <c r="L2517" s="383">
        <v>1424.3</v>
      </c>
    </row>
    <row r="2518" spans="2:14">
      <c r="B2518" s="1050"/>
      <c r="C2518" s="1050"/>
      <c r="D2518" s="382" t="s">
        <v>2935</v>
      </c>
      <c r="E2518" s="382" t="s">
        <v>2146</v>
      </c>
      <c r="F2518" s="382" t="s">
        <v>2342</v>
      </c>
      <c r="G2518" s="382" t="s">
        <v>2350</v>
      </c>
      <c r="H2518" s="383">
        <v>35</v>
      </c>
      <c r="I2518" s="1046">
        <v>620</v>
      </c>
      <c r="J2518" s="1047"/>
      <c r="K2518" s="383">
        <v>2125</v>
      </c>
      <c r="L2518" s="383">
        <v>1540</v>
      </c>
    </row>
    <row r="2519" spans="2:14">
      <c r="B2519" s="1050"/>
      <c r="C2519" s="1050"/>
      <c r="D2519" s="382" t="s">
        <v>2935</v>
      </c>
      <c r="E2519" s="382" t="s">
        <v>2146</v>
      </c>
      <c r="F2519" s="382" t="s">
        <v>2342</v>
      </c>
      <c r="G2519" s="382" t="s">
        <v>2351</v>
      </c>
      <c r="H2519" s="383">
        <v>0</v>
      </c>
      <c r="I2519" s="1046">
        <v>20</v>
      </c>
      <c r="J2519" s="1047"/>
      <c r="K2519" s="383">
        <v>1500</v>
      </c>
      <c r="L2519" s="383">
        <v>1480</v>
      </c>
    </row>
    <row r="2520" spans="2:14">
      <c r="B2520" s="1050"/>
      <c r="C2520" s="1050"/>
      <c r="D2520" s="382" t="s">
        <v>2935</v>
      </c>
      <c r="E2520" s="382" t="s">
        <v>2146</v>
      </c>
      <c r="F2520" s="382" t="s">
        <v>2342</v>
      </c>
      <c r="G2520" s="382" t="s">
        <v>2352</v>
      </c>
      <c r="H2520" s="383">
        <v>1500</v>
      </c>
      <c r="I2520" s="1046">
        <v>1269</v>
      </c>
      <c r="J2520" s="1047"/>
      <c r="K2520" s="383">
        <v>0</v>
      </c>
      <c r="L2520" s="383">
        <v>231</v>
      </c>
    </row>
    <row r="2521" spans="2:14">
      <c r="B2521" s="1050"/>
      <c r="C2521" s="1050"/>
      <c r="D2521" s="382" t="s">
        <v>2935</v>
      </c>
      <c r="E2521" s="382" t="s">
        <v>2146</v>
      </c>
      <c r="F2521" s="382" t="s">
        <v>2342</v>
      </c>
      <c r="G2521" s="382" t="s">
        <v>2353</v>
      </c>
      <c r="H2521" s="383">
        <v>1175</v>
      </c>
      <c r="I2521" s="1046">
        <v>924.3</v>
      </c>
      <c r="J2521" s="1047"/>
      <c r="K2521" s="383">
        <v>325</v>
      </c>
      <c r="L2521" s="383">
        <v>575.70000000000005</v>
      </c>
    </row>
    <row r="2522" spans="2:14">
      <c r="B2522" s="1050"/>
      <c r="C2522" s="1050"/>
      <c r="D2522" s="382" t="s">
        <v>2935</v>
      </c>
      <c r="E2522" s="382" t="s">
        <v>2146</v>
      </c>
      <c r="F2522" s="382" t="s">
        <v>2342</v>
      </c>
      <c r="G2522" s="382" t="s">
        <v>405</v>
      </c>
      <c r="H2522" s="383">
        <v>1000</v>
      </c>
      <c r="I2522" s="1046">
        <v>597</v>
      </c>
      <c r="J2522" s="1047"/>
      <c r="K2522" s="383">
        <v>0</v>
      </c>
      <c r="L2522" s="383">
        <v>403</v>
      </c>
    </row>
    <row r="2523" spans="2:14">
      <c r="B2523" s="1050"/>
      <c r="C2523" s="1050"/>
      <c r="D2523" s="382" t="s">
        <v>2935</v>
      </c>
      <c r="E2523" s="382" t="s">
        <v>2146</v>
      </c>
      <c r="F2523" s="382" t="s">
        <v>2342</v>
      </c>
      <c r="G2523" s="382" t="s">
        <v>2354</v>
      </c>
      <c r="H2523" s="383">
        <v>1500</v>
      </c>
      <c r="I2523" s="1046">
        <v>1500</v>
      </c>
      <c r="J2523" s="1047"/>
      <c r="K2523" s="383">
        <v>0</v>
      </c>
      <c r="L2523" s="383">
        <v>0</v>
      </c>
      <c r="N2523" s="387">
        <f>3508039.87+3080957.24</f>
        <v>6588997.1100000003</v>
      </c>
    </row>
    <row r="2524" spans="2:14">
      <c r="B2524" s="1050"/>
      <c r="C2524" s="1050"/>
      <c r="D2524" s="382" t="s">
        <v>2936</v>
      </c>
      <c r="E2524" s="382" t="s">
        <v>2147</v>
      </c>
      <c r="F2524" s="382" t="s">
        <v>2342</v>
      </c>
      <c r="G2524" s="382" t="s">
        <v>2347</v>
      </c>
      <c r="H2524" s="383">
        <v>-4070</v>
      </c>
      <c r="I2524" s="1046">
        <v>0</v>
      </c>
      <c r="J2524" s="1047"/>
      <c r="K2524" s="383">
        <v>0</v>
      </c>
      <c r="L2524" s="383">
        <v>-4070</v>
      </c>
      <c r="N2524" s="387">
        <v>5531156.3399999999</v>
      </c>
    </row>
    <row r="2525" spans="2:14">
      <c r="B2525" s="1050"/>
      <c r="C2525" s="1050"/>
      <c r="D2525" s="382" t="s">
        <v>2936</v>
      </c>
      <c r="E2525" s="382" t="s">
        <v>2147</v>
      </c>
      <c r="F2525" s="382" t="s">
        <v>2342</v>
      </c>
      <c r="G2525" s="382" t="s">
        <v>2348</v>
      </c>
      <c r="H2525" s="383">
        <v>-17117.09</v>
      </c>
      <c r="I2525" s="1046">
        <v>0</v>
      </c>
      <c r="J2525" s="1047"/>
      <c r="K2525" s="383">
        <v>0</v>
      </c>
      <c r="L2525" s="383">
        <v>-17117.09</v>
      </c>
      <c r="N2525" s="387">
        <f>N2523-N2524</f>
        <v>1057840.7700000005</v>
      </c>
    </row>
    <row r="2526" spans="2:14">
      <c r="B2526" s="1050"/>
      <c r="C2526" s="1050"/>
      <c r="D2526" s="382" t="s">
        <v>2936</v>
      </c>
      <c r="E2526" s="382" t="s">
        <v>2147</v>
      </c>
      <c r="F2526" s="382" t="s">
        <v>2342</v>
      </c>
      <c r="G2526" s="382" t="s">
        <v>2350</v>
      </c>
      <c r="H2526" s="383">
        <v>-4070</v>
      </c>
      <c r="I2526" s="1046">
        <v>25381</v>
      </c>
      <c r="J2526" s="1047"/>
      <c r="K2526" s="383">
        <v>0</v>
      </c>
      <c r="L2526" s="383">
        <v>-29451</v>
      </c>
    </row>
    <row r="2527" spans="2:14">
      <c r="B2527" s="1050"/>
      <c r="C2527" s="1050"/>
      <c r="D2527" s="382" t="s">
        <v>2936</v>
      </c>
      <c r="E2527" s="382" t="s">
        <v>2147</v>
      </c>
      <c r="F2527" s="382" t="s">
        <v>2342</v>
      </c>
      <c r="G2527" s="382" t="s">
        <v>2355</v>
      </c>
      <c r="H2527" s="383">
        <v>5270896.0199999996</v>
      </c>
      <c r="I2527" s="1046">
        <v>57141.29</v>
      </c>
      <c r="J2527" s="1047"/>
      <c r="K2527" s="383">
        <v>368039.7</v>
      </c>
      <c r="L2527" s="383">
        <v>5581794.4299999997</v>
      </c>
    </row>
    <row r="2528" spans="2:14">
      <c r="B2528" s="1050"/>
      <c r="C2528" s="1050"/>
      <c r="D2528" s="382" t="s">
        <v>2937</v>
      </c>
      <c r="E2528" s="382" t="s">
        <v>2148</v>
      </c>
      <c r="F2528" s="382" t="s">
        <v>2342</v>
      </c>
      <c r="G2528" s="382" t="s">
        <v>2343</v>
      </c>
      <c r="H2528" s="383">
        <v>540</v>
      </c>
      <c r="I2528" s="1046">
        <v>0</v>
      </c>
      <c r="J2528" s="1047"/>
      <c r="K2528" s="383">
        <v>0</v>
      </c>
      <c r="L2528" s="383">
        <v>540</v>
      </c>
    </row>
    <row r="2529" spans="2:12">
      <c r="B2529" s="1050"/>
      <c r="C2529" s="1050"/>
      <c r="D2529" s="382" t="s">
        <v>2937</v>
      </c>
      <c r="E2529" s="382" t="s">
        <v>2148</v>
      </c>
      <c r="F2529" s="382" t="s">
        <v>2342</v>
      </c>
      <c r="G2529" s="382" t="s">
        <v>2344</v>
      </c>
      <c r="H2529" s="383">
        <v>540</v>
      </c>
      <c r="I2529" s="1046">
        <v>0</v>
      </c>
      <c r="J2529" s="1047"/>
      <c r="K2529" s="383">
        <v>0</v>
      </c>
      <c r="L2529" s="383">
        <v>540</v>
      </c>
    </row>
    <row r="2530" spans="2:12">
      <c r="B2530" s="1050"/>
      <c r="C2530" s="1050"/>
      <c r="D2530" s="382" t="s">
        <v>2937</v>
      </c>
      <c r="E2530" s="382" t="s">
        <v>2148</v>
      </c>
      <c r="F2530" s="382" t="s">
        <v>2342</v>
      </c>
      <c r="G2530" s="382" t="s">
        <v>2345</v>
      </c>
      <c r="H2530" s="383">
        <v>420</v>
      </c>
      <c r="I2530" s="1046">
        <v>0</v>
      </c>
      <c r="J2530" s="1047"/>
      <c r="K2530" s="383">
        <v>0</v>
      </c>
      <c r="L2530" s="383">
        <v>420</v>
      </c>
    </row>
    <row r="2531" spans="2:12">
      <c r="B2531" s="1050"/>
      <c r="C2531" s="1050"/>
      <c r="D2531" s="382" t="s">
        <v>2937</v>
      </c>
      <c r="E2531" s="382" t="s">
        <v>2148</v>
      </c>
      <c r="F2531" s="382" t="s">
        <v>2342</v>
      </c>
      <c r="G2531" s="382" t="s">
        <v>2346</v>
      </c>
      <c r="H2531" s="383">
        <v>405</v>
      </c>
      <c r="I2531" s="1046">
        <v>0</v>
      </c>
      <c r="J2531" s="1047"/>
      <c r="K2531" s="383">
        <v>0</v>
      </c>
      <c r="L2531" s="383">
        <v>405</v>
      </c>
    </row>
    <row r="2532" spans="2:12">
      <c r="B2532" s="1050"/>
      <c r="C2532" s="1050"/>
      <c r="D2532" s="382" t="s">
        <v>2937</v>
      </c>
      <c r="E2532" s="382" t="s">
        <v>2148</v>
      </c>
      <c r="F2532" s="382" t="s">
        <v>2342</v>
      </c>
      <c r="G2532" s="382" t="s">
        <v>2347</v>
      </c>
      <c r="H2532" s="383">
        <v>720</v>
      </c>
      <c r="I2532" s="1046">
        <v>0</v>
      </c>
      <c r="J2532" s="1047"/>
      <c r="K2532" s="383">
        <v>0</v>
      </c>
      <c r="L2532" s="383">
        <v>720</v>
      </c>
    </row>
    <row r="2533" spans="2:12">
      <c r="B2533" s="1050"/>
      <c r="C2533" s="1050"/>
      <c r="D2533" s="382" t="s">
        <v>2937</v>
      </c>
      <c r="E2533" s="382" t="s">
        <v>2148</v>
      </c>
      <c r="F2533" s="382" t="s">
        <v>2342</v>
      </c>
      <c r="G2533" s="382" t="s">
        <v>2348</v>
      </c>
      <c r="H2533" s="383">
        <v>435</v>
      </c>
      <c r="I2533" s="1046">
        <v>0</v>
      </c>
      <c r="J2533" s="1047"/>
      <c r="K2533" s="383">
        <v>0</v>
      </c>
      <c r="L2533" s="383">
        <v>435</v>
      </c>
    </row>
    <row r="2534" spans="2:12">
      <c r="B2534" s="1050"/>
      <c r="C2534" s="1050"/>
      <c r="D2534" s="382" t="s">
        <v>2937</v>
      </c>
      <c r="E2534" s="382" t="s">
        <v>2148</v>
      </c>
      <c r="F2534" s="382" t="s">
        <v>2342</v>
      </c>
      <c r="G2534" s="382" t="s">
        <v>2349</v>
      </c>
      <c r="H2534" s="383">
        <v>660</v>
      </c>
      <c r="I2534" s="1046">
        <v>0</v>
      </c>
      <c r="J2534" s="1047"/>
      <c r="K2534" s="383">
        <v>0</v>
      </c>
      <c r="L2534" s="383">
        <v>660</v>
      </c>
    </row>
    <row r="2535" spans="2:12">
      <c r="B2535" s="1050"/>
      <c r="C2535" s="1050"/>
      <c r="D2535" s="382" t="s">
        <v>2937</v>
      </c>
      <c r="E2535" s="382" t="s">
        <v>2148</v>
      </c>
      <c r="F2535" s="382" t="s">
        <v>2342</v>
      </c>
      <c r="G2535" s="382" t="s">
        <v>2350</v>
      </c>
      <c r="H2535" s="383">
        <v>795</v>
      </c>
      <c r="I2535" s="1046">
        <v>0</v>
      </c>
      <c r="J2535" s="1047"/>
      <c r="K2535" s="383">
        <v>0</v>
      </c>
      <c r="L2535" s="383">
        <v>795</v>
      </c>
    </row>
    <row r="2536" spans="2:12">
      <c r="B2536" s="1050"/>
      <c r="C2536" s="1050"/>
      <c r="D2536" s="382" t="s">
        <v>2937</v>
      </c>
      <c r="E2536" s="382" t="s">
        <v>2148</v>
      </c>
      <c r="F2536" s="382" t="s">
        <v>2342</v>
      </c>
      <c r="G2536" s="382" t="s">
        <v>2351</v>
      </c>
      <c r="H2536" s="383">
        <v>345</v>
      </c>
      <c r="I2536" s="1046">
        <v>0</v>
      </c>
      <c r="J2536" s="1047"/>
      <c r="K2536" s="383">
        <v>0</v>
      </c>
      <c r="L2536" s="383">
        <v>345</v>
      </c>
    </row>
    <row r="2537" spans="2:12">
      <c r="B2537" s="1050"/>
      <c r="C2537" s="1050"/>
      <c r="D2537" s="382" t="s">
        <v>2937</v>
      </c>
      <c r="E2537" s="382" t="s">
        <v>2148</v>
      </c>
      <c r="F2537" s="382" t="s">
        <v>2342</v>
      </c>
      <c r="G2537" s="382" t="s">
        <v>2352</v>
      </c>
      <c r="H2537" s="383">
        <v>360</v>
      </c>
      <c r="I2537" s="1046">
        <v>0</v>
      </c>
      <c r="J2537" s="1047"/>
      <c r="K2537" s="383">
        <v>0</v>
      </c>
      <c r="L2537" s="383">
        <v>360</v>
      </c>
    </row>
    <row r="2538" spans="2:12">
      <c r="B2538" s="1050"/>
      <c r="C2538" s="1050"/>
      <c r="D2538" s="382" t="s">
        <v>2937</v>
      </c>
      <c r="E2538" s="382" t="s">
        <v>2148</v>
      </c>
      <c r="F2538" s="382" t="s">
        <v>2342</v>
      </c>
      <c r="G2538" s="382" t="s">
        <v>2353</v>
      </c>
      <c r="H2538" s="383">
        <v>420</v>
      </c>
      <c r="I2538" s="1046">
        <v>0</v>
      </c>
      <c r="J2538" s="1047"/>
      <c r="K2538" s="383">
        <v>0</v>
      </c>
      <c r="L2538" s="383">
        <v>420</v>
      </c>
    </row>
    <row r="2539" spans="2:12">
      <c r="B2539" s="1050"/>
      <c r="C2539" s="1050"/>
      <c r="D2539" s="382" t="s">
        <v>2937</v>
      </c>
      <c r="E2539" s="382" t="s">
        <v>2148</v>
      </c>
      <c r="F2539" s="382" t="s">
        <v>2342</v>
      </c>
      <c r="G2539" s="382" t="s">
        <v>405</v>
      </c>
      <c r="H2539" s="383">
        <v>210</v>
      </c>
      <c r="I2539" s="1046">
        <v>0</v>
      </c>
      <c r="J2539" s="1047"/>
      <c r="K2539" s="383">
        <v>0</v>
      </c>
      <c r="L2539" s="383">
        <v>210</v>
      </c>
    </row>
    <row r="2540" spans="2:12">
      <c r="B2540" s="1050"/>
      <c r="C2540" s="1050"/>
      <c r="D2540" s="382" t="s">
        <v>2937</v>
      </c>
      <c r="E2540" s="382" t="s">
        <v>2148</v>
      </c>
      <c r="F2540" s="382" t="s">
        <v>2342</v>
      </c>
      <c r="G2540" s="382" t="s">
        <v>2355</v>
      </c>
      <c r="H2540" s="383">
        <v>1245</v>
      </c>
      <c r="I2540" s="1046">
        <v>7095</v>
      </c>
      <c r="J2540" s="1047"/>
      <c r="K2540" s="383">
        <v>0</v>
      </c>
      <c r="L2540" s="383">
        <v>-5850</v>
      </c>
    </row>
    <row r="2541" spans="2:12">
      <c r="B2541" s="1050"/>
      <c r="C2541" s="1050"/>
      <c r="D2541" s="382" t="s">
        <v>2938</v>
      </c>
      <c r="E2541" s="382" t="s">
        <v>2149</v>
      </c>
      <c r="F2541" s="382" t="s">
        <v>2342</v>
      </c>
      <c r="G2541" s="382" t="s">
        <v>2343</v>
      </c>
      <c r="H2541" s="383">
        <v>-724.83</v>
      </c>
      <c r="I2541" s="1046">
        <v>27341.4</v>
      </c>
      <c r="J2541" s="1047"/>
      <c r="K2541" s="383">
        <v>0</v>
      </c>
      <c r="L2541" s="383">
        <v>-28066.23</v>
      </c>
    </row>
    <row r="2542" spans="2:12">
      <c r="B2542" s="1050"/>
      <c r="C2542" s="1050"/>
      <c r="D2542" s="382" t="s">
        <v>2938</v>
      </c>
      <c r="E2542" s="382" t="s">
        <v>2149</v>
      </c>
      <c r="F2542" s="382" t="s">
        <v>2342</v>
      </c>
      <c r="G2542" s="382" t="s">
        <v>2345</v>
      </c>
      <c r="H2542" s="383">
        <v>-210</v>
      </c>
      <c r="I2542" s="1046">
        <v>5650</v>
      </c>
      <c r="J2542" s="1047"/>
      <c r="K2542" s="383">
        <v>0</v>
      </c>
      <c r="L2542" s="383">
        <v>-5860</v>
      </c>
    </row>
    <row r="2543" spans="2:12">
      <c r="B2543" s="1050"/>
      <c r="C2543" s="1050"/>
      <c r="D2543" s="382" t="s">
        <v>2938</v>
      </c>
      <c r="E2543" s="382" t="s">
        <v>2149</v>
      </c>
      <c r="F2543" s="382" t="s">
        <v>2342</v>
      </c>
      <c r="G2543" s="382" t="s">
        <v>2346</v>
      </c>
      <c r="H2543" s="383">
        <v>0</v>
      </c>
      <c r="I2543" s="1046">
        <v>2800</v>
      </c>
      <c r="J2543" s="1047"/>
      <c r="K2543" s="383">
        <v>0</v>
      </c>
      <c r="L2543" s="383">
        <v>-2800</v>
      </c>
    </row>
    <row r="2544" spans="2:12">
      <c r="B2544" s="1050"/>
      <c r="C2544" s="1050"/>
      <c r="D2544" s="382" t="s">
        <v>2938</v>
      </c>
      <c r="E2544" s="382" t="s">
        <v>2149</v>
      </c>
      <c r="F2544" s="382" t="s">
        <v>2342</v>
      </c>
      <c r="G2544" s="382" t="s">
        <v>2349</v>
      </c>
      <c r="H2544" s="383">
        <v>-600</v>
      </c>
      <c r="I2544" s="1046">
        <v>0</v>
      </c>
      <c r="J2544" s="1047"/>
      <c r="K2544" s="383">
        <v>0</v>
      </c>
      <c r="L2544" s="383">
        <v>-600</v>
      </c>
    </row>
    <row r="2545" spans="2:12">
      <c r="B2545" s="1050"/>
      <c r="C2545" s="1050"/>
      <c r="D2545" s="382" t="s">
        <v>2938</v>
      </c>
      <c r="E2545" s="382" t="s">
        <v>2149</v>
      </c>
      <c r="F2545" s="382" t="s">
        <v>2342</v>
      </c>
      <c r="G2545" s="382" t="s">
        <v>2350</v>
      </c>
      <c r="H2545" s="383">
        <v>0</v>
      </c>
      <c r="I2545" s="1046">
        <v>904.5</v>
      </c>
      <c r="J2545" s="1047"/>
      <c r="K2545" s="383">
        <v>0</v>
      </c>
      <c r="L2545" s="383">
        <v>-904.5</v>
      </c>
    </row>
    <row r="2546" spans="2:12">
      <c r="B2546" s="1050"/>
      <c r="C2546" s="1050"/>
      <c r="D2546" s="382" t="s">
        <v>2938</v>
      </c>
      <c r="E2546" s="382" t="s">
        <v>2149</v>
      </c>
      <c r="F2546" s="382" t="s">
        <v>2342</v>
      </c>
      <c r="G2546" s="382" t="s">
        <v>2353</v>
      </c>
      <c r="H2546" s="383">
        <v>-600</v>
      </c>
      <c r="I2546" s="1046">
        <v>0</v>
      </c>
      <c r="J2546" s="1047"/>
      <c r="K2546" s="383">
        <v>0</v>
      </c>
      <c r="L2546" s="383">
        <v>-600</v>
      </c>
    </row>
    <row r="2547" spans="2:12">
      <c r="B2547" s="1050"/>
      <c r="C2547" s="1050"/>
      <c r="D2547" s="382" t="s">
        <v>2938</v>
      </c>
      <c r="E2547" s="382" t="s">
        <v>2149</v>
      </c>
      <c r="F2547" s="382" t="s">
        <v>2342</v>
      </c>
      <c r="G2547" s="382" t="s">
        <v>405</v>
      </c>
      <c r="H2547" s="383">
        <v>-600</v>
      </c>
      <c r="I2547" s="1046">
        <v>2800</v>
      </c>
      <c r="J2547" s="1047"/>
      <c r="K2547" s="383">
        <v>0</v>
      </c>
      <c r="L2547" s="383">
        <v>-3400</v>
      </c>
    </row>
    <row r="2548" spans="2:12">
      <c r="B2548" s="1050"/>
      <c r="C2548" s="1050"/>
      <c r="D2548" s="382" t="s">
        <v>2938</v>
      </c>
      <c r="E2548" s="382" t="s">
        <v>2149</v>
      </c>
      <c r="F2548" s="382" t="s">
        <v>2342</v>
      </c>
      <c r="G2548" s="382" t="s">
        <v>2354</v>
      </c>
      <c r="H2548" s="383">
        <v>-574</v>
      </c>
      <c r="I2548" s="1046">
        <v>766.15</v>
      </c>
      <c r="J2548" s="1047"/>
      <c r="K2548" s="383">
        <v>0</v>
      </c>
      <c r="L2548" s="383">
        <v>-1340.15</v>
      </c>
    </row>
    <row r="2549" spans="2:12">
      <c r="B2549" s="1050"/>
      <c r="C2549" s="1050"/>
      <c r="D2549" s="382" t="s">
        <v>2938</v>
      </c>
      <c r="E2549" s="382" t="s">
        <v>2149</v>
      </c>
      <c r="F2549" s="382" t="s">
        <v>2342</v>
      </c>
      <c r="G2549" s="382" t="s">
        <v>2355</v>
      </c>
      <c r="H2549" s="383">
        <v>1338034.8600000001</v>
      </c>
      <c r="I2549" s="1046">
        <f>1751456.73+3010</f>
        <v>1754466.73</v>
      </c>
      <c r="J2549" s="1047"/>
      <c r="K2549" s="383">
        <v>1358709.79</v>
      </c>
      <c r="L2549" s="383">
        <f>H2549+K2549-I2549</f>
        <v>942277.92000000039</v>
      </c>
    </row>
    <row r="2550" spans="2:12">
      <c r="B2550" s="1050"/>
      <c r="C2550" s="1051"/>
      <c r="D2550" s="359" t="s">
        <v>12</v>
      </c>
      <c r="E2550" s="359" t="s">
        <v>111</v>
      </c>
      <c r="F2550" s="359" t="s">
        <v>111</v>
      </c>
      <c r="G2550" s="359" t="s">
        <v>111</v>
      </c>
      <c r="H2550" s="384">
        <f>SUM(H2497:H2549)</f>
        <v>6816134.2499999991</v>
      </c>
      <c r="I2550" s="1048">
        <f>SUM(I2497:I2549)</f>
        <v>3694868.2</v>
      </c>
      <c r="J2550" s="1047">
        <f>SUM(J2497:J2549)</f>
        <v>0</v>
      </c>
      <c r="K2550" s="384">
        <f>SUM(K2497:K2549)</f>
        <v>3581554.29</v>
      </c>
      <c r="L2550" s="384">
        <f>SUM(L2497:L2549)</f>
        <v>6702820.3399999999</v>
      </c>
    </row>
    <row r="2551" spans="2:12">
      <c r="B2551" s="1050"/>
      <c r="C2551" s="1049" t="s">
        <v>2939</v>
      </c>
      <c r="D2551" s="382" t="s">
        <v>2940</v>
      </c>
      <c r="E2551" s="382" t="s">
        <v>2150</v>
      </c>
      <c r="F2551" s="382" t="s">
        <v>2342</v>
      </c>
      <c r="G2551" s="382" t="s">
        <v>2350</v>
      </c>
      <c r="H2551" s="383">
        <v>0</v>
      </c>
      <c r="I2551" s="1046">
        <v>0</v>
      </c>
      <c r="J2551" s="1047"/>
      <c r="K2551" s="383">
        <v>0</v>
      </c>
      <c r="L2551" s="383">
        <v>0</v>
      </c>
    </row>
    <row r="2552" spans="2:12">
      <c r="B2552" s="1050"/>
      <c r="C2552" s="1050"/>
      <c r="D2552" s="382" t="s">
        <v>2941</v>
      </c>
      <c r="E2552" s="382" t="s">
        <v>2151</v>
      </c>
      <c r="F2552" s="382" t="s">
        <v>2342</v>
      </c>
      <c r="G2552" s="382" t="s">
        <v>2347</v>
      </c>
      <c r="H2552" s="383">
        <v>1579.3</v>
      </c>
      <c r="I2552" s="1046">
        <v>0</v>
      </c>
      <c r="J2552" s="1047"/>
      <c r="K2552" s="383">
        <v>0</v>
      </c>
      <c r="L2552" s="383">
        <v>1579.3</v>
      </c>
    </row>
    <row r="2553" spans="2:12">
      <c r="B2553" s="1050"/>
      <c r="C2553" s="1050"/>
      <c r="D2553" s="382" t="s">
        <v>2941</v>
      </c>
      <c r="E2553" s="382" t="s">
        <v>2151</v>
      </c>
      <c r="F2553" s="382" t="s">
        <v>2342</v>
      </c>
      <c r="G2553" s="382" t="s">
        <v>2355</v>
      </c>
      <c r="H2553" s="383">
        <v>-1579.3</v>
      </c>
      <c r="I2553" s="1046">
        <v>0</v>
      </c>
      <c r="J2553" s="1047"/>
      <c r="K2553" s="383">
        <v>0</v>
      </c>
      <c r="L2553" s="383">
        <v>-1579.3</v>
      </c>
    </row>
    <row r="2554" spans="2:12">
      <c r="B2554" s="1050"/>
      <c r="C2554" s="1050"/>
      <c r="D2554" s="382" t="s">
        <v>2942</v>
      </c>
      <c r="E2554" s="382" t="s">
        <v>2152</v>
      </c>
      <c r="F2554" s="382" t="s">
        <v>2342</v>
      </c>
      <c r="G2554" s="382" t="s">
        <v>2343</v>
      </c>
      <c r="H2554" s="383">
        <v>4544936.51</v>
      </c>
      <c r="I2554" s="1046">
        <v>3173251.68</v>
      </c>
      <c r="J2554" s="1047"/>
      <c r="K2554" s="383">
        <v>3173251.68</v>
      </c>
      <c r="L2554" s="383">
        <v>4544936.51</v>
      </c>
    </row>
    <row r="2555" spans="2:12">
      <c r="B2555" s="1050"/>
      <c r="C2555" s="1050"/>
      <c r="D2555" s="382" t="s">
        <v>2942</v>
      </c>
      <c r="E2555" s="382" t="s">
        <v>2152</v>
      </c>
      <c r="F2555" s="382" t="s">
        <v>2342</v>
      </c>
      <c r="G2555" s="382" t="s">
        <v>2344</v>
      </c>
      <c r="H2555" s="383">
        <v>7234261.4299999997</v>
      </c>
      <c r="I2555" s="1046">
        <v>27621.93</v>
      </c>
      <c r="J2555" s="1047"/>
      <c r="K2555" s="383">
        <v>27621.93</v>
      </c>
      <c r="L2555" s="383">
        <v>7234261.4299999997</v>
      </c>
    </row>
    <row r="2556" spans="2:12">
      <c r="B2556" s="1050"/>
      <c r="C2556" s="1050"/>
      <c r="D2556" s="382" t="s">
        <v>2942</v>
      </c>
      <c r="E2556" s="382" t="s">
        <v>2152</v>
      </c>
      <c r="F2556" s="382" t="s">
        <v>2342</v>
      </c>
      <c r="G2556" s="382" t="s">
        <v>2345</v>
      </c>
      <c r="H2556" s="383">
        <v>6048532.3200000003</v>
      </c>
      <c r="I2556" s="1046">
        <v>26544.89</v>
      </c>
      <c r="J2556" s="1047"/>
      <c r="K2556" s="383">
        <v>26544.89</v>
      </c>
      <c r="L2556" s="383">
        <v>6048532.3200000003</v>
      </c>
    </row>
    <row r="2557" spans="2:12">
      <c r="B2557" s="1050"/>
      <c r="C2557" s="1050"/>
      <c r="D2557" s="382" t="s">
        <v>2942</v>
      </c>
      <c r="E2557" s="382" t="s">
        <v>2152</v>
      </c>
      <c r="F2557" s="382" t="s">
        <v>2342</v>
      </c>
      <c r="G2557" s="382" t="s">
        <v>2346</v>
      </c>
      <c r="H2557" s="383">
        <v>4269763.33</v>
      </c>
      <c r="I2557" s="1046">
        <v>38343.040000000001</v>
      </c>
      <c r="J2557" s="1047"/>
      <c r="K2557" s="383">
        <v>38343.040000000001</v>
      </c>
      <c r="L2557" s="383">
        <v>4269763.33</v>
      </c>
    </row>
    <row r="2558" spans="2:12">
      <c r="B2558" s="1050"/>
      <c r="C2558" s="1050"/>
      <c r="D2558" s="382" t="s">
        <v>2942</v>
      </c>
      <c r="E2558" s="382" t="s">
        <v>2152</v>
      </c>
      <c r="F2558" s="382" t="s">
        <v>2342</v>
      </c>
      <c r="G2558" s="382" t="s">
        <v>2347</v>
      </c>
      <c r="H2558" s="383">
        <v>13508683.92</v>
      </c>
      <c r="I2558" s="1046">
        <v>84879.3</v>
      </c>
      <c r="J2558" s="1047"/>
      <c r="K2558" s="383">
        <v>84879.3</v>
      </c>
      <c r="L2558" s="383">
        <v>13508683.92</v>
      </c>
    </row>
    <row r="2559" spans="2:12">
      <c r="B2559" s="1050"/>
      <c r="C2559" s="1050"/>
      <c r="D2559" s="382" t="s">
        <v>2942</v>
      </c>
      <c r="E2559" s="382" t="s">
        <v>2152</v>
      </c>
      <c r="F2559" s="382" t="s">
        <v>2342</v>
      </c>
      <c r="G2559" s="382" t="s">
        <v>2348</v>
      </c>
      <c r="H2559" s="383">
        <v>7597180.7000000002</v>
      </c>
      <c r="I2559" s="1046">
        <v>345831.98</v>
      </c>
      <c r="J2559" s="1047"/>
      <c r="K2559" s="383">
        <v>345831.98</v>
      </c>
      <c r="L2559" s="383">
        <v>7597180.7000000002</v>
      </c>
    </row>
    <row r="2560" spans="2:12">
      <c r="B2560" s="1050"/>
      <c r="C2560" s="1050"/>
      <c r="D2560" s="382" t="s">
        <v>2942</v>
      </c>
      <c r="E2560" s="382" t="s">
        <v>2152</v>
      </c>
      <c r="F2560" s="382" t="s">
        <v>2342</v>
      </c>
      <c r="G2560" s="382" t="s">
        <v>2349</v>
      </c>
      <c r="H2560" s="383">
        <v>12843201.710000001</v>
      </c>
      <c r="I2560" s="1046">
        <v>34402.019999999997</v>
      </c>
      <c r="J2560" s="1047"/>
      <c r="K2560" s="383">
        <v>34402.019999999997</v>
      </c>
      <c r="L2560" s="383">
        <v>12843201.710000001</v>
      </c>
    </row>
    <row r="2561" spans="2:12">
      <c r="B2561" s="1050"/>
      <c r="C2561" s="1050"/>
      <c r="D2561" s="382" t="s">
        <v>2942</v>
      </c>
      <c r="E2561" s="382" t="s">
        <v>2152</v>
      </c>
      <c r="F2561" s="382" t="s">
        <v>2342</v>
      </c>
      <c r="G2561" s="382" t="s">
        <v>2350</v>
      </c>
      <c r="H2561" s="383">
        <v>10861950.73</v>
      </c>
      <c r="I2561" s="1046">
        <v>100389.29</v>
      </c>
      <c r="J2561" s="1047"/>
      <c r="K2561" s="383">
        <v>100389.29</v>
      </c>
      <c r="L2561" s="383">
        <v>10861950.73</v>
      </c>
    </row>
    <row r="2562" spans="2:12">
      <c r="B2562" s="1050"/>
      <c r="C2562" s="1050"/>
      <c r="D2562" s="382" t="s">
        <v>2942</v>
      </c>
      <c r="E2562" s="382" t="s">
        <v>2152</v>
      </c>
      <c r="F2562" s="382" t="s">
        <v>2342</v>
      </c>
      <c r="G2562" s="382" t="s">
        <v>2351</v>
      </c>
      <c r="H2562" s="383">
        <v>5775536.9199999999</v>
      </c>
      <c r="I2562" s="1046">
        <v>439679.17</v>
      </c>
      <c r="J2562" s="1047"/>
      <c r="K2562" s="383">
        <v>439679.17</v>
      </c>
      <c r="L2562" s="383">
        <v>5775536.9199999999</v>
      </c>
    </row>
    <row r="2563" spans="2:12">
      <c r="B2563" s="1050"/>
      <c r="C2563" s="1050"/>
      <c r="D2563" s="382" t="s">
        <v>2942</v>
      </c>
      <c r="E2563" s="382" t="s">
        <v>2152</v>
      </c>
      <c r="F2563" s="382" t="s">
        <v>2342</v>
      </c>
      <c r="G2563" s="382" t="s">
        <v>2352</v>
      </c>
      <c r="H2563" s="383">
        <v>5901378.71</v>
      </c>
      <c r="I2563" s="1046">
        <v>22232.53</v>
      </c>
      <c r="J2563" s="1047"/>
      <c r="K2563" s="383">
        <v>22232.53</v>
      </c>
      <c r="L2563" s="383">
        <v>5901378.71</v>
      </c>
    </row>
    <row r="2564" spans="2:12">
      <c r="B2564" s="1050"/>
      <c r="C2564" s="1050"/>
      <c r="D2564" s="382" t="s">
        <v>2942</v>
      </c>
      <c r="E2564" s="382" t="s">
        <v>2152</v>
      </c>
      <c r="F2564" s="382" t="s">
        <v>2342</v>
      </c>
      <c r="G2564" s="382" t="s">
        <v>2353</v>
      </c>
      <c r="H2564" s="383">
        <v>6692434.7199999997</v>
      </c>
      <c r="I2564" s="1046">
        <v>369166.58</v>
      </c>
      <c r="J2564" s="1047"/>
      <c r="K2564" s="383">
        <v>369166.58</v>
      </c>
      <c r="L2564" s="383">
        <v>6692434.7199999997</v>
      </c>
    </row>
    <row r="2565" spans="2:12">
      <c r="B2565" s="1050"/>
      <c r="C2565" s="1050"/>
      <c r="D2565" s="382" t="s">
        <v>2942</v>
      </c>
      <c r="E2565" s="382" t="s">
        <v>2152</v>
      </c>
      <c r="F2565" s="382" t="s">
        <v>2342</v>
      </c>
      <c r="G2565" s="382" t="s">
        <v>405</v>
      </c>
      <c r="H2565" s="383">
        <v>3339995.83</v>
      </c>
      <c r="I2565" s="1046">
        <v>13240.02</v>
      </c>
      <c r="J2565" s="1047"/>
      <c r="K2565" s="383">
        <v>13240.02</v>
      </c>
      <c r="L2565" s="383">
        <v>3339995.83</v>
      </c>
    </row>
    <row r="2566" spans="2:12">
      <c r="B2566" s="1050"/>
      <c r="C2566" s="1050"/>
      <c r="D2566" s="382" t="s">
        <v>2942</v>
      </c>
      <c r="E2566" s="382" t="s">
        <v>2152</v>
      </c>
      <c r="F2566" s="382" t="s">
        <v>2342</v>
      </c>
      <c r="G2566" s="382" t="s">
        <v>2354</v>
      </c>
      <c r="H2566" s="383">
        <v>0</v>
      </c>
      <c r="I2566" s="1046">
        <v>2050</v>
      </c>
      <c r="J2566" s="1047"/>
      <c r="K2566" s="383">
        <v>2050</v>
      </c>
      <c r="L2566" s="383">
        <v>0</v>
      </c>
    </row>
    <row r="2567" spans="2:12">
      <c r="B2567" s="1050"/>
      <c r="C2567" s="1050"/>
      <c r="D2567" s="382" t="s">
        <v>2942</v>
      </c>
      <c r="E2567" s="382" t="s">
        <v>2152</v>
      </c>
      <c r="F2567" s="382" t="s">
        <v>2342</v>
      </c>
      <c r="G2567" s="382" t="s">
        <v>2355</v>
      </c>
      <c r="H2567" s="383">
        <v>-88617856.829999998</v>
      </c>
      <c r="I2567" s="1046">
        <v>0</v>
      </c>
      <c r="J2567" s="1047"/>
      <c r="K2567" s="383">
        <v>0</v>
      </c>
      <c r="L2567" s="383">
        <v>-88617856.829999998</v>
      </c>
    </row>
    <row r="2568" spans="2:12">
      <c r="B2568" s="1050"/>
      <c r="C2568" s="1050"/>
      <c r="D2568" s="382" t="s">
        <v>2943</v>
      </c>
      <c r="E2568" s="382" t="s">
        <v>2153</v>
      </c>
      <c r="F2568" s="382" t="s">
        <v>2342</v>
      </c>
      <c r="G2568" s="382" t="s">
        <v>2343</v>
      </c>
      <c r="H2568" s="383">
        <v>1295.32</v>
      </c>
      <c r="I2568" s="1046">
        <v>121</v>
      </c>
      <c r="J2568" s="1047"/>
      <c r="K2568" s="383">
        <v>121</v>
      </c>
      <c r="L2568" s="383">
        <v>1295.32</v>
      </c>
    </row>
    <row r="2569" spans="2:12">
      <c r="B2569" s="1050"/>
      <c r="C2569" s="1050"/>
      <c r="D2569" s="382" t="s">
        <v>2943</v>
      </c>
      <c r="E2569" s="382" t="s">
        <v>2153</v>
      </c>
      <c r="F2569" s="382" t="s">
        <v>2342</v>
      </c>
      <c r="G2569" s="382" t="s">
        <v>2344</v>
      </c>
      <c r="H2569" s="383">
        <v>10</v>
      </c>
      <c r="I2569" s="1046">
        <v>0</v>
      </c>
      <c r="J2569" s="1047"/>
      <c r="K2569" s="383">
        <v>0</v>
      </c>
      <c r="L2569" s="383">
        <v>10</v>
      </c>
    </row>
    <row r="2570" spans="2:12">
      <c r="B2570" s="1050"/>
      <c r="C2570" s="1050"/>
      <c r="D2570" s="382" t="s">
        <v>2943</v>
      </c>
      <c r="E2570" s="382" t="s">
        <v>2153</v>
      </c>
      <c r="F2570" s="382" t="s">
        <v>2342</v>
      </c>
      <c r="G2570" s="382" t="s">
        <v>2347</v>
      </c>
      <c r="H2570" s="383">
        <v>0</v>
      </c>
      <c r="I2570" s="1046">
        <v>0</v>
      </c>
      <c r="J2570" s="1047"/>
      <c r="K2570" s="383">
        <v>0</v>
      </c>
      <c r="L2570" s="383">
        <v>0</v>
      </c>
    </row>
    <row r="2571" spans="2:12">
      <c r="B2571" s="1050"/>
      <c r="C2571" s="1050"/>
      <c r="D2571" s="382" t="s">
        <v>2943</v>
      </c>
      <c r="E2571" s="382" t="s">
        <v>2153</v>
      </c>
      <c r="F2571" s="382" t="s">
        <v>2342</v>
      </c>
      <c r="G2571" s="382" t="s">
        <v>2348</v>
      </c>
      <c r="H2571" s="383">
        <v>0.34</v>
      </c>
      <c r="I2571" s="1046">
        <v>0</v>
      </c>
      <c r="J2571" s="1047"/>
      <c r="K2571" s="383">
        <v>0</v>
      </c>
      <c r="L2571" s="383">
        <v>0.34</v>
      </c>
    </row>
    <row r="2572" spans="2:12">
      <c r="B2572" s="1050"/>
      <c r="C2572" s="1050"/>
      <c r="D2572" s="382" t="s">
        <v>2943</v>
      </c>
      <c r="E2572" s="382" t="s">
        <v>2153</v>
      </c>
      <c r="F2572" s="382" t="s">
        <v>2342</v>
      </c>
      <c r="G2572" s="382" t="s">
        <v>2349</v>
      </c>
      <c r="H2572" s="383">
        <v>1099.02</v>
      </c>
      <c r="I2572" s="1046">
        <v>1065.24</v>
      </c>
      <c r="J2572" s="1047"/>
      <c r="K2572" s="383">
        <v>1069.24</v>
      </c>
      <c r="L2572" s="383">
        <v>1103.02</v>
      </c>
    </row>
    <row r="2573" spans="2:12">
      <c r="B2573" s="1050"/>
      <c r="C2573" s="1050"/>
      <c r="D2573" s="382" t="s">
        <v>2943</v>
      </c>
      <c r="E2573" s="382" t="s">
        <v>2153</v>
      </c>
      <c r="F2573" s="382" t="s">
        <v>2342</v>
      </c>
      <c r="G2573" s="382" t="s">
        <v>2350</v>
      </c>
      <c r="H2573" s="383">
        <v>726.26</v>
      </c>
      <c r="I2573" s="1046">
        <v>463.3</v>
      </c>
      <c r="J2573" s="1047"/>
      <c r="K2573" s="383">
        <v>0</v>
      </c>
      <c r="L2573" s="383">
        <v>262.95999999999998</v>
      </c>
    </row>
    <row r="2574" spans="2:12">
      <c r="B2574" s="1050"/>
      <c r="C2574" s="1050"/>
      <c r="D2574" s="382" t="s">
        <v>2943</v>
      </c>
      <c r="E2574" s="382" t="s">
        <v>2153</v>
      </c>
      <c r="F2574" s="382" t="s">
        <v>2342</v>
      </c>
      <c r="G2574" s="382" t="s">
        <v>2351</v>
      </c>
      <c r="H2574" s="383">
        <v>0.67</v>
      </c>
      <c r="I2574" s="1046">
        <v>480</v>
      </c>
      <c r="J2574" s="1047"/>
      <c r="K2574" s="383">
        <v>480.2</v>
      </c>
      <c r="L2574" s="383">
        <v>0.87</v>
      </c>
    </row>
    <row r="2575" spans="2:12">
      <c r="B2575" s="1050"/>
      <c r="C2575" s="1050"/>
      <c r="D2575" s="382" t="s">
        <v>2943</v>
      </c>
      <c r="E2575" s="382" t="s">
        <v>2153</v>
      </c>
      <c r="F2575" s="382" t="s">
        <v>2342</v>
      </c>
      <c r="G2575" s="382" t="s">
        <v>2352</v>
      </c>
      <c r="H2575" s="383">
        <v>99.6</v>
      </c>
      <c r="I2575" s="1046">
        <v>0</v>
      </c>
      <c r="J2575" s="1047"/>
      <c r="K2575" s="383">
        <v>35</v>
      </c>
      <c r="L2575" s="383">
        <v>134.6</v>
      </c>
    </row>
    <row r="2576" spans="2:12">
      <c r="B2576" s="1050"/>
      <c r="C2576" s="1050"/>
      <c r="D2576" s="382" t="s">
        <v>2943</v>
      </c>
      <c r="E2576" s="382" t="s">
        <v>2153</v>
      </c>
      <c r="F2576" s="382" t="s">
        <v>2342</v>
      </c>
      <c r="G2576" s="382" t="s">
        <v>2353</v>
      </c>
      <c r="H2576" s="383">
        <v>18</v>
      </c>
      <c r="I2576" s="1046">
        <v>4</v>
      </c>
      <c r="J2576" s="1047"/>
      <c r="K2576" s="383">
        <v>0</v>
      </c>
      <c r="L2576" s="383">
        <v>14</v>
      </c>
    </row>
    <row r="2577" spans="2:12">
      <c r="B2577" s="1050"/>
      <c r="C2577" s="1050"/>
      <c r="D2577" s="382" t="s">
        <v>2943</v>
      </c>
      <c r="E2577" s="382" t="s">
        <v>2153</v>
      </c>
      <c r="F2577" s="382" t="s">
        <v>2342</v>
      </c>
      <c r="G2577" s="382" t="s">
        <v>2354</v>
      </c>
      <c r="H2577" s="383">
        <v>0.2</v>
      </c>
      <c r="I2577" s="1046">
        <v>0</v>
      </c>
      <c r="J2577" s="1047"/>
      <c r="K2577" s="383">
        <v>0</v>
      </c>
      <c r="L2577" s="383">
        <v>0.2</v>
      </c>
    </row>
    <row r="2578" spans="2:12">
      <c r="B2578" s="1050"/>
      <c r="C2578" s="1050"/>
      <c r="D2578" s="382" t="s">
        <v>2943</v>
      </c>
      <c r="E2578" s="382" t="s">
        <v>2153</v>
      </c>
      <c r="F2578" s="382" t="s">
        <v>2342</v>
      </c>
      <c r="G2578" s="382" t="s">
        <v>2355</v>
      </c>
      <c r="H2578" s="383">
        <v>2037.02</v>
      </c>
      <c r="I2578" s="1046">
        <v>4863.12</v>
      </c>
      <c r="J2578" s="1047"/>
      <c r="K2578" s="383">
        <v>0</v>
      </c>
      <c r="L2578" s="383">
        <v>-2826.1</v>
      </c>
    </row>
    <row r="2579" spans="2:12">
      <c r="B2579" s="1050"/>
      <c r="C2579" s="1050"/>
      <c r="D2579" s="382" t="s">
        <v>2944</v>
      </c>
      <c r="E2579" s="382" t="s">
        <v>2154</v>
      </c>
      <c r="F2579" s="382" t="s">
        <v>2342</v>
      </c>
      <c r="G2579" s="382" t="s">
        <v>2343</v>
      </c>
      <c r="H2579" s="383">
        <v>7262.42</v>
      </c>
      <c r="I2579" s="1046">
        <v>0</v>
      </c>
      <c r="J2579" s="1047"/>
      <c r="K2579" s="383">
        <v>10342.43</v>
      </c>
      <c r="L2579" s="383">
        <v>17604.849999999999</v>
      </c>
    </row>
    <row r="2580" spans="2:12">
      <c r="B2580" s="1050"/>
      <c r="C2580" s="1050"/>
      <c r="D2580" s="382" t="s">
        <v>2944</v>
      </c>
      <c r="E2580" s="382" t="s">
        <v>2154</v>
      </c>
      <c r="F2580" s="382" t="s">
        <v>2342</v>
      </c>
      <c r="G2580" s="382" t="s">
        <v>2344</v>
      </c>
      <c r="H2580" s="383">
        <v>3243.97</v>
      </c>
      <c r="I2580" s="1046">
        <v>0</v>
      </c>
      <c r="J2580" s="1047"/>
      <c r="K2580" s="383">
        <v>388.24</v>
      </c>
      <c r="L2580" s="383">
        <v>3632.21</v>
      </c>
    </row>
    <row r="2581" spans="2:12">
      <c r="B2581" s="1050"/>
      <c r="C2581" s="1050"/>
      <c r="D2581" s="382" t="s">
        <v>2944</v>
      </c>
      <c r="E2581" s="382" t="s">
        <v>2154</v>
      </c>
      <c r="F2581" s="382" t="s">
        <v>2342</v>
      </c>
      <c r="G2581" s="382" t="s">
        <v>2345</v>
      </c>
      <c r="H2581" s="383">
        <v>1797.19</v>
      </c>
      <c r="I2581" s="1046">
        <v>0</v>
      </c>
      <c r="J2581" s="1047"/>
      <c r="K2581" s="383">
        <v>1645.41</v>
      </c>
      <c r="L2581" s="383">
        <v>3442.6</v>
      </c>
    </row>
    <row r="2582" spans="2:12">
      <c r="B2582" s="1050"/>
      <c r="C2582" s="1050"/>
      <c r="D2582" s="382" t="s">
        <v>2944</v>
      </c>
      <c r="E2582" s="382" t="s">
        <v>2154</v>
      </c>
      <c r="F2582" s="382" t="s">
        <v>2342</v>
      </c>
      <c r="G2582" s="382" t="s">
        <v>2346</v>
      </c>
      <c r="H2582" s="383">
        <v>685.98</v>
      </c>
      <c r="I2582" s="1046">
        <v>0</v>
      </c>
      <c r="J2582" s="1047"/>
      <c r="K2582" s="383">
        <v>282.39</v>
      </c>
      <c r="L2582" s="383">
        <v>968.37</v>
      </c>
    </row>
    <row r="2583" spans="2:12">
      <c r="B2583" s="1050"/>
      <c r="C2583" s="1050"/>
      <c r="D2583" s="382" t="s">
        <v>2944</v>
      </c>
      <c r="E2583" s="382" t="s">
        <v>2154</v>
      </c>
      <c r="F2583" s="382" t="s">
        <v>2342</v>
      </c>
      <c r="G2583" s="382" t="s">
        <v>2347</v>
      </c>
      <c r="H2583" s="383">
        <v>8376.9599999999991</v>
      </c>
      <c r="I2583" s="1046">
        <v>0</v>
      </c>
      <c r="J2583" s="1047"/>
      <c r="K2583" s="383">
        <v>16295.56</v>
      </c>
      <c r="L2583" s="383">
        <v>24672.52</v>
      </c>
    </row>
    <row r="2584" spans="2:12">
      <c r="B2584" s="1050"/>
      <c r="C2584" s="1050"/>
      <c r="D2584" s="382" t="s">
        <v>2944</v>
      </c>
      <c r="E2584" s="382" t="s">
        <v>2154</v>
      </c>
      <c r="F2584" s="382" t="s">
        <v>2342</v>
      </c>
      <c r="G2584" s="382" t="s">
        <v>2348</v>
      </c>
      <c r="H2584" s="383">
        <v>3203.45</v>
      </c>
      <c r="I2584" s="1046">
        <v>0</v>
      </c>
      <c r="J2584" s="1047"/>
      <c r="K2584" s="383">
        <v>7579.07</v>
      </c>
      <c r="L2584" s="383">
        <v>10782.52</v>
      </c>
    </row>
    <row r="2585" spans="2:12">
      <c r="B2585" s="1050"/>
      <c r="C2585" s="1050"/>
      <c r="D2585" s="382" t="s">
        <v>2944</v>
      </c>
      <c r="E2585" s="382" t="s">
        <v>2154</v>
      </c>
      <c r="F2585" s="382" t="s">
        <v>2342</v>
      </c>
      <c r="G2585" s="382" t="s">
        <v>2349</v>
      </c>
      <c r="H2585" s="383">
        <v>9644.82</v>
      </c>
      <c r="I2585" s="1046">
        <v>0</v>
      </c>
      <c r="J2585" s="1047"/>
      <c r="K2585" s="383">
        <v>5468.68</v>
      </c>
      <c r="L2585" s="383">
        <v>15113.5</v>
      </c>
    </row>
    <row r="2586" spans="2:12">
      <c r="B2586" s="1050"/>
      <c r="C2586" s="1050"/>
      <c r="D2586" s="382" t="s">
        <v>2944</v>
      </c>
      <c r="E2586" s="382" t="s">
        <v>2154</v>
      </c>
      <c r="F2586" s="382" t="s">
        <v>2342</v>
      </c>
      <c r="G2586" s="382" t="s">
        <v>2350</v>
      </c>
      <c r="H2586" s="383">
        <v>3990.85</v>
      </c>
      <c r="I2586" s="1046">
        <v>0</v>
      </c>
      <c r="J2586" s="1047"/>
      <c r="K2586" s="383">
        <v>3809.36</v>
      </c>
      <c r="L2586" s="383">
        <v>7800.21</v>
      </c>
    </row>
    <row r="2587" spans="2:12">
      <c r="B2587" s="1050"/>
      <c r="C2587" s="1050"/>
      <c r="D2587" s="382" t="s">
        <v>2944</v>
      </c>
      <c r="E2587" s="382" t="s">
        <v>2154</v>
      </c>
      <c r="F2587" s="382" t="s">
        <v>2342</v>
      </c>
      <c r="G2587" s="382" t="s">
        <v>2351</v>
      </c>
      <c r="H2587" s="383">
        <v>3393.41</v>
      </c>
      <c r="I2587" s="1046">
        <v>0</v>
      </c>
      <c r="J2587" s="1047"/>
      <c r="K2587" s="383">
        <v>811.38</v>
      </c>
      <c r="L2587" s="383">
        <v>4204.79</v>
      </c>
    </row>
    <row r="2588" spans="2:12">
      <c r="B2588" s="1050"/>
      <c r="C2588" s="1050"/>
      <c r="D2588" s="382" t="s">
        <v>2944</v>
      </c>
      <c r="E2588" s="382" t="s">
        <v>2154</v>
      </c>
      <c r="F2588" s="382" t="s">
        <v>2342</v>
      </c>
      <c r="G2588" s="382" t="s">
        <v>2352</v>
      </c>
      <c r="H2588" s="383">
        <v>705.12</v>
      </c>
      <c r="I2588" s="1046">
        <v>0</v>
      </c>
      <c r="J2588" s="1047"/>
      <c r="K2588" s="383">
        <v>805.49</v>
      </c>
      <c r="L2588" s="383">
        <v>1510.61</v>
      </c>
    </row>
    <row r="2589" spans="2:12">
      <c r="B2589" s="1050"/>
      <c r="C2589" s="1050"/>
      <c r="D2589" s="382" t="s">
        <v>2944</v>
      </c>
      <c r="E2589" s="382" t="s">
        <v>2154</v>
      </c>
      <c r="F2589" s="382" t="s">
        <v>2342</v>
      </c>
      <c r="G2589" s="382" t="s">
        <v>2353</v>
      </c>
      <c r="H2589" s="383">
        <v>1899.79</v>
      </c>
      <c r="I2589" s="1046">
        <v>0</v>
      </c>
      <c r="J2589" s="1047"/>
      <c r="K2589" s="383">
        <v>2167.9699999999998</v>
      </c>
      <c r="L2589" s="383">
        <v>4067.76</v>
      </c>
    </row>
    <row r="2590" spans="2:12">
      <c r="B2590" s="1050"/>
      <c r="C2590" s="1050"/>
      <c r="D2590" s="382" t="s">
        <v>2944</v>
      </c>
      <c r="E2590" s="382" t="s">
        <v>2154</v>
      </c>
      <c r="F2590" s="382" t="s">
        <v>2342</v>
      </c>
      <c r="G2590" s="382" t="s">
        <v>405</v>
      </c>
      <c r="H2590" s="383">
        <v>675.71</v>
      </c>
      <c r="I2590" s="1046">
        <v>0</v>
      </c>
      <c r="J2590" s="1047"/>
      <c r="K2590" s="383">
        <v>697.64</v>
      </c>
      <c r="L2590" s="383">
        <v>1373.35</v>
      </c>
    </row>
    <row r="2591" spans="2:12">
      <c r="B2591" s="1050"/>
      <c r="C2591" s="1050"/>
      <c r="D2591" s="382" t="s">
        <v>2944</v>
      </c>
      <c r="E2591" s="382" t="s">
        <v>2154</v>
      </c>
      <c r="F2591" s="382" t="s">
        <v>2342</v>
      </c>
      <c r="G2591" s="382" t="s">
        <v>2355</v>
      </c>
      <c r="H2591" s="383">
        <v>1249.33</v>
      </c>
      <c r="I2591" s="1046">
        <v>0</v>
      </c>
      <c r="J2591" s="1047"/>
      <c r="K2591" s="383">
        <v>9650.94</v>
      </c>
      <c r="L2591" s="383">
        <v>10900.27</v>
      </c>
    </row>
    <row r="2592" spans="2:12">
      <c r="B2592" s="1050"/>
      <c r="C2592" s="1050"/>
      <c r="D2592" s="382" t="s">
        <v>2945</v>
      </c>
      <c r="E2592" s="382" t="s">
        <v>2155</v>
      </c>
      <c r="F2592" s="382" t="s">
        <v>2342</v>
      </c>
      <c r="G2592" s="382" t="s">
        <v>2343</v>
      </c>
      <c r="H2592" s="383">
        <v>0</v>
      </c>
      <c r="I2592" s="1046">
        <v>0</v>
      </c>
      <c r="J2592" s="1047"/>
      <c r="K2592" s="383">
        <v>0</v>
      </c>
      <c r="L2592" s="383">
        <v>0</v>
      </c>
    </row>
    <row r="2593" spans="2:12">
      <c r="B2593" s="1050"/>
      <c r="C2593" s="1050"/>
      <c r="D2593" s="382" t="s">
        <v>2945</v>
      </c>
      <c r="E2593" s="382" t="s">
        <v>2155</v>
      </c>
      <c r="F2593" s="382" t="s">
        <v>2342</v>
      </c>
      <c r="G2593" s="382" t="s">
        <v>2355</v>
      </c>
      <c r="H2593" s="383">
        <v>1000000</v>
      </c>
      <c r="I2593" s="1046">
        <v>1000000</v>
      </c>
      <c r="J2593" s="1047"/>
      <c r="K2593" s="383">
        <v>0</v>
      </c>
      <c r="L2593" s="383">
        <v>0</v>
      </c>
    </row>
    <row r="2594" spans="2:12">
      <c r="B2594" s="1050"/>
      <c r="C2594" s="1050"/>
      <c r="D2594" s="382" t="s">
        <v>2946</v>
      </c>
      <c r="E2594" s="382" t="s">
        <v>2156</v>
      </c>
      <c r="F2594" s="382" t="s">
        <v>2342</v>
      </c>
      <c r="G2594" s="382" t="s">
        <v>2343</v>
      </c>
      <c r="H2594" s="383">
        <v>62414.42</v>
      </c>
      <c r="I2594" s="1046">
        <v>21291.119999999999</v>
      </c>
      <c r="J2594" s="1047"/>
      <c r="K2594" s="383">
        <v>16261.56</v>
      </c>
      <c r="L2594" s="383">
        <v>57384.86</v>
      </c>
    </row>
    <row r="2595" spans="2:12">
      <c r="B2595" s="1050"/>
      <c r="C2595" s="1050"/>
      <c r="D2595" s="382" t="s">
        <v>2946</v>
      </c>
      <c r="E2595" s="382" t="s">
        <v>2156</v>
      </c>
      <c r="F2595" s="382" t="s">
        <v>2342</v>
      </c>
      <c r="G2595" s="382" t="s">
        <v>2344</v>
      </c>
      <c r="H2595" s="383">
        <v>63295.56</v>
      </c>
      <c r="I2595" s="1046">
        <v>10224.76</v>
      </c>
      <c r="J2595" s="1047"/>
      <c r="K2595" s="383">
        <v>3887.09</v>
      </c>
      <c r="L2595" s="383">
        <v>56957.89</v>
      </c>
    </row>
    <row r="2596" spans="2:12">
      <c r="B2596" s="1050"/>
      <c r="C2596" s="1050"/>
      <c r="D2596" s="382" t="s">
        <v>2946</v>
      </c>
      <c r="E2596" s="382" t="s">
        <v>2156</v>
      </c>
      <c r="F2596" s="382" t="s">
        <v>2342</v>
      </c>
      <c r="G2596" s="382" t="s">
        <v>2345</v>
      </c>
      <c r="H2596" s="383">
        <v>22321.81</v>
      </c>
      <c r="I2596" s="1046">
        <v>3782.22</v>
      </c>
      <c r="J2596" s="1047"/>
      <c r="K2596" s="383">
        <v>2582.67</v>
      </c>
      <c r="L2596" s="383">
        <v>21122.26</v>
      </c>
    </row>
    <row r="2597" spans="2:12">
      <c r="B2597" s="1050"/>
      <c r="C2597" s="1050"/>
      <c r="D2597" s="382" t="s">
        <v>2946</v>
      </c>
      <c r="E2597" s="382" t="s">
        <v>2156</v>
      </c>
      <c r="F2597" s="382" t="s">
        <v>2342</v>
      </c>
      <c r="G2597" s="382" t="s">
        <v>2346</v>
      </c>
      <c r="H2597" s="383">
        <v>0</v>
      </c>
      <c r="I2597" s="1046">
        <v>2866.52</v>
      </c>
      <c r="J2597" s="1047"/>
      <c r="K2597" s="383">
        <v>2866.52</v>
      </c>
      <c r="L2597" s="383">
        <v>0</v>
      </c>
    </row>
    <row r="2598" spans="2:12">
      <c r="B2598" s="1050"/>
      <c r="C2598" s="1050"/>
      <c r="D2598" s="382" t="s">
        <v>2946</v>
      </c>
      <c r="E2598" s="382" t="s">
        <v>2156</v>
      </c>
      <c r="F2598" s="382" t="s">
        <v>2342</v>
      </c>
      <c r="G2598" s="382" t="s">
        <v>2347</v>
      </c>
      <c r="H2598" s="383">
        <v>116383.62</v>
      </c>
      <c r="I2598" s="1046">
        <v>28844.39</v>
      </c>
      <c r="J2598" s="1047"/>
      <c r="K2598" s="383">
        <v>28848.57</v>
      </c>
      <c r="L2598" s="383">
        <v>116387.8</v>
      </c>
    </row>
    <row r="2599" spans="2:12">
      <c r="B2599" s="1050"/>
      <c r="C2599" s="1050"/>
      <c r="D2599" s="382" t="s">
        <v>2946</v>
      </c>
      <c r="E2599" s="382" t="s">
        <v>2156</v>
      </c>
      <c r="F2599" s="382" t="s">
        <v>2342</v>
      </c>
      <c r="G2599" s="382" t="s">
        <v>2348</v>
      </c>
      <c r="H2599" s="383">
        <v>88969.72</v>
      </c>
      <c r="I2599" s="1046">
        <v>44961.08</v>
      </c>
      <c r="J2599" s="1047"/>
      <c r="K2599" s="383">
        <v>50572.09</v>
      </c>
      <c r="L2599" s="383">
        <v>94580.73</v>
      </c>
    </row>
    <row r="2600" spans="2:12">
      <c r="B2600" s="1050"/>
      <c r="C2600" s="1050"/>
      <c r="D2600" s="382" t="s">
        <v>2946</v>
      </c>
      <c r="E2600" s="382" t="s">
        <v>2156</v>
      </c>
      <c r="F2600" s="382" t="s">
        <v>2342</v>
      </c>
      <c r="G2600" s="382" t="s">
        <v>2349</v>
      </c>
      <c r="H2600" s="383">
        <v>48455.58</v>
      </c>
      <c r="I2600" s="1046">
        <v>23734.48</v>
      </c>
      <c r="J2600" s="1047"/>
      <c r="K2600" s="383">
        <v>29969.54</v>
      </c>
      <c r="L2600" s="383">
        <v>54690.64</v>
      </c>
    </row>
    <row r="2601" spans="2:12">
      <c r="B2601" s="1050"/>
      <c r="C2601" s="1050"/>
      <c r="D2601" s="382" t="s">
        <v>2946</v>
      </c>
      <c r="E2601" s="382" t="s">
        <v>2156</v>
      </c>
      <c r="F2601" s="382" t="s">
        <v>2342</v>
      </c>
      <c r="G2601" s="382" t="s">
        <v>2350</v>
      </c>
      <c r="H2601" s="383">
        <v>160024.48000000001</v>
      </c>
      <c r="I2601" s="1046">
        <v>10668.74</v>
      </c>
      <c r="J2601" s="1047"/>
      <c r="K2601" s="383">
        <v>13869.48</v>
      </c>
      <c r="L2601" s="383">
        <v>163225.22</v>
      </c>
    </row>
    <row r="2602" spans="2:12">
      <c r="B2602" s="1050"/>
      <c r="C2602" s="1050"/>
      <c r="D2602" s="382" t="s">
        <v>2946</v>
      </c>
      <c r="E2602" s="382" t="s">
        <v>2156</v>
      </c>
      <c r="F2602" s="382" t="s">
        <v>2342</v>
      </c>
      <c r="G2602" s="382" t="s">
        <v>2351</v>
      </c>
      <c r="H2602" s="383">
        <v>41247.519999999997</v>
      </c>
      <c r="I2602" s="1046">
        <v>11912.21</v>
      </c>
      <c r="J2602" s="1047"/>
      <c r="K2602" s="383">
        <v>19087.150000000001</v>
      </c>
      <c r="L2602" s="383">
        <v>48422.46</v>
      </c>
    </row>
    <row r="2603" spans="2:12">
      <c r="B2603" s="1050"/>
      <c r="C2603" s="1050"/>
      <c r="D2603" s="382" t="s">
        <v>2946</v>
      </c>
      <c r="E2603" s="382" t="s">
        <v>2156</v>
      </c>
      <c r="F2603" s="382" t="s">
        <v>2342</v>
      </c>
      <c r="G2603" s="382" t="s">
        <v>2352</v>
      </c>
      <c r="H2603" s="383">
        <v>31172.01</v>
      </c>
      <c r="I2603" s="1046">
        <v>15863.22</v>
      </c>
      <c r="J2603" s="1047"/>
      <c r="K2603" s="383">
        <v>89399.31</v>
      </c>
      <c r="L2603" s="383">
        <v>104708.1</v>
      </c>
    </row>
    <row r="2604" spans="2:12">
      <c r="B2604" s="1050"/>
      <c r="C2604" s="1050"/>
      <c r="D2604" s="382" t="s">
        <v>2946</v>
      </c>
      <c r="E2604" s="382" t="s">
        <v>2156</v>
      </c>
      <c r="F2604" s="382" t="s">
        <v>2342</v>
      </c>
      <c r="G2604" s="382" t="s">
        <v>2353</v>
      </c>
      <c r="H2604" s="383">
        <v>80806.320000000007</v>
      </c>
      <c r="I2604" s="1046">
        <v>53205.48</v>
      </c>
      <c r="J2604" s="1047"/>
      <c r="K2604" s="383">
        <v>1261.69</v>
      </c>
      <c r="L2604" s="383">
        <v>28862.53</v>
      </c>
    </row>
    <row r="2605" spans="2:12">
      <c r="B2605" s="1050"/>
      <c r="C2605" s="1050"/>
      <c r="D2605" s="382" t="s">
        <v>2946</v>
      </c>
      <c r="E2605" s="382" t="s">
        <v>2156</v>
      </c>
      <c r="F2605" s="382" t="s">
        <v>2342</v>
      </c>
      <c r="G2605" s="382" t="s">
        <v>405</v>
      </c>
      <c r="H2605" s="383">
        <v>3613.34</v>
      </c>
      <c r="I2605" s="1046">
        <v>1834.65</v>
      </c>
      <c r="J2605" s="1047"/>
      <c r="K2605" s="383">
        <v>1065.3699999999999</v>
      </c>
      <c r="L2605" s="383">
        <v>2844.06</v>
      </c>
    </row>
    <row r="2606" spans="2:12">
      <c r="B2606" s="1050"/>
      <c r="C2606" s="1051"/>
      <c r="D2606" s="359" t="s">
        <v>12</v>
      </c>
      <c r="E2606" s="359" t="s">
        <v>111</v>
      </c>
      <c r="F2606" s="359" t="s">
        <v>111</v>
      </c>
      <c r="G2606" s="359" t="s">
        <v>111</v>
      </c>
      <c r="H2606" s="384">
        <f>SUM(H2551:H2605)</f>
        <v>1770119.81</v>
      </c>
      <c r="I2606" s="1048">
        <v>4913817.96</v>
      </c>
      <c r="J2606" s="1047"/>
      <c r="K2606" s="384">
        <v>4998953.47</v>
      </c>
      <c r="L2606" s="384">
        <f>SUM(L2551:L2605)</f>
        <v>855255.32000000007</v>
      </c>
    </row>
    <row r="2607" spans="2:12">
      <c r="B2607" s="1050"/>
      <c r="C2607" s="1049" t="s">
        <v>2947</v>
      </c>
      <c r="D2607" s="382" t="s">
        <v>2948</v>
      </c>
      <c r="E2607" s="382" t="s">
        <v>2157</v>
      </c>
      <c r="F2607" s="382" t="s">
        <v>2342</v>
      </c>
      <c r="G2607" s="382" t="s">
        <v>2343</v>
      </c>
      <c r="H2607" s="383">
        <v>17631.43</v>
      </c>
      <c r="I2607" s="1046">
        <v>0</v>
      </c>
      <c r="J2607" s="1047"/>
      <c r="K2607" s="383">
        <v>16435.400000000001</v>
      </c>
      <c r="L2607" s="383">
        <v>34066.83</v>
      </c>
    </row>
    <row r="2608" spans="2:12">
      <c r="B2608" s="1050"/>
      <c r="C2608" s="1050"/>
      <c r="D2608" s="382" t="s">
        <v>2948</v>
      </c>
      <c r="E2608" s="382" t="s">
        <v>2157</v>
      </c>
      <c r="F2608" s="382" t="s">
        <v>2342</v>
      </c>
      <c r="G2608" s="382" t="s">
        <v>2344</v>
      </c>
      <c r="H2608" s="383">
        <v>7154.4</v>
      </c>
      <c r="I2608" s="1046">
        <v>136</v>
      </c>
      <c r="J2608" s="1047"/>
      <c r="K2608" s="383">
        <v>5204</v>
      </c>
      <c r="L2608" s="383">
        <v>12222.4</v>
      </c>
    </row>
    <row r="2609" spans="2:12">
      <c r="B2609" s="1050"/>
      <c r="C2609" s="1050"/>
      <c r="D2609" s="382" t="s">
        <v>2948</v>
      </c>
      <c r="E2609" s="382" t="s">
        <v>2157</v>
      </c>
      <c r="F2609" s="382" t="s">
        <v>2342</v>
      </c>
      <c r="G2609" s="382" t="s">
        <v>2345</v>
      </c>
      <c r="H2609" s="383">
        <v>2986</v>
      </c>
      <c r="I2609" s="1046">
        <v>0</v>
      </c>
      <c r="J2609" s="1047"/>
      <c r="K2609" s="383">
        <v>2915.1</v>
      </c>
      <c r="L2609" s="383">
        <v>5901.1</v>
      </c>
    </row>
    <row r="2610" spans="2:12">
      <c r="B2610" s="1050"/>
      <c r="C2610" s="1050"/>
      <c r="D2610" s="382" t="s">
        <v>2948</v>
      </c>
      <c r="E2610" s="382" t="s">
        <v>2157</v>
      </c>
      <c r="F2610" s="382" t="s">
        <v>2342</v>
      </c>
      <c r="G2610" s="382" t="s">
        <v>2346</v>
      </c>
      <c r="H2610" s="383">
        <v>4773.8</v>
      </c>
      <c r="I2610" s="1046">
        <v>0</v>
      </c>
      <c r="J2610" s="1047"/>
      <c r="K2610" s="383">
        <v>828</v>
      </c>
      <c r="L2610" s="383">
        <v>5601.8</v>
      </c>
    </row>
    <row r="2611" spans="2:12">
      <c r="B2611" s="1050"/>
      <c r="C2611" s="1050"/>
      <c r="D2611" s="382" t="s">
        <v>2948</v>
      </c>
      <c r="E2611" s="382" t="s">
        <v>2157</v>
      </c>
      <c r="F2611" s="382" t="s">
        <v>2342</v>
      </c>
      <c r="G2611" s="382" t="s">
        <v>2347</v>
      </c>
      <c r="H2611" s="383">
        <v>10532</v>
      </c>
      <c r="I2611" s="1046">
        <v>0</v>
      </c>
      <c r="J2611" s="1047"/>
      <c r="K2611" s="383">
        <v>8269.1</v>
      </c>
      <c r="L2611" s="383">
        <v>18801.099999999999</v>
      </c>
    </row>
    <row r="2612" spans="2:12">
      <c r="B2612" s="1050"/>
      <c r="C2612" s="1050"/>
      <c r="D2612" s="382" t="s">
        <v>2948</v>
      </c>
      <c r="E2612" s="382" t="s">
        <v>2157</v>
      </c>
      <c r="F2612" s="382" t="s">
        <v>2342</v>
      </c>
      <c r="G2612" s="382" t="s">
        <v>2348</v>
      </c>
      <c r="H2612" s="383">
        <v>18404</v>
      </c>
      <c r="I2612" s="1046">
        <v>1368</v>
      </c>
      <c r="J2612" s="1047"/>
      <c r="K2612" s="383">
        <v>6840</v>
      </c>
      <c r="L2612" s="383">
        <v>23876</v>
      </c>
    </row>
    <row r="2613" spans="2:12">
      <c r="B2613" s="1050"/>
      <c r="C2613" s="1050"/>
      <c r="D2613" s="382" t="s">
        <v>2948</v>
      </c>
      <c r="E2613" s="382" t="s">
        <v>2157</v>
      </c>
      <c r="F2613" s="382" t="s">
        <v>2342</v>
      </c>
      <c r="G2613" s="382" t="s">
        <v>2349</v>
      </c>
      <c r="H2613" s="383">
        <v>13426.1</v>
      </c>
      <c r="I2613" s="1046">
        <v>38</v>
      </c>
      <c r="J2613" s="1047"/>
      <c r="K2613" s="383">
        <v>12174.4</v>
      </c>
      <c r="L2613" s="383">
        <v>25562.5</v>
      </c>
    </row>
    <row r="2614" spans="2:12">
      <c r="B2614" s="1050"/>
      <c r="C2614" s="1050"/>
      <c r="D2614" s="382" t="s">
        <v>2948</v>
      </c>
      <c r="E2614" s="382" t="s">
        <v>2157</v>
      </c>
      <c r="F2614" s="382" t="s">
        <v>2342</v>
      </c>
      <c r="G2614" s="382" t="s">
        <v>2350</v>
      </c>
      <c r="H2614" s="383">
        <v>8933.2000000000007</v>
      </c>
      <c r="I2614" s="1046">
        <v>0</v>
      </c>
      <c r="J2614" s="1047"/>
      <c r="K2614" s="383">
        <v>12406.2</v>
      </c>
      <c r="L2614" s="383">
        <v>21339.4</v>
      </c>
    </row>
    <row r="2615" spans="2:12">
      <c r="B2615" s="1050"/>
      <c r="C2615" s="1050"/>
      <c r="D2615" s="382" t="s">
        <v>2948</v>
      </c>
      <c r="E2615" s="382" t="s">
        <v>2157</v>
      </c>
      <c r="F2615" s="382" t="s">
        <v>2342</v>
      </c>
      <c r="G2615" s="382" t="s">
        <v>2351</v>
      </c>
      <c r="H2615" s="383">
        <v>1060.2</v>
      </c>
      <c r="I2615" s="1046">
        <v>0</v>
      </c>
      <c r="J2615" s="1047"/>
      <c r="K2615" s="383">
        <v>595</v>
      </c>
      <c r="L2615" s="383">
        <v>1655.2</v>
      </c>
    </row>
    <row r="2616" spans="2:12">
      <c r="B2616" s="1050"/>
      <c r="C2616" s="1050"/>
      <c r="D2616" s="382" t="s">
        <v>2948</v>
      </c>
      <c r="E2616" s="382" t="s">
        <v>2157</v>
      </c>
      <c r="F2616" s="382" t="s">
        <v>2342</v>
      </c>
      <c r="G2616" s="382" t="s">
        <v>2352</v>
      </c>
      <c r="H2616" s="383">
        <v>5414.3</v>
      </c>
      <c r="I2616" s="1046">
        <v>0</v>
      </c>
      <c r="J2616" s="1047"/>
      <c r="K2616" s="383">
        <v>3670</v>
      </c>
      <c r="L2616" s="383">
        <v>9084.2999999999993</v>
      </c>
    </row>
    <row r="2617" spans="2:12">
      <c r="B2617" s="1050"/>
      <c r="C2617" s="1050"/>
      <c r="D2617" s="382" t="s">
        <v>2948</v>
      </c>
      <c r="E2617" s="382" t="s">
        <v>2157</v>
      </c>
      <c r="F2617" s="382" t="s">
        <v>2342</v>
      </c>
      <c r="G2617" s="382" t="s">
        <v>2353</v>
      </c>
      <c r="H2617" s="383">
        <v>12935.9</v>
      </c>
      <c r="I2617" s="1046">
        <v>0</v>
      </c>
      <c r="J2617" s="1047"/>
      <c r="K2617" s="383">
        <v>9159.1</v>
      </c>
      <c r="L2617" s="383">
        <v>22095</v>
      </c>
    </row>
    <row r="2618" spans="2:12">
      <c r="B2618" s="1050"/>
      <c r="C2618" s="1050"/>
      <c r="D2618" s="382" t="s">
        <v>2948</v>
      </c>
      <c r="E2618" s="382" t="s">
        <v>2157</v>
      </c>
      <c r="F2618" s="382" t="s">
        <v>2342</v>
      </c>
      <c r="G2618" s="382" t="s">
        <v>405</v>
      </c>
      <c r="H2618" s="383">
        <v>5494.5</v>
      </c>
      <c r="I2618" s="1046">
        <v>0</v>
      </c>
      <c r="J2618" s="1047"/>
      <c r="K2618" s="383">
        <v>6842.5</v>
      </c>
      <c r="L2618" s="383">
        <v>12337</v>
      </c>
    </row>
    <row r="2619" spans="2:12">
      <c r="B2619" s="1050"/>
      <c r="C2619" s="1050"/>
      <c r="D2619" s="382" t="s">
        <v>2948</v>
      </c>
      <c r="E2619" s="382" t="s">
        <v>2157</v>
      </c>
      <c r="F2619" s="382" t="s">
        <v>2342</v>
      </c>
      <c r="G2619" s="382" t="s">
        <v>2354</v>
      </c>
      <c r="H2619" s="383">
        <v>4217.1499999999996</v>
      </c>
      <c r="I2619" s="1046">
        <v>840</v>
      </c>
      <c r="J2619" s="1047"/>
      <c r="K2619" s="383">
        <v>4326</v>
      </c>
      <c r="L2619" s="383">
        <v>7703.15</v>
      </c>
    </row>
    <row r="2620" spans="2:12">
      <c r="B2620" s="1050"/>
      <c r="C2620" s="1050"/>
      <c r="D2620" s="382" t="s">
        <v>2948</v>
      </c>
      <c r="E2620" s="382" t="s">
        <v>2157</v>
      </c>
      <c r="F2620" s="382" t="s">
        <v>2342</v>
      </c>
      <c r="G2620" s="382" t="s">
        <v>2355</v>
      </c>
      <c r="H2620" s="383">
        <v>-13890.79</v>
      </c>
      <c r="I2620" s="1046">
        <v>13890.79</v>
      </c>
      <c r="J2620" s="1047"/>
      <c r="K2620" s="383">
        <v>966</v>
      </c>
      <c r="L2620" s="383">
        <v>-26815.58</v>
      </c>
    </row>
    <row r="2621" spans="2:12">
      <c r="B2621" s="1050"/>
      <c r="C2621" s="1050"/>
      <c r="D2621" s="382" t="s">
        <v>2949</v>
      </c>
      <c r="E2621" s="382" t="s">
        <v>2158</v>
      </c>
      <c r="F2621" s="382" t="s">
        <v>2342</v>
      </c>
      <c r="G2621" s="382" t="s">
        <v>2343</v>
      </c>
      <c r="H2621" s="383">
        <v>8524.6200000000008</v>
      </c>
      <c r="I2621" s="1046">
        <v>0</v>
      </c>
      <c r="J2621" s="1047"/>
      <c r="K2621" s="383">
        <v>8032.96</v>
      </c>
      <c r="L2621" s="383">
        <v>16557.580000000002</v>
      </c>
    </row>
    <row r="2622" spans="2:12">
      <c r="B2622" s="1050"/>
      <c r="C2622" s="1050"/>
      <c r="D2622" s="382" t="s">
        <v>2949</v>
      </c>
      <c r="E2622" s="382" t="s">
        <v>2158</v>
      </c>
      <c r="F2622" s="382" t="s">
        <v>2342</v>
      </c>
      <c r="G2622" s="382" t="s">
        <v>2344</v>
      </c>
      <c r="H2622" s="383">
        <v>3483.05</v>
      </c>
      <c r="I2622" s="1046">
        <v>64.22</v>
      </c>
      <c r="J2622" s="1047"/>
      <c r="K2622" s="383">
        <v>2462.35</v>
      </c>
      <c r="L2622" s="383">
        <v>5881.18</v>
      </c>
    </row>
    <row r="2623" spans="2:12">
      <c r="B2623" s="1050"/>
      <c r="C2623" s="1050"/>
      <c r="D2623" s="382" t="s">
        <v>2949</v>
      </c>
      <c r="E2623" s="382" t="s">
        <v>2158</v>
      </c>
      <c r="F2623" s="382" t="s">
        <v>2342</v>
      </c>
      <c r="G2623" s="382" t="s">
        <v>2345</v>
      </c>
      <c r="H2623" s="383">
        <v>1408.7</v>
      </c>
      <c r="I2623" s="1046">
        <v>0</v>
      </c>
      <c r="J2623" s="1047"/>
      <c r="K2623" s="383">
        <v>1388.15</v>
      </c>
      <c r="L2623" s="383">
        <v>2796.85</v>
      </c>
    </row>
    <row r="2624" spans="2:12">
      <c r="B2624" s="1050"/>
      <c r="C2624" s="1050"/>
      <c r="D2624" s="382" t="s">
        <v>2949</v>
      </c>
      <c r="E2624" s="382" t="s">
        <v>2158</v>
      </c>
      <c r="F2624" s="382" t="s">
        <v>2342</v>
      </c>
      <c r="G2624" s="382" t="s">
        <v>2346</v>
      </c>
      <c r="H2624" s="383">
        <v>2380.87</v>
      </c>
      <c r="I2624" s="1046">
        <v>0</v>
      </c>
      <c r="J2624" s="1047"/>
      <c r="K2624" s="383">
        <v>401.12</v>
      </c>
      <c r="L2624" s="383">
        <v>2781.99</v>
      </c>
    </row>
    <row r="2625" spans="2:12">
      <c r="B2625" s="1050"/>
      <c r="C2625" s="1050"/>
      <c r="D2625" s="382" t="s">
        <v>2949</v>
      </c>
      <c r="E2625" s="382" t="s">
        <v>2158</v>
      </c>
      <c r="F2625" s="382" t="s">
        <v>2342</v>
      </c>
      <c r="G2625" s="382" t="s">
        <v>2347</v>
      </c>
      <c r="H2625" s="383">
        <v>5011.99</v>
      </c>
      <c r="I2625" s="1046">
        <v>0</v>
      </c>
      <c r="J2625" s="1047"/>
      <c r="K2625" s="383">
        <v>3985.2</v>
      </c>
      <c r="L2625" s="383">
        <v>8997.19</v>
      </c>
    </row>
    <row r="2626" spans="2:12">
      <c r="B2626" s="1050"/>
      <c r="C2626" s="1050"/>
      <c r="D2626" s="382" t="s">
        <v>2949</v>
      </c>
      <c r="E2626" s="382" t="s">
        <v>2158</v>
      </c>
      <c r="F2626" s="382" t="s">
        <v>2342</v>
      </c>
      <c r="G2626" s="382" t="s">
        <v>2348</v>
      </c>
      <c r="H2626" s="383">
        <v>9024.67</v>
      </c>
      <c r="I2626" s="1046">
        <v>645.22</v>
      </c>
      <c r="J2626" s="1047"/>
      <c r="K2626" s="383">
        <v>3305.96</v>
      </c>
      <c r="L2626" s="383">
        <v>11685.41</v>
      </c>
    </row>
    <row r="2627" spans="2:12">
      <c r="B2627" s="1050"/>
      <c r="C2627" s="1050"/>
      <c r="D2627" s="382" t="s">
        <v>2949</v>
      </c>
      <c r="E2627" s="382" t="s">
        <v>2158</v>
      </c>
      <c r="F2627" s="382" t="s">
        <v>2342</v>
      </c>
      <c r="G2627" s="382" t="s">
        <v>2349</v>
      </c>
      <c r="H2627" s="383">
        <v>6665.74</v>
      </c>
      <c r="I2627" s="1046">
        <v>22.66</v>
      </c>
      <c r="J2627" s="1047"/>
      <c r="K2627" s="383">
        <v>6128.53</v>
      </c>
      <c r="L2627" s="383">
        <v>12771.61</v>
      </c>
    </row>
    <row r="2628" spans="2:12">
      <c r="B2628" s="1050"/>
      <c r="C2628" s="1050"/>
      <c r="D2628" s="382" t="s">
        <v>2949</v>
      </c>
      <c r="E2628" s="382" t="s">
        <v>2158</v>
      </c>
      <c r="F2628" s="382" t="s">
        <v>2342</v>
      </c>
      <c r="G2628" s="382" t="s">
        <v>2350</v>
      </c>
      <c r="H2628" s="383">
        <v>4333.3100000000004</v>
      </c>
      <c r="I2628" s="1046">
        <v>0</v>
      </c>
      <c r="J2628" s="1047"/>
      <c r="K2628" s="383">
        <v>6091.48</v>
      </c>
      <c r="L2628" s="383">
        <v>10424.790000000001</v>
      </c>
    </row>
    <row r="2629" spans="2:12">
      <c r="B2629" s="1050"/>
      <c r="C2629" s="1050"/>
      <c r="D2629" s="382" t="s">
        <v>2949</v>
      </c>
      <c r="E2629" s="382" t="s">
        <v>2158</v>
      </c>
      <c r="F2629" s="382" t="s">
        <v>2342</v>
      </c>
      <c r="G2629" s="382" t="s">
        <v>2351</v>
      </c>
      <c r="H2629" s="383">
        <v>510.55</v>
      </c>
      <c r="I2629" s="1046">
        <v>0</v>
      </c>
      <c r="J2629" s="1047"/>
      <c r="K2629" s="383">
        <v>286.14999999999998</v>
      </c>
      <c r="L2629" s="383">
        <v>796.7</v>
      </c>
    </row>
    <row r="2630" spans="2:12">
      <c r="B2630" s="1050"/>
      <c r="C2630" s="1050"/>
      <c r="D2630" s="382" t="s">
        <v>2949</v>
      </c>
      <c r="E2630" s="382" t="s">
        <v>2158</v>
      </c>
      <c r="F2630" s="382" t="s">
        <v>2342</v>
      </c>
      <c r="G2630" s="382" t="s">
        <v>2352</v>
      </c>
      <c r="H2630" s="383">
        <v>2679.71</v>
      </c>
      <c r="I2630" s="1046">
        <v>0</v>
      </c>
      <c r="J2630" s="1047"/>
      <c r="K2630" s="383">
        <v>1786.57</v>
      </c>
      <c r="L2630" s="383">
        <v>4466.28</v>
      </c>
    </row>
    <row r="2631" spans="2:12">
      <c r="B2631" s="1050"/>
      <c r="C2631" s="1050"/>
      <c r="D2631" s="382" t="s">
        <v>2949</v>
      </c>
      <c r="E2631" s="382" t="s">
        <v>2158</v>
      </c>
      <c r="F2631" s="382" t="s">
        <v>2342</v>
      </c>
      <c r="G2631" s="382" t="s">
        <v>2353</v>
      </c>
      <c r="H2631" s="383">
        <v>6493.12</v>
      </c>
      <c r="I2631" s="1046">
        <v>0</v>
      </c>
      <c r="J2631" s="1047"/>
      <c r="K2631" s="383">
        <v>4581.37</v>
      </c>
      <c r="L2631" s="383">
        <v>11074.49</v>
      </c>
    </row>
    <row r="2632" spans="2:12">
      <c r="B2632" s="1050"/>
      <c r="C2632" s="1050"/>
      <c r="D2632" s="382" t="s">
        <v>2949</v>
      </c>
      <c r="E2632" s="382" t="s">
        <v>2158</v>
      </c>
      <c r="F2632" s="382" t="s">
        <v>2342</v>
      </c>
      <c r="G2632" s="382" t="s">
        <v>405</v>
      </c>
      <c r="H2632" s="383">
        <v>2877.09</v>
      </c>
      <c r="I2632" s="1046">
        <v>0</v>
      </c>
      <c r="J2632" s="1047"/>
      <c r="K2632" s="383">
        <v>4255.76</v>
      </c>
      <c r="L2632" s="383">
        <v>7132.85</v>
      </c>
    </row>
    <row r="2633" spans="2:12">
      <c r="B2633" s="1050"/>
      <c r="C2633" s="1050"/>
      <c r="D2633" s="382" t="s">
        <v>2949</v>
      </c>
      <c r="E2633" s="382" t="s">
        <v>2158</v>
      </c>
      <c r="F2633" s="382" t="s">
        <v>2342</v>
      </c>
      <c r="G2633" s="382" t="s">
        <v>2354</v>
      </c>
      <c r="H2633" s="383">
        <v>2024.18</v>
      </c>
      <c r="I2633" s="1046">
        <v>396.68</v>
      </c>
      <c r="J2633" s="1047"/>
      <c r="K2633" s="383">
        <v>2081.67</v>
      </c>
      <c r="L2633" s="383">
        <v>3709.17</v>
      </c>
    </row>
    <row r="2634" spans="2:12">
      <c r="B2634" s="1050"/>
      <c r="C2634" s="1050"/>
      <c r="D2634" s="382" t="s">
        <v>2949</v>
      </c>
      <c r="E2634" s="382" t="s">
        <v>2158</v>
      </c>
      <c r="F2634" s="382" t="s">
        <v>2342</v>
      </c>
      <c r="G2634" s="382" t="s">
        <v>2355</v>
      </c>
      <c r="H2634" s="383">
        <v>0</v>
      </c>
      <c r="I2634" s="1046">
        <v>0</v>
      </c>
      <c r="J2634" s="1047"/>
      <c r="K2634" s="383">
        <v>455.88</v>
      </c>
      <c r="L2634" s="383">
        <v>455.88</v>
      </c>
    </row>
    <row r="2635" spans="2:12">
      <c r="B2635" s="1050"/>
      <c r="C2635" s="1050"/>
      <c r="D2635" s="382" t="s">
        <v>2950</v>
      </c>
      <c r="E2635" s="382" t="s">
        <v>2159</v>
      </c>
      <c r="F2635" s="382" t="s">
        <v>2342</v>
      </c>
      <c r="G2635" s="382" t="s">
        <v>2346</v>
      </c>
      <c r="H2635" s="383">
        <v>28.5</v>
      </c>
      <c r="I2635" s="1046">
        <v>0</v>
      </c>
      <c r="J2635" s="1047"/>
      <c r="K2635" s="383">
        <v>0</v>
      </c>
      <c r="L2635" s="383">
        <v>28.5</v>
      </c>
    </row>
    <row r="2636" spans="2:12">
      <c r="B2636" s="1050"/>
      <c r="C2636" s="1050"/>
      <c r="D2636" s="382" t="s">
        <v>2950</v>
      </c>
      <c r="E2636" s="382" t="s">
        <v>2159</v>
      </c>
      <c r="F2636" s="382" t="s">
        <v>2342</v>
      </c>
      <c r="G2636" s="382" t="s">
        <v>2353</v>
      </c>
      <c r="H2636" s="383">
        <v>3892.7</v>
      </c>
      <c r="I2636" s="1046">
        <v>0</v>
      </c>
      <c r="J2636" s="1047"/>
      <c r="K2636" s="383">
        <v>1717.5</v>
      </c>
      <c r="L2636" s="383">
        <v>5610.2</v>
      </c>
    </row>
    <row r="2637" spans="2:12">
      <c r="B2637" s="1050"/>
      <c r="C2637" s="1050"/>
      <c r="D2637" s="382" t="s">
        <v>2951</v>
      </c>
      <c r="E2637" s="382" t="s">
        <v>2160</v>
      </c>
      <c r="F2637" s="382" t="s">
        <v>2342</v>
      </c>
      <c r="G2637" s="382" t="s">
        <v>2346</v>
      </c>
      <c r="H2637" s="383">
        <v>14.15</v>
      </c>
      <c r="I2637" s="1046">
        <v>0</v>
      </c>
      <c r="J2637" s="1047"/>
      <c r="K2637" s="383">
        <v>0</v>
      </c>
      <c r="L2637" s="383">
        <v>14.15</v>
      </c>
    </row>
    <row r="2638" spans="2:12">
      <c r="B2638" s="1050"/>
      <c r="C2638" s="1050"/>
      <c r="D2638" s="382" t="s">
        <v>2951</v>
      </c>
      <c r="E2638" s="382" t="s">
        <v>2160</v>
      </c>
      <c r="F2638" s="382" t="s">
        <v>2342</v>
      </c>
      <c r="G2638" s="382" t="s">
        <v>2353</v>
      </c>
      <c r="H2638" s="383">
        <v>1913.54</v>
      </c>
      <c r="I2638" s="1046">
        <v>0</v>
      </c>
      <c r="J2638" s="1047"/>
      <c r="K2638" s="383">
        <v>821.75</v>
      </c>
      <c r="L2638" s="383">
        <v>2735.29</v>
      </c>
    </row>
    <row r="2639" spans="2:12">
      <c r="B2639" s="1050"/>
      <c r="C2639" s="1050"/>
      <c r="D2639" s="382" t="s">
        <v>2952</v>
      </c>
      <c r="E2639" s="382" t="s">
        <v>2161</v>
      </c>
      <c r="F2639" s="382" t="s">
        <v>2342</v>
      </c>
      <c r="G2639" s="382" t="s">
        <v>2343</v>
      </c>
      <c r="H2639" s="383">
        <v>7753</v>
      </c>
      <c r="I2639" s="1046">
        <v>0</v>
      </c>
      <c r="J2639" s="1047"/>
      <c r="K2639" s="383">
        <v>4806</v>
      </c>
      <c r="L2639" s="383">
        <v>12559</v>
      </c>
    </row>
    <row r="2640" spans="2:12">
      <c r="B2640" s="1050"/>
      <c r="C2640" s="1050"/>
      <c r="D2640" s="382" t="s">
        <v>2952</v>
      </c>
      <c r="E2640" s="382" t="s">
        <v>2161</v>
      </c>
      <c r="F2640" s="382" t="s">
        <v>2342</v>
      </c>
      <c r="G2640" s="382" t="s">
        <v>2344</v>
      </c>
      <c r="H2640" s="383">
        <v>7750</v>
      </c>
      <c r="I2640" s="1046">
        <v>0</v>
      </c>
      <c r="J2640" s="1047"/>
      <c r="K2640" s="383">
        <v>5630</v>
      </c>
      <c r="L2640" s="383">
        <v>13380</v>
      </c>
    </row>
    <row r="2641" spans="2:12">
      <c r="B2641" s="1050"/>
      <c r="C2641" s="1050"/>
      <c r="D2641" s="382" t="s">
        <v>2952</v>
      </c>
      <c r="E2641" s="382" t="s">
        <v>2161</v>
      </c>
      <c r="F2641" s="382" t="s">
        <v>2342</v>
      </c>
      <c r="G2641" s="382" t="s">
        <v>2345</v>
      </c>
      <c r="H2641" s="383">
        <v>6964</v>
      </c>
      <c r="I2641" s="1046">
        <v>0</v>
      </c>
      <c r="J2641" s="1047"/>
      <c r="K2641" s="383">
        <v>5092</v>
      </c>
      <c r="L2641" s="383">
        <v>12056</v>
      </c>
    </row>
    <row r="2642" spans="2:12">
      <c r="B2642" s="1050"/>
      <c r="C2642" s="1050"/>
      <c r="D2642" s="382" t="s">
        <v>2952</v>
      </c>
      <c r="E2642" s="382" t="s">
        <v>2161</v>
      </c>
      <c r="F2642" s="382" t="s">
        <v>2342</v>
      </c>
      <c r="G2642" s="382" t="s">
        <v>2346</v>
      </c>
      <c r="H2642" s="383">
        <v>4136</v>
      </c>
      <c r="I2642" s="1046">
        <v>0</v>
      </c>
      <c r="J2642" s="1047"/>
      <c r="K2642" s="383">
        <v>1566</v>
      </c>
      <c r="L2642" s="383">
        <v>5702</v>
      </c>
    </row>
    <row r="2643" spans="2:12">
      <c r="B2643" s="1050"/>
      <c r="C2643" s="1050"/>
      <c r="D2643" s="382" t="s">
        <v>2952</v>
      </c>
      <c r="E2643" s="382" t="s">
        <v>2161</v>
      </c>
      <c r="F2643" s="382" t="s">
        <v>2342</v>
      </c>
      <c r="G2643" s="382" t="s">
        <v>2347</v>
      </c>
      <c r="H2643" s="383">
        <v>14598</v>
      </c>
      <c r="I2643" s="1046">
        <v>540</v>
      </c>
      <c r="J2643" s="1047"/>
      <c r="K2643" s="383">
        <v>15190</v>
      </c>
      <c r="L2643" s="383">
        <v>29248</v>
      </c>
    </row>
    <row r="2644" spans="2:12">
      <c r="B2644" s="1050"/>
      <c r="C2644" s="1050"/>
      <c r="D2644" s="382" t="s">
        <v>2952</v>
      </c>
      <c r="E2644" s="382" t="s">
        <v>2161</v>
      </c>
      <c r="F2644" s="382" t="s">
        <v>2342</v>
      </c>
      <c r="G2644" s="382" t="s">
        <v>2348</v>
      </c>
      <c r="H2644" s="383">
        <v>8428</v>
      </c>
      <c r="I2644" s="1046">
        <v>80</v>
      </c>
      <c r="J2644" s="1047"/>
      <c r="K2644" s="383">
        <v>4832</v>
      </c>
      <c r="L2644" s="383">
        <v>13180</v>
      </c>
    </row>
    <row r="2645" spans="2:12">
      <c r="B2645" s="1050"/>
      <c r="C2645" s="1050"/>
      <c r="D2645" s="382" t="s">
        <v>2952</v>
      </c>
      <c r="E2645" s="382" t="s">
        <v>2161</v>
      </c>
      <c r="F2645" s="382" t="s">
        <v>2342</v>
      </c>
      <c r="G2645" s="382" t="s">
        <v>2349</v>
      </c>
      <c r="H2645" s="383">
        <v>8218</v>
      </c>
      <c r="I2645" s="1046">
        <v>440</v>
      </c>
      <c r="J2645" s="1047"/>
      <c r="K2645" s="383">
        <v>3718</v>
      </c>
      <c r="L2645" s="383">
        <v>11496</v>
      </c>
    </row>
    <row r="2646" spans="2:12">
      <c r="B2646" s="1050"/>
      <c r="C2646" s="1050"/>
      <c r="D2646" s="382" t="s">
        <v>2952</v>
      </c>
      <c r="E2646" s="382" t="s">
        <v>2161</v>
      </c>
      <c r="F2646" s="382" t="s">
        <v>2342</v>
      </c>
      <c r="G2646" s="382" t="s">
        <v>2350</v>
      </c>
      <c r="H2646" s="383">
        <v>27342</v>
      </c>
      <c r="I2646" s="1046">
        <v>0</v>
      </c>
      <c r="J2646" s="1047"/>
      <c r="K2646" s="383">
        <v>18949</v>
      </c>
      <c r="L2646" s="383">
        <v>46291</v>
      </c>
    </row>
    <row r="2647" spans="2:12">
      <c r="B2647" s="1050"/>
      <c r="C2647" s="1050"/>
      <c r="D2647" s="382" t="s">
        <v>2952</v>
      </c>
      <c r="E2647" s="382" t="s">
        <v>2161</v>
      </c>
      <c r="F2647" s="382" t="s">
        <v>2342</v>
      </c>
      <c r="G2647" s="382" t="s">
        <v>2351</v>
      </c>
      <c r="H2647" s="383">
        <v>3964</v>
      </c>
      <c r="I2647" s="1046">
        <v>0</v>
      </c>
      <c r="J2647" s="1047"/>
      <c r="K2647" s="383">
        <v>2152</v>
      </c>
      <c r="L2647" s="383">
        <v>6116</v>
      </c>
    </row>
    <row r="2648" spans="2:12">
      <c r="B2648" s="1050"/>
      <c r="C2648" s="1050"/>
      <c r="D2648" s="382" t="s">
        <v>2952</v>
      </c>
      <c r="E2648" s="382" t="s">
        <v>2161</v>
      </c>
      <c r="F2648" s="382" t="s">
        <v>2342</v>
      </c>
      <c r="G2648" s="382" t="s">
        <v>2352</v>
      </c>
      <c r="H2648" s="383">
        <v>5724</v>
      </c>
      <c r="I2648" s="1046">
        <v>0</v>
      </c>
      <c r="J2648" s="1047"/>
      <c r="K2648" s="383">
        <v>3388</v>
      </c>
      <c r="L2648" s="383">
        <v>9112</v>
      </c>
    </row>
    <row r="2649" spans="2:12">
      <c r="B2649" s="1050"/>
      <c r="C2649" s="1050"/>
      <c r="D2649" s="382" t="s">
        <v>2952</v>
      </c>
      <c r="E2649" s="382" t="s">
        <v>2161</v>
      </c>
      <c r="F2649" s="382" t="s">
        <v>2342</v>
      </c>
      <c r="G2649" s="382" t="s">
        <v>2353</v>
      </c>
      <c r="H2649" s="383">
        <v>11369.7</v>
      </c>
      <c r="I2649" s="1046">
        <v>0</v>
      </c>
      <c r="J2649" s="1047"/>
      <c r="K2649" s="383">
        <v>8764</v>
      </c>
      <c r="L2649" s="383">
        <v>20133.7</v>
      </c>
    </row>
    <row r="2650" spans="2:12">
      <c r="B2650" s="1050"/>
      <c r="C2650" s="1050"/>
      <c r="D2650" s="382" t="s">
        <v>2952</v>
      </c>
      <c r="E2650" s="382" t="s">
        <v>2161</v>
      </c>
      <c r="F2650" s="382" t="s">
        <v>2342</v>
      </c>
      <c r="G2650" s="382" t="s">
        <v>405</v>
      </c>
      <c r="H2650" s="383">
        <v>5646</v>
      </c>
      <c r="I2650" s="1046">
        <v>0</v>
      </c>
      <c r="J2650" s="1047"/>
      <c r="K2650" s="383">
        <v>3206</v>
      </c>
      <c r="L2650" s="383">
        <v>8852</v>
      </c>
    </row>
    <row r="2651" spans="2:12">
      <c r="B2651" s="1050"/>
      <c r="C2651" s="1050"/>
      <c r="D2651" s="382" t="s">
        <v>2952</v>
      </c>
      <c r="E2651" s="382" t="s">
        <v>2161</v>
      </c>
      <c r="F2651" s="382" t="s">
        <v>2342</v>
      </c>
      <c r="G2651" s="382" t="s">
        <v>2354</v>
      </c>
      <c r="H2651" s="383">
        <v>2584</v>
      </c>
      <c r="I2651" s="1046">
        <v>0</v>
      </c>
      <c r="J2651" s="1047"/>
      <c r="K2651" s="383">
        <v>5246</v>
      </c>
      <c r="L2651" s="383">
        <v>7830</v>
      </c>
    </row>
    <row r="2652" spans="2:12">
      <c r="B2652" s="1050"/>
      <c r="C2652" s="1050"/>
      <c r="D2652" s="382" t="s">
        <v>2952</v>
      </c>
      <c r="E2652" s="382" t="s">
        <v>2161</v>
      </c>
      <c r="F2652" s="382" t="s">
        <v>2342</v>
      </c>
      <c r="G2652" s="382" t="s">
        <v>2355</v>
      </c>
      <c r="H2652" s="383">
        <v>-13883.32</v>
      </c>
      <c r="I2652" s="1046">
        <v>13883.32</v>
      </c>
      <c r="J2652" s="1047"/>
      <c r="K2652" s="383">
        <v>420</v>
      </c>
      <c r="L2652" s="383">
        <v>-27346.639999999999</v>
      </c>
    </row>
    <row r="2653" spans="2:12">
      <c r="B2653" s="1050"/>
      <c r="C2653" s="1050"/>
      <c r="D2653" s="382" t="s">
        <v>2953</v>
      </c>
      <c r="E2653" s="382" t="s">
        <v>2162</v>
      </c>
      <c r="F2653" s="382" t="s">
        <v>2342</v>
      </c>
      <c r="G2653" s="382" t="s">
        <v>2343</v>
      </c>
      <c r="H2653" s="383">
        <v>3657.53</v>
      </c>
      <c r="I2653" s="1046">
        <v>0</v>
      </c>
      <c r="J2653" s="1047"/>
      <c r="K2653" s="383">
        <v>2269.5500000000002</v>
      </c>
      <c r="L2653" s="383">
        <v>5927.08</v>
      </c>
    </row>
    <row r="2654" spans="2:12">
      <c r="B2654" s="1050"/>
      <c r="C2654" s="1050"/>
      <c r="D2654" s="382" t="s">
        <v>2953</v>
      </c>
      <c r="E2654" s="382" t="s">
        <v>2162</v>
      </c>
      <c r="F2654" s="382" t="s">
        <v>2342</v>
      </c>
      <c r="G2654" s="382" t="s">
        <v>2344</v>
      </c>
      <c r="H2654" s="383">
        <v>3737.94</v>
      </c>
      <c r="I2654" s="1046">
        <v>0</v>
      </c>
      <c r="J2654" s="1047"/>
      <c r="K2654" s="383">
        <v>2718.95</v>
      </c>
      <c r="L2654" s="383">
        <v>6456.89</v>
      </c>
    </row>
    <row r="2655" spans="2:12">
      <c r="B2655" s="1050"/>
      <c r="C2655" s="1050"/>
      <c r="D2655" s="382" t="s">
        <v>2953</v>
      </c>
      <c r="E2655" s="382" t="s">
        <v>2162</v>
      </c>
      <c r="F2655" s="382" t="s">
        <v>2342</v>
      </c>
      <c r="G2655" s="382" t="s">
        <v>2345</v>
      </c>
      <c r="H2655" s="383">
        <v>3286.13</v>
      </c>
      <c r="I2655" s="1046">
        <v>0</v>
      </c>
      <c r="J2655" s="1047"/>
      <c r="K2655" s="383">
        <v>2490.91</v>
      </c>
      <c r="L2655" s="383">
        <v>5777.04</v>
      </c>
    </row>
    <row r="2656" spans="2:12">
      <c r="B2656" s="1050"/>
      <c r="C2656" s="1050"/>
      <c r="D2656" s="382" t="s">
        <v>2953</v>
      </c>
      <c r="E2656" s="382" t="s">
        <v>2162</v>
      </c>
      <c r="F2656" s="382" t="s">
        <v>2342</v>
      </c>
      <c r="G2656" s="382" t="s">
        <v>2346</v>
      </c>
      <c r="H2656" s="383">
        <v>1999.89</v>
      </c>
      <c r="I2656" s="1046">
        <v>0</v>
      </c>
      <c r="J2656" s="1047"/>
      <c r="K2656" s="383">
        <v>769.39</v>
      </c>
      <c r="L2656" s="383">
        <v>2769.28</v>
      </c>
    </row>
    <row r="2657" spans="2:12">
      <c r="B2657" s="1050"/>
      <c r="C2657" s="1050"/>
      <c r="D2657" s="382" t="s">
        <v>2953</v>
      </c>
      <c r="E2657" s="382" t="s">
        <v>2162</v>
      </c>
      <c r="F2657" s="382" t="s">
        <v>2342</v>
      </c>
      <c r="G2657" s="382" t="s">
        <v>2347</v>
      </c>
      <c r="H2657" s="383">
        <v>7112.46</v>
      </c>
      <c r="I2657" s="1046">
        <v>260.77999999999997</v>
      </c>
      <c r="J2657" s="1047"/>
      <c r="K2657" s="383">
        <v>7480.99</v>
      </c>
      <c r="L2657" s="383">
        <v>14332.67</v>
      </c>
    </row>
    <row r="2658" spans="2:12">
      <c r="B2658" s="1050"/>
      <c r="C2658" s="1050"/>
      <c r="D2658" s="382" t="s">
        <v>2953</v>
      </c>
      <c r="E2658" s="382" t="s">
        <v>2162</v>
      </c>
      <c r="F2658" s="382" t="s">
        <v>2342</v>
      </c>
      <c r="G2658" s="382" t="s">
        <v>2348</v>
      </c>
      <c r="H2658" s="383">
        <v>4174.8100000000004</v>
      </c>
      <c r="I2658" s="1046">
        <v>41.66</v>
      </c>
      <c r="J2658" s="1047"/>
      <c r="K2658" s="383">
        <v>2417.19</v>
      </c>
      <c r="L2658" s="383">
        <v>6550.34</v>
      </c>
    </row>
    <row r="2659" spans="2:12">
      <c r="B2659" s="1050"/>
      <c r="C2659" s="1050"/>
      <c r="D2659" s="382" t="s">
        <v>2953</v>
      </c>
      <c r="E2659" s="382" t="s">
        <v>2162</v>
      </c>
      <c r="F2659" s="382" t="s">
        <v>2342</v>
      </c>
      <c r="G2659" s="382" t="s">
        <v>2349</v>
      </c>
      <c r="H2659" s="383">
        <v>3955.03</v>
      </c>
      <c r="I2659" s="1046">
        <v>612.12</v>
      </c>
      <c r="J2659" s="1047"/>
      <c r="K2659" s="383">
        <v>1768.64</v>
      </c>
      <c r="L2659" s="383">
        <v>5111.55</v>
      </c>
    </row>
    <row r="2660" spans="2:12">
      <c r="B2660" s="1050"/>
      <c r="C2660" s="1050"/>
      <c r="D2660" s="382" t="s">
        <v>2953</v>
      </c>
      <c r="E2660" s="382" t="s">
        <v>2162</v>
      </c>
      <c r="F2660" s="382" t="s">
        <v>2342</v>
      </c>
      <c r="G2660" s="382" t="s">
        <v>2350</v>
      </c>
      <c r="H2660" s="383">
        <v>13196.23</v>
      </c>
      <c r="I2660" s="1046">
        <v>0</v>
      </c>
      <c r="J2660" s="1047"/>
      <c r="K2660" s="383">
        <v>9087.4599999999991</v>
      </c>
      <c r="L2660" s="383">
        <v>22283.69</v>
      </c>
    </row>
    <row r="2661" spans="2:12">
      <c r="B2661" s="1050"/>
      <c r="C2661" s="1050"/>
      <c r="D2661" s="382" t="s">
        <v>2953</v>
      </c>
      <c r="E2661" s="382" t="s">
        <v>2162</v>
      </c>
      <c r="F2661" s="382" t="s">
        <v>2342</v>
      </c>
      <c r="G2661" s="382" t="s">
        <v>2351</v>
      </c>
      <c r="H2661" s="383">
        <v>1931.57</v>
      </c>
      <c r="I2661" s="1046">
        <v>0</v>
      </c>
      <c r="J2661" s="1047"/>
      <c r="K2661" s="383">
        <v>1044.92</v>
      </c>
      <c r="L2661" s="383">
        <v>2976.49</v>
      </c>
    </row>
    <row r="2662" spans="2:12">
      <c r="B2662" s="1050"/>
      <c r="C2662" s="1050"/>
      <c r="D2662" s="382" t="s">
        <v>2953</v>
      </c>
      <c r="E2662" s="382" t="s">
        <v>2162</v>
      </c>
      <c r="F2662" s="382" t="s">
        <v>2342</v>
      </c>
      <c r="G2662" s="382" t="s">
        <v>2352</v>
      </c>
      <c r="H2662" s="383">
        <v>2862.33</v>
      </c>
      <c r="I2662" s="1046">
        <v>0</v>
      </c>
      <c r="J2662" s="1047"/>
      <c r="K2662" s="383">
        <v>1658.29</v>
      </c>
      <c r="L2662" s="383">
        <v>4520.62</v>
      </c>
    </row>
    <row r="2663" spans="2:12">
      <c r="B2663" s="1050"/>
      <c r="C2663" s="1050"/>
      <c r="D2663" s="382" t="s">
        <v>2953</v>
      </c>
      <c r="E2663" s="382" t="s">
        <v>2162</v>
      </c>
      <c r="F2663" s="382" t="s">
        <v>2342</v>
      </c>
      <c r="G2663" s="382" t="s">
        <v>2353</v>
      </c>
      <c r="H2663" s="383">
        <v>5615.12</v>
      </c>
      <c r="I2663" s="1046">
        <v>0</v>
      </c>
      <c r="J2663" s="1047"/>
      <c r="K2663" s="383">
        <v>4199.21</v>
      </c>
      <c r="L2663" s="383">
        <v>9814.33</v>
      </c>
    </row>
    <row r="2664" spans="2:12">
      <c r="B2664" s="1050"/>
      <c r="C2664" s="1050"/>
      <c r="D2664" s="382" t="s">
        <v>2953</v>
      </c>
      <c r="E2664" s="382" t="s">
        <v>2162</v>
      </c>
      <c r="F2664" s="382" t="s">
        <v>2342</v>
      </c>
      <c r="G2664" s="382" t="s">
        <v>405</v>
      </c>
      <c r="H2664" s="383">
        <v>2807.09</v>
      </c>
      <c r="I2664" s="1046">
        <v>0</v>
      </c>
      <c r="J2664" s="1047"/>
      <c r="K2664" s="383">
        <v>1552.69</v>
      </c>
      <c r="L2664" s="383">
        <v>4359.78</v>
      </c>
    </row>
    <row r="2665" spans="2:12">
      <c r="B2665" s="1050"/>
      <c r="C2665" s="1050"/>
      <c r="D2665" s="382" t="s">
        <v>2953</v>
      </c>
      <c r="E2665" s="382" t="s">
        <v>2162</v>
      </c>
      <c r="F2665" s="382" t="s">
        <v>2342</v>
      </c>
      <c r="G2665" s="382" t="s">
        <v>2354</v>
      </c>
      <c r="H2665" s="383">
        <v>1264.8</v>
      </c>
      <c r="I2665" s="1046">
        <v>0</v>
      </c>
      <c r="J2665" s="1047"/>
      <c r="K2665" s="383">
        <v>2555.25</v>
      </c>
      <c r="L2665" s="383">
        <v>3820.05</v>
      </c>
    </row>
    <row r="2666" spans="2:12">
      <c r="B2666" s="1050"/>
      <c r="C2666" s="1050"/>
      <c r="D2666" s="382" t="s">
        <v>2953</v>
      </c>
      <c r="E2666" s="382" t="s">
        <v>2162</v>
      </c>
      <c r="F2666" s="382" t="s">
        <v>2342</v>
      </c>
      <c r="G2666" s="382" t="s">
        <v>2355</v>
      </c>
      <c r="H2666" s="383">
        <v>0</v>
      </c>
      <c r="I2666" s="1046">
        <v>0</v>
      </c>
      <c r="J2666" s="1047"/>
      <c r="K2666" s="383">
        <v>596.05999999999995</v>
      </c>
      <c r="L2666" s="383">
        <v>596.05999999999995</v>
      </c>
    </row>
    <row r="2667" spans="2:12">
      <c r="B2667" s="1050"/>
      <c r="C2667" s="1050"/>
      <c r="D2667" s="382" t="s">
        <v>2954</v>
      </c>
      <c r="E2667" s="382" t="s">
        <v>2163</v>
      </c>
      <c r="F2667" s="382" t="s">
        <v>2342</v>
      </c>
      <c r="G2667" s="382" t="s">
        <v>2343</v>
      </c>
      <c r="H2667" s="383">
        <v>4013.2</v>
      </c>
      <c r="I2667" s="1046">
        <v>0</v>
      </c>
      <c r="J2667" s="1047"/>
      <c r="K2667" s="383">
        <v>4051.9</v>
      </c>
      <c r="L2667" s="383">
        <v>8065.1</v>
      </c>
    </row>
    <row r="2668" spans="2:12">
      <c r="B2668" s="1050"/>
      <c r="C2668" s="1050"/>
      <c r="D2668" s="382" t="s">
        <v>2954</v>
      </c>
      <c r="E2668" s="382" t="s">
        <v>2163</v>
      </c>
      <c r="F2668" s="382" t="s">
        <v>2342</v>
      </c>
      <c r="G2668" s="382" t="s">
        <v>2344</v>
      </c>
      <c r="H2668" s="383">
        <v>5251.4</v>
      </c>
      <c r="I2668" s="1046">
        <v>0</v>
      </c>
      <c r="J2668" s="1047"/>
      <c r="K2668" s="383">
        <v>3920.95</v>
      </c>
      <c r="L2668" s="383">
        <v>9172.35</v>
      </c>
    </row>
    <row r="2669" spans="2:12">
      <c r="B2669" s="1050"/>
      <c r="C2669" s="1050"/>
      <c r="D2669" s="382" t="s">
        <v>2954</v>
      </c>
      <c r="E2669" s="382" t="s">
        <v>2163</v>
      </c>
      <c r="F2669" s="382" t="s">
        <v>2342</v>
      </c>
      <c r="G2669" s="382" t="s">
        <v>2345</v>
      </c>
      <c r="H2669" s="383">
        <v>3003.2</v>
      </c>
      <c r="I2669" s="1046">
        <v>0</v>
      </c>
      <c r="J2669" s="1047"/>
      <c r="K2669" s="383">
        <v>2793.6</v>
      </c>
      <c r="L2669" s="383">
        <v>5796.8</v>
      </c>
    </row>
    <row r="2670" spans="2:12">
      <c r="B2670" s="1050"/>
      <c r="C2670" s="1050"/>
      <c r="D2670" s="382" t="s">
        <v>2954</v>
      </c>
      <c r="E2670" s="382" t="s">
        <v>2163</v>
      </c>
      <c r="F2670" s="382" t="s">
        <v>2342</v>
      </c>
      <c r="G2670" s="382" t="s">
        <v>2346</v>
      </c>
      <c r="H2670" s="383">
        <v>6007.3</v>
      </c>
      <c r="I2670" s="1046">
        <v>0</v>
      </c>
      <c r="J2670" s="1047"/>
      <c r="K2670" s="383">
        <v>4629.2</v>
      </c>
      <c r="L2670" s="383">
        <v>10636.5</v>
      </c>
    </row>
    <row r="2671" spans="2:12">
      <c r="B2671" s="1050"/>
      <c r="C2671" s="1050"/>
      <c r="D2671" s="382" t="s">
        <v>2954</v>
      </c>
      <c r="E2671" s="382" t="s">
        <v>2163</v>
      </c>
      <c r="F2671" s="382" t="s">
        <v>2342</v>
      </c>
      <c r="G2671" s="382" t="s">
        <v>2347</v>
      </c>
      <c r="H2671" s="383">
        <v>9183.2999999999993</v>
      </c>
      <c r="I2671" s="1046">
        <v>0</v>
      </c>
      <c r="J2671" s="1047"/>
      <c r="K2671" s="383">
        <v>8430.48</v>
      </c>
      <c r="L2671" s="383">
        <v>17613.78</v>
      </c>
    </row>
    <row r="2672" spans="2:12">
      <c r="B2672" s="1050"/>
      <c r="C2672" s="1050"/>
      <c r="D2672" s="382" t="s">
        <v>2954</v>
      </c>
      <c r="E2672" s="382" t="s">
        <v>2163</v>
      </c>
      <c r="F2672" s="382" t="s">
        <v>2342</v>
      </c>
      <c r="G2672" s="382" t="s">
        <v>2348</v>
      </c>
      <c r="H2672" s="383">
        <v>8190.5</v>
      </c>
      <c r="I2672" s="1046">
        <v>0</v>
      </c>
      <c r="J2672" s="1047"/>
      <c r="K2672" s="383">
        <v>1066.55</v>
      </c>
      <c r="L2672" s="383">
        <v>9257.0499999999993</v>
      </c>
    </row>
    <row r="2673" spans="2:12">
      <c r="B2673" s="1050"/>
      <c r="C2673" s="1050"/>
      <c r="D2673" s="382" t="s">
        <v>2954</v>
      </c>
      <c r="E2673" s="382" t="s">
        <v>2163</v>
      </c>
      <c r="F2673" s="382" t="s">
        <v>2342</v>
      </c>
      <c r="G2673" s="382" t="s">
        <v>2349</v>
      </c>
      <c r="H2673" s="383">
        <v>12746</v>
      </c>
      <c r="I2673" s="1046">
        <v>0</v>
      </c>
      <c r="J2673" s="1047"/>
      <c r="K2673" s="383">
        <v>6203.8</v>
      </c>
      <c r="L2673" s="383">
        <v>18949.8</v>
      </c>
    </row>
    <row r="2674" spans="2:12">
      <c r="B2674" s="1050"/>
      <c r="C2674" s="1050"/>
      <c r="D2674" s="382" t="s">
        <v>2954</v>
      </c>
      <c r="E2674" s="382" t="s">
        <v>2163</v>
      </c>
      <c r="F2674" s="382" t="s">
        <v>2342</v>
      </c>
      <c r="G2674" s="382" t="s">
        <v>2350</v>
      </c>
      <c r="H2674" s="383">
        <v>7090.2</v>
      </c>
      <c r="I2674" s="1046">
        <v>0</v>
      </c>
      <c r="J2674" s="1047"/>
      <c r="K2674" s="383">
        <v>5984.95</v>
      </c>
      <c r="L2674" s="383">
        <v>13075.15</v>
      </c>
    </row>
    <row r="2675" spans="2:12">
      <c r="B2675" s="1050"/>
      <c r="C2675" s="1050"/>
      <c r="D2675" s="382" t="s">
        <v>2954</v>
      </c>
      <c r="E2675" s="382" t="s">
        <v>2163</v>
      </c>
      <c r="F2675" s="382" t="s">
        <v>2342</v>
      </c>
      <c r="G2675" s="382" t="s">
        <v>2351</v>
      </c>
      <c r="H2675" s="383">
        <v>6101.3</v>
      </c>
      <c r="I2675" s="1046">
        <v>0</v>
      </c>
      <c r="J2675" s="1047"/>
      <c r="K2675" s="383">
        <v>2433.6</v>
      </c>
      <c r="L2675" s="383">
        <v>8534.9</v>
      </c>
    </row>
    <row r="2676" spans="2:12">
      <c r="B2676" s="1050"/>
      <c r="C2676" s="1050"/>
      <c r="D2676" s="382" t="s">
        <v>2954</v>
      </c>
      <c r="E2676" s="382" t="s">
        <v>2163</v>
      </c>
      <c r="F2676" s="382" t="s">
        <v>2342</v>
      </c>
      <c r="G2676" s="382" t="s">
        <v>2352</v>
      </c>
      <c r="H2676" s="383">
        <v>7289.65</v>
      </c>
      <c r="I2676" s="1046">
        <v>0</v>
      </c>
      <c r="J2676" s="1047"/>
      <c r="K2676" s="383">
        <v>5515.25</v>
      </c>
      <c r="L2676" s="383">
        <v>12804.9</v>
      </c>
    </row>
    <row r="2677" spans="2:12">
      <c r="B2677" s="1050"/>
      <c r="C2677" s="1050"/>
      <c r="D2677" s="382" t="s">
        <v>2954</v>
      </c>
      <c r="E2677" s="382" t="s">
        <v>2163</v>
      </c>
      <c r="F2677" s="382" t="s">
        <v>2342</v>
      </c>
      <c r="G2677" s="382" t="s">
        <v>2353</v>
      </c>
      <c r="H2677" s="383">
        <v>5985.2</v>
      </c>
      <c r="I2677" s="1046">
        <v>0</v>
      </c>
      <c r="J2677" s="1047"/>
      <c r="K2677" s="383">
        <v>4246.8999999999996</v>
      </c>
      <c r="L2677" s="383">
        <v>10232.1</v>
      </c>
    </row>
    <row r="2678" spans="2:12">
      <c r="B2678" s="1050"/>
      <c r="C2678" s="1050"/>
      <c r="D2678" s="382" t="s">
        <v>2954</v>
      </c>
      <c r="E2678" s="382" t="s">
        <v>2163</v>
      </c>
      <c r="F2678" s="382" t="s">
        <v>2342</v>
      </c>
      <c r="G2678" s="382" t="s">
        <v>405</v>
      </c>
      <c r="H2678" s="383">
        <v>3513.5</v>
      </c>
      <c r="I2678" s="1046">
        <v>0</v>
      </c>
      <c r="J2678" s="1047"/>
      <c r="K2678" s="383">
        <v>2817</v>
      </c>
      <c r="L2678" s="383">
        <v>6330.5</v>
      </c>
    </row>
    <row r="2679" spans="2:12">
      <c r="B2679" s="1050"/>
      <c r="C2679" s="1050"/>
      <c r="D2679" s="382" t="s">
        <v>2954</v>
      </c>
      <c r="E2679" s="382" t="s">
        <v>2163</v>
      </c>
      <c r="F2679" s="382" t="s">
        <v>2342</v>
      </c>
      <c r="G2679" s="382" t="s">
        <v>2354</v>
      </c>
      <c r="H2679" s="383">
        <v>1010</v>
      </c>
      <c r="I2679" s="1046">
        <v>0</v>
      </c>
      <c r="J2679" s="1047"/>
      <c r="K2679" s="383">
        <v>1557.7</v>
      </c>
      <c r="L2679" s="383">
        <v>2567.6999999999998</v>
      </c>
    </row>
    <row r="2680" spans="2:12">
      <c r="B2680" s="1050"/>
      <c r="C2680" s="1050"/>
      <c r="D2680" s="382" t="s">
        <v>2954</v>
      </c>
      <c r="E2680" s="382" t="s">
        <v>2163</v>
      </c>
      <c r="F2680" s="382" t="s">
        <v>2342</v>
      </c>
      <c r="G2680" s="382" t="s">
        <v>2355</v>
      </c>
      <c r="H2680" s="383">
        <v>-9399.01</v>
      </c>
      <c r="I2680" s="1046">
        <v>9399.01</v>
      </c>
      <c r="J2680" s="1047"/>
      <c r="K2680" s="383">
        <v>0</v>
      </c>
      <c r="L2680" s="383">
        <v>-18798.02</v>
      </c>
    </row>
    <row r="2681" spans="2:12">
      <c r="B2681" s="1050"/>
      <c r="C2681" s="1050"/>
      <c r="D2681" s="382" t="s">
        <v>2955</v>
      </c>
      <c r="E2681" s="382" t="s">
        <v>2164</v>
      </c>
      <c r="F2681" s="382" t="s">
        <v>2342</v>
      </c>
      <c r="G2681" s="382" t="s">
        <v>2343</v>
      </c>
      <c r="H2681" s="383">
        <v>2088.1999999999998</v>
      </c>
      <c r="I2681" s="1046">
        <v>0</v>
      </c>
      <c r="J2681" s="1047"/>
      <c r="K2681" s="383">
        <v>2118.1</v>
      </c>
      <c r="L2681" s="383">
        <v>4206.3</v>
      </c>
    </row>
    <row r="2682" spans="2:12">
      <c r="B2682" s="1050"/>
      <c r="C2682" s="1050"/>
      <c r="D2682" s="382" t="s">
        <v>2955</v>
      </c>
      <c r="E2682" s="382" t="s">
        <v>2164</v>
      </c>
      <c r="F2682" s="382" t="s">
        <v>2342</v>
      </c>
      <c r="G2682" s="382" t="s">
        <v>2344</v>
      </c>
      <c r="H2682" s="383">
        <v>2841.65</v>
      </c>
      <c r="I2682" s="1046">
        <v>0</v>
      </c>
      <c r="J2682" s="1047"/>
      <c r="K2682" s="383">
        <v>2105.23</v>
      </c>
      <c r="L2682" s="383">
        <v>4946.88</v>
      </c>
    </row>
    <row r="2683" spans="2:12">
      <c r="B2683" s="1050"/>
      <c r="C2683" s="1050"/>
      <c r="D2683" s="382" t="s">
        <v>2955</v>
      </c>
      <c r="E2683" s="382" t="s">
        <v>2164</v>
      </c>
      <c r="F2683" s="382" t="s">
        <v>2342</v>
      </c>
      <c r="G2683" s="382" t="s">
        <v>2345</v>
      </c>
      <c r="H2683" s="383">
        <v>1646.87</v>
      </c>
      <c r="I2683" s="1046">
        <v>0</v>
      </c>
      <c r="J2683" s="1047"/>
      <c r="K2683" s="383">
        <v>1543.86</v>
      </c>
      <c r="L2683" s="383">
        <v>3190.73</v>
      </c>
    </row>
    <row r="2684" spans="2:12">
      <c r="B2684" s="1050"/>
      <c r="C2684" s="1050"/>
      <c r="D2684" s="382" t="s">
        <v>2955</v>
      </c>
      <c r="E2684" s="382" t="s">
        <v>2164</v>
      </c>
      <c r="F2684" s="382" t="s">
        <v>2342</v>
      </c>
      <c r="G2684" s="382" t="s">
        <v>2346</v>
      </c>
      <c r="H2684" s="383">
        <v>3269.14</v>
      </c>
      <c r="I2684" s="1046">
        <v>0</v>
      </c>
      <c r="J2684" s="1047"/>
      <c r="K2684" s="383">
        <v>2586.44</v>
      </c>
      <c r="L2684" s="383">
        <v>5855.58</v>
      </c>
    </row>
    <row r="2685" spans="2:12">
      <c r="B2685" s="1050"/>
      <c r="C2685" s="1050"/>
      <c r="D2685" s="382" t="s">
        <v>2955</v>
      </c>
      <c r="E2685" s="382" t="s">
        <v>2164</v>
      </c>
      <c r="F2685" s="382" t="s">
        <v>2342</v>
      </c>
      <c r="G2685" s="382" t="s">
        <v>2347</v>
      </c>
      <c r="H2685" s="383">
        <v>4989.08</v>
      </c>
      <c r="I2685" s="1046">
        <v>0</v>
      </c>
      <c r="J2685" s="1047"/>
      <c r="K2685" s="383">
        <v>4622.12</v>
      </c>
      <c r="L2685" s="383">
        <v>9611.2000000000007</v>
      </c>
    </row>
    <row r="2686" spans="2:12">
      <c r="B2686" s="1050"/>
      <c r="C2686" s="1050"/>
      <c r="D2686" s="382" t="s">
        <v>2955</v>
      </c>
      <c r="E2686" s="382" t="s">
        <v>2164</v>
      </c>
      <c r="F2686" s="382" t="s">
        <v>2342</v>
      </c>
      <c r="G2686" s="382" t="s">
        <v>2348</v>
      </c>
      <c r="H2686" s="383">
        <v>4491.29</v>
      </c>
      <c r="I2686" s="1046">
        <v>0</v>
      </c>
      <c r="J2686" s="1047"/>
      <c r="K2686" s="383">
        <v>596.57000000000005</v>
      </c>
      <c r="L2686" s="383">
        <v>5087.8599999999997</v>
      </c>
    </row>
    <row r="2687" spans="2:12">
      <c r="B2687" s="1050"/>
      <c r="C2687" s="1050"/>
      <c r="D2687" s="382" t="s">
        <v>2955</v>
      </c>
      <c r="E2687" s="382" t="s">
        <v>2164</v>
      </c>
      <c r="F2687" s="382" t="s">
        <v>2342</v>
      </c>
      <c r="G2687" s="382" t="s">
        <v>2349</v>
      </c>
      <c r="H2687" s="383">
        <v>7146.5</v>
      </c>
      <c r="I2687" s="1046">
        <v>0</v>
      </c>
      <c r="J2687" s="1047"/>
      <c r="K2687" s="383">
        <v>3447.79</v>
      </c>
      <c r="L2687" s="383">
        <v>10594.29</v>
      </c>
    </row>
    <row r="2688" spans="2:12">
      <c r="B2688" s="1050"/>
      <c r="C2688" s="1050"/>
      <c r="D2688" s="382" t="s">
        <v>2955</v>
      </c>
      <c r="E2688" s="382" t="s">
        <v>2164</v>
      </c>
      <c r="F2688" s="382" t="s">
        <v>2342</v>
      </c>
      <c r="G2688" s="382" t="s">
        <v>2350</v>
      </c>
      <c r="H2688" s="383">
        <v>3883.97</v>
      </c>
      <c r="I2688" s="1046">
        <v>0</v>
      </c>
      <c r="J2688" s="1047"/>
      <c r="K2688" s="383">
        <v>3288.34</v>
      </c>
      <c r="L2688" s="383">
        <v>7172.31</v>
      </c>
    </row>
    <row r="2689" spans="2:12">
      <c r="B2689" s="1050"/>
      <c r="C2689" s="1050"/>
      <c r="D2689" s="382" t="s">
        <v>2955</v>
      </c>
      <c r="E2689" s="382" t="s">
        <v>2164</v>
      </c>
      <c r="F2689" s="382" t="s">
        <v>2342</v>
      </c>
      <c r="G2689" s="382" t="s">
        <v>2351</v>
      </c>
      <c r="H2689" s="383">
        <v>3458.61</v>
      </c>
      <c r="I2689" s="1046">
        <v>0</v>
      </c>
      <c r="J2689" s="1047"/>
      <c r="K2689" s="383">
        <v>1355.6</v>
      </c>
      <c r="L2689" s="383">
        <v>4814.21</v>
      </c>
    </row>
    <row r="2690" spans="2:12">
      <c r="B2690" s="1050"/>
      <c r="C2690" s="1050"/>
      <c r="D2690" s="382" t="s">
        <v>2955</v>
      </c>
      <c r="E2690" s="382" t="s">
        <v>2164</v>
      </c>
      <c r="F2690" s="382" t="s">
        <v>2342</v>
      </c>
      <c r="G2690" s="382" t="s">
        <v>2352</v>
      </c>
      <c r="H2690" s="383">
        <v>3963.64</v>
      </c>
      <c r="I2690" s="1046">
        <v>0</v>
      </c>
      <c r="J2690" s="1047"/>
      <c r="K2690" s="383">
        <v>2966.49</v>
      </c>
      <c r="L2690" s="383">
        <v>6930.13</v>
      </c>
    </row>
    <row r="2691" spans="2:12">
      <c r="B2691" s="1050"/>
      <c r="C2691" s="1050"/>
      <c r="D2691" s="382" t="s">
        <v>2955</v>
      </c>
      <c r="E2691" s="382" t="s">
        <v>2164</v>
      </c>
      <c r="F2691" s="382" t="s">
        <v>2342</v>
      </c>
      <c r="G2691" s="382" t="s">
        <v>2353</v>
      </c>
      <c r="H2691" s="383">
        <v>3332.34</v>
      </c>
      <c r="I2691" s="1046">
        <v>0</v>
      </c>
      <c r="J2691" s="1047"/>
      <c r="K2691" s="383">
        <v>2358.1999999999998</v>
      </c>
      <c r="L2691" s="383">
        <v>5690.54</v>
      </c>
    </row>
    <row r="2692" spans="2:12">
      <c r="B2692" s="1050"/>
      <c r="C2692" s="1050"/>
      <c r="D2692" s="382" t="s">
        <v>2955</v>
      </c>
      <c r="E2692" s="382" t="s">
        <v>2164</v>
      </c>
      <c r="F2692" s="382" t="s">
        <v>2342</v>
      </c>
      <c r="G2692" s="382" t="s">
        <v>405</v>
      </c>
      <c r="H2692" s="383">
        <v>1949.75</v>
      </c>
      <c r="I2692" s="1046">
        <v>0</v>
      </c>
      <c r="J2692" s="1047"/>
      <c r="K2692" s="383">
        <v>1570.25</v>
      </c>
      <c r="L2692" s="383">
        <v>3520</v>
      </c>
    </row>
    <row r="2693" spans="2:12">
      <c r="B2693" s="1050"/>
      <c r="C2693" s="1050"/>
      <c r="D2693" s="382" t="s">
        <v>2955</v>
      </c>
      <c r="E2693" s="382" t="s">
        <v>2164</v>
      </c>
      <c r="F2693" s="382" t="s">
        <v>2342</v>
      </c>
      <c r="G2693" s="382" t="s">
        <v>2354</v>
      </c>
      <c r="H2693" s="383">
        <v>536.48</v>
      </c>
      <c r="I2693" s="1046">
        <v>0</v>
      </c>
      <c r="J2693" s="1047"/>
      <c r="K2693" s="383">
        <v>797.76</v>
      </c>
      <c r="L2693" s="383">
        <v>1334.24</v>
      </c>
    </row>
    <row r="2694" spans="2:12">
      <c r="B2694" s="1050"/>
      <c r="C2694" s="1050"/>
      <c r="D2694" s="382" t="s">
        <v>2956</v>
      </c>
      <c r="E2694" s="382" t="s">
        <v>2165</v>
      </c>
      <c r="F2694" s="382" t="s">
        <v>2342</v>
      </c>
      <c r="G2694" s="382" t="s">
        <v>2343</v>
      </c>
      <c r="H2694" s="383">
        <v>6961.5</v>
      </c>
      <c r="I2694" s="1046">
        <v>0</v>
      </c>
      <c r="J2694" s="1047"/>
      <c r="K2694" s="383">
        <v>5819.8</v>
      </c>
      <c r="L2694" s="383">
        <v>12781.3</v>
      </c>
    </row>
    <row r="2695" spans="2:12">
      <c r="B2695" s="1050"/>
      <c r="C2695" s="1050"/>
      <c r="D2695" s="382" t="s">
        <v>2956</v>
      </c>
      <c r="E2695" s="382" t="s">
        <v>2165</v>
      </c>
      <c r="F2695" s="382" t="s">
        <v>2342</v>
      </c>
      <c r="G2695" s="382" t="s">
        <v>2344</v>
      </c>
      <c r="H2695" s="383">
        <v>5244.9</v>
      </c>
      <c r="I2695" s="1046">
        <v>0</v>
      </c>
      <c r="J2695" s="1047"/>
      <c r="K2695" s="383">
        <v>7784</v>
      </c>
      <c r="L2695" s="383">
        <v>13028.9</v>
      </c>
    </row>
    <row r="2696" spans="2:12">
      <c r="B2696" s="1050"/>
      <c r="C2696" s="1050"/>
      <c r="D2696" s="382" t="s">
        <v>2956</v>
      </c>
      <c r="E2696" s="382" t="s">
        <v>2165</v>
      </c>
      <c r="F2696" s="382" t="s">
        <v>2342</v>
      </c>
      <c r="G2696" s="382" t="s">
        <v>2345</v>
      </c>
      <c r="H2696" s="383">
        <v>8466</v>
      </c>
      <c r="I2696" s="1046">
        <v>0</v>
      </c>
      <c r="J2696" s="1047"/>
      <c r="K2696" s="383">
        <v>9522.7000000000007</v>
      </c>
      <c r="L2696" s="383">
        <v>17988.7</v>
      </c>
    </row>
    <row r="2697" spans="2:12">
      <c r="B2697" s="1050"/>
      <c r="C2697" s="1050"/>
      <c r="D2697" s="382" t="s">
        <v>2956</v>
      </c>
      <c r="E2697" s="382" t="s">
        <v>2165</v>
      </c>
      <c r="F2697" s="382" t="s">
        <v>2342</v>
      </c>
      <c r="G2697" s="382" t="s">
        <v>2346</v>
      </c>
      <c r="H2697" s="383">
        <v>1497.5</v>
      </c>
      <c r="I2697" s="1046">
        <v>0</v>
      </c>
      <c r="J2697" s="1047"/>
      <c r="K2697" s="383">
        <v>3484.5</v>
      </c>
      <c r="L2697" s="383">
        <v>4982</v>
      </c>
    </row>
    <row r="2698" spans="2:12">
      <c r="B2698" s="1050"/>
      <c r="C2698" s="1050"/>
      <c r="D2698" s="382" t="s">
        <v>2956</v>
      </c>
      <c r="E2698" s="382" t="s">
        <v>2165</v>
      </c>
      <c r="F2698" s="382" t="s">
        <v>2342</v>
      </c>
      <c r="G2698" s="382" t="s">
        <v>2347</v>
      </c>
      <c r="H2698" s="383">
        <v>7131</v>
      </c>
      <c r="I2698" s="1046">
        <v>0</v>
      </c>
      <c r="J2698" s="1047"/>
      <c r="K2698" s="383">
        <v>1498</v>
      </c>
      <c r="L2698" s="383">
        <v>8629</v>
      </c>
    </row>
    <row r="2699" spans="2:12">
      <c r="B2699" s="1050"/>
      <c r="C2699" s="1050"/>
      <c r="D2699" s="382" t="s">
        <v>2956</v>
      </c>
      <c r="E2699" s="382" t="s">
        <v>2165</v>
      </c>
      <c r="F2699" s="382" t="s">
        <v>2342</v>
      </c>
      <c r="G2699" s="382" t="s">
        <v>2348</v>
      </c>
      <c r="H2699" s="383">
        <v>9675.9</v>
      </c>
      <c r="I2699" s="1046">
        <v>0</v>
      </c>
      <c r="J2699" s="1047"/>
      <c r="K2699" s="383">
        <v>1711.4</v>
      </c>
      <c r="L2699" s="383">
        <v>11387.3</v>
      </c>
    </row>
    <row r="2700" spans="2:12">
      <c r="B2700" s="1050"/>
      <c r="C2700" s="1050"/>
      <c r="D2700" s="382" t="s">
        <v>2956</v>
      </c>
      <c r="E2700" s="382" t="s">
        <v>2165</v>
      </c>
      <c r="F2700" s="382" t="s">
        <v>2342</v>
      </c>
      <c r="G2700" s="382" t="s">
        <v>2349</v>
      </c>
      <c r="H2700" s="383">
        <v>15593.8</v>
      </c>
      <c r="I2700" s="1046">
        <v>1160</v>
      </c>
      <c r="J2700" s="1047"/>
      <c r="K2700" s="383">
        <v>6796.3</v>
      </c>
      <c r="L2700" s="383">
        <v>21230.1</v>
      </c>
    </row>
    <row r="2701" spans="2:12">
      <c r="B2701" s="1050"/>
      <c r="C2701" s="1050"/>
      <c r="D2701" s="382" t="s">
        <v>2956</v>
      </c>
      <c r="E2701" s="382" t="s">
        <v>2165</v>
      </c>
      <c r="F2701" s="382" t="s">
        <v>2342</v>
      </c>
      <c r="G2701" s="382" t="s">
        <v>2350</v>
      </c>
      <c r="H2701" s="383">
        <v>21807.3</v>
      </c>
      <c r="I2701" s="1046">
        <v>0</v>
      </c>
      <c r="J2701" s="1047"/>
      <c r="K2701" s="383">
        <v>16341.3</v>
      </c>
      <c r="L2701" s="383">
        <v>38148.6</v>
      </c>
    </row>
    <row r="2702" spans="2:12">
      <c r="B2702" s="1050"/>
      <c r="C2702" s="1050"/>
      <c r="D2702" s="382" t="s">
        <v>2956</v>
      </c>
      <c r="E2702" s="382" t="s">
        <v>2165</v>
      </c>
      <c r="F2702" s="382" t="s">
        <v>2342</v>
      </c>
      <c r="G2702" s="382" t="s">
        <v>2351</v>
      </c>
      <c r="H2702" s="383">
        <v>4263.8999999999996</v>
      </c>
      <c r="I2702" s="1046">
        <v>0</v>
      </c>
      <c r="J2702" s="1047"/>
      <c r="K2702" s="383">
        <v>4499.3999999999996</v>
      </c>
      <c r="L2702" s="383">
        <v>8763.2999999999993</v>
      </c>
    </row>
    <row r="2703" spans="2:12">
      <c r="B2703" s="1050"/>
      <c r="C2703" s="1050"/>
      <c r="D2703" s="382" t="s">
        <v>2956</v>
      </c>
      <c r="E2703" s="382" t="s">
        <v>2165</v>
      </c>
      <c r="F2703" s="382" t="s">
        <v>2342</v>
      </c>
      <c r="G2703" s="382" t="s">
        <v>2352</v>
      </c>
      <c r="H2703" s="383">
        <v>8737.5</v>
      </c>
      <c r="I2703" s="1046">
        <v>0</v>
      </c>
      <c r="J2703" s="1047"/>
      <c r="K2703" s="383">
        <v>7050.4</v>
      </c>
      <c r="L2703" s="383">
        <v>15787.9</v>
      </c>
    </row>
    <row r="2704" spans="2:12">
      <c r="B2704" s="1050"/>
      <c r="C2704" s="1050"/>
      <c r="D2704" s="382" t="s">
        <v>2956</v>
      </c>
      <c r="E2704" s="382" t="s">
        <v>2165</v>
      </c>
      <c r="F2704" s="382" t="s">
        <v>2342</v>
      </c>
      <c r="G2704" s="382" t="s">
        <v>2353</v>
      </c>
      <c r="H2704" s="383">
        <v>5573</v>
      </c>
      <c r="I2704" s="1046">
        <v>0</v>
      </c>
      <c r="J2704" s="1047"/>
      <c r="K2704" s="383">
        <v>3314.5</v>
      </c>
      <c r="L2704" s="383">
        <v>8887.5</v>
      </c>
    </row>
    <row r="2705" spans="2:12">
      <c r="B2705" s="1050"/>
      <c r="C2705" s="1050"/>
      <c r="D2705" s="382" t="s">
        <v>2956</v>
      </c>
      <c r="E2705" s="382" t="s">
        <v>2165</v>
      </c>
      <c r="F2705" s="382" t="s">
        <v>2342</v>
      </c>
      <c r="G2705" s="382" t="s">
        <v>405</v>
      </c>
      <c r="H2705" s="383">
        <v>5428.3</v>
      </c>
      <c r="I2705" s="1046">
        <v>0</v>
      </c>
      <c r="J2705" s="1047"/>
      <c r="K2705" s="383">
        <v>3486.5</v>
      </c>
      <c r="L2705" s="383">
        <v>8914.7999999999993</v>
      </c>
    </row>
    <row r="2706" spans="2:12">
      <c r="B2706" s="1050"/>
      <c r="C2706" s="1050"/>
      <c r="D2706" s="382" t="s">
        <v>2956</v>
      </c>
      <c r="E2706" s="382" t="s">
        <v>2165</v>
      </c>
      <c r="F2706" s="382" t="s">
        <v>2342</v>
      </c>
      <c r="G2706" s="382" t="s">
        <v>2354</v>
      </c>
      <c r="H2706" s="383">
        <v>-43.78</v>
      </c>
      <c r="I2706" s="1046">
        <v>0</v>
      </c>
      <c r="J2706" s="1047"/>
      <c r="K2706" s="383">
        <v>3482.5</v>
      </c>
      <c r="L2706" s="383">
        <v>3438.72</v>
      </c>
    </row>
    <row r="2707" spans="2:12">
      <c r="B2707" s="1050"/>
      <c r="C2707" s="1050"/>
      <c r="D2707" s="382" t="s">
        <v>2956</v>
      </c>
      <c r="E2707" s="382" t="s">
        <v>2165</v>
      </c>
      <c r="F2707" s="382" t="s">
        <v>2342</v>
      </c>
      <c r="G2707" s="382" t="s">
        <v>2355</v>
      </c>
      <c r="H2707" s="383">
        <v>-10894.36</v>
      </c>
      <c r="I2707" s="1046">
        <v>10894.36</v>
      </c>
      <c r="J2707" s="1047"/>
      <c r="K2707" s="383">
        <v>0</v>
      </c>
      <c r="L2707" s="383">
        <v>-21788.720000000001</v>
      </c>
    </row>
    <row r="2708" spans="2:12">
      <c r="B2708" s="1050"/>
      <c r="C2708" s="1050"/>
      <c r="D2708" s="382" t="s">
        <v>2957</v>
      </c>
      <c r="E2708" s="382" t="s">
        <v>2166</v>
      </c>
      <c r="F2708" s="382" t="s">
        <v>2342</v>
      </c>
      <c r="G2708" s="382" t="s">
        <v>2343</v>
      </c>
      <c r="H2708" s="383">
        <v>4004.35</v>
      </c>
      <c r="I2708" s="1046">
        <v>0</v>
      </c>
      <c r="J2708" s="1047"/>
      <c r="K2708" s="383">
        <v>3354.22</v>
      </c>
      <c r="L2708" s="383">
        <v>7358.57</v>
      </c>
    </row>
    <row r="2709" spans="2:12">
      <c r="B2709" s="1050"/>
      <c r="C2709" s="1050"/>
      <c r="D2709" s="382" t="s">
        <v>2957</v>
      </c>
      <c r="E2709" s="382" t="s">
        <v>2166</v>
      </c>
      <c r="F2709" s="382" t="s">
        <v>2342</v>
      </c>
      <c r="G2709" s="382" t="s">
        <v>2344</v>
      </c>
      <c r="H2709" s="383">
        <v>3352.73</v>
      </c>
      <c r="I2709" s="1046">
        <v>0</v>
      </c>
      <c r="J2709" s="1047"/>
      <c r="K2709" s="383">
        <v>5103.58</v>
      </c>
      <c r="L2709" s="383">
        <v>8456.31</v>
      </c>
    </row>
    <row r="2710" spans="2:12">
      <c r="B2710" s="1050"/>
      <c r="C2710" s="1050"/>
      <c r="D2710" s="382" t="s">
        <v>2957</v>
      </c>
      <c r="E2710" s="382" t="s">
        <v>2166</v>
      </c>
      <c r="F2710" s="382" t="s">
        <v>2342</v>
      </c>
      <c r="G2710" s="382" t="s">
        <v>2345</v>
      </c>
      <c r="H2710" s="383">
        <v>4674.3900000000003</v>
      </c>
      <c r="I2710" s="1046">
        <v>0</v>
      </c>
      <c r="J2710" s="1047"/>
      <c r="K2710" s="383">
        <v>5786.86</v>
      </c>
      <c r="L2710" s="383">
        <v>10461.25</v>
      </c>
    </row>
    <row r="2711" spans="2:12">
      <c r="B2711" s="1050"/>
      <c r="C2711" s="1050"/>
      <c r="D2711" s="382" t="s">
        <v>2957</v>
      </c>
      <c r="E2711" s="382" t="s">
        <v>2166</v>
      </c>
      <c r="F2711" s="382" t="s">
        <v>2342</v>
      </c>
      <c r="G2711" s="382" t="s">
        <v>2346</v>
      </c>
      <c r="H2711" s="383">
        <v>851.63</v>
      </c>
      <c r="I2711" s="1046">
        <v>0</v>
      </c>
      <c r="J2711" s="1047"/>
      <c r="K2711" s="383">
        <v>1945.25</v>
      </c>
      <c r="L2711" s="383">
        <v>2796.88</v>
      </c>
    </row>
    <row r="2712" spans="2:12">
      <c r="B2712" s="1050"/>
      <c r="C2712" s="1050"/>
      <c r="D2712" s="382" t="s">
        <v>2957</v>
      </c>
      <c r="E2712" s="382" t="s">
        <v>2166</v>
      </c>
      <c r="F2712" s="382" t="s">
        <v>2342</v>
      </c>
      <c r="G2712" s="382" t="s">
        <v>2347</v>
      </c>
      <c r="H2712" s="383">
        <v>4337.47</v>
      </c>
      <c r="I2712" s="1046">
        <v>0</v>
      </c>
      <c r="J2712" s="1047"/>
      <c r="K2712" s="383">
        <v>870.8</v>
      </c>
      <c r="L2712" s="383">
        <v>5208.2700000000004</v>
      </c>
    </row>
    <row r="2713" spans="2:12">
      <c r="B2713" s="1050"/>
      <c r="C2713" s="1050"/>
      <c r="D2713" s="382" t="s">
        <v>2957</v>
      </c>
      <c r="E2713" s="382" t="s">
        <v>2166</v>
      </c>
      <c r="F2713" s="382" t="s">
        <v>2342</v>
      </c>
      <c r="G2713" s="382" t="s">
        <v>2348</v>
      </c>
      <c r="H2713" s="383">
        <v>5899.78</v>
      </c>
      <c r="I2713" s="1046">
        <v>0</v>
      </c>
      <c r="J2713" s="1047"/>
      <c r="K2713" s="383">
        <v>996.13</v>
      </c>
      <c r="L2713" s="383">
        <v>6895.91</v>
      </c>
    </row>
    <row r="2714" spans="2:12">
      <c r="B2714" s="1050"/>
      <c r="C2714" s="1050"/>
      <c r="D2714" s="382" t="s">
        <v>2957</v>
      </c>
      <c r="E2714" s="382" t="s">
        <v>2166</v>
      </c>
      <c r="F2714" s="382" t="s">
        <v>2342</v>
      </c>
      <c r="G2714" s="382" t="s">
        <v>2349</v>
      </c>
      <c r="H2714" s="383">
        <v>9585.2900000000009</v>
      </c>
      <c r="I2714" s="1046">
        <v>658.6</v>
      </c>
      <c r="J2714" s="1047"/>
      <c r="K2714" s="383">
        <v>4242.1099999999997</v>
      </c>
      <c r="L2714" s="383">
        <v>13168.8</v>
      </c>
    </row>
    <row r="2715" spans="2:12">
      <c r="B2715" s="1050"/>
      <c r="C2715" s="1050"/>
      <c r="D2715" s="382" t="s">
        <v>2957</v>
      </c>
      <c r="E2715" s="382" t="s">
        <v>2166</v>
      </c>
      <c r="F2715" s="382" t="s">
        <v>2342</v>
      </c>
      <c r="G2715" s="382" t="s">
        <v>2350</v>
      </c>
      <c r="H2715" s="383">
        <v>12462.36</v>
      </c>
      <c r="I2715" s="1046">
        <v>0</v>
      </c>
      <c r="J2715" s="1047"/>
      <c r="K2715" s="383">
        <v>9537.83</v>
      </c>
      <c r="L2715" s="383">
        <v>22000.19</v>
      </c>
    </row>
    <row r="2716" spans="2:12">
      <c r="B2716" s="1050"/>
      <c r="C2716" s="1050"/>
      <c r="D2716" s="382" t="s">
        <v>2957</v>
      </c>
      <c r="E2716" s="382" t="s">
        <v>2166</v>
      </c>
      <c r="F2716" s="382" t="s">
        <v>2342</v>
      </c>
      <c r="G2716" s="382" t="s">
        <v>2351</v>
      </c>
      <c r="H2716" s="383">
        <v>2508.59</v>
      </c>
      <c r="I2716" s="1046">
        <v>0</v>
      </c>
      <c r="J2716" s="1047"/>
      <c r="K2716" s="383">
        <v>2787.55</v>
      </c>
      <c r="L2716" s="383">
        <v>5296.14</v>
      </c>
    </row>
    <row r="2717" spans="2:12">
      <c r="B2717" s="1050"/>
      <c r="C2717" s="1050"/>
      <c r="D2717" s="382" t="s">
        <v>2957</v>
      </c>
      <c r="E2717" s="382" t="s">
        <v>2166</v>
      </c>
      <c r="F2717" s="382" t="s">
        <v>2342</v>
      </c>
      <c r="G2717" s="382" t="s">
        <v>2352</v>
      </c>
      <c r="H2717" s="383">
        <v>5566.46</v>
      </c>
      <c r="I2717" s="1046">
        <v>0</v>
      </c>
      <c r="J2717" s="1047"/>
      <c r="K2717" s="383">
        <v>4406.34</v>
      </c>
      <c r="L2717" s="383">
        <v>9972.7999999999993</v>
      </c>
    </row>
    <row r="2718" spans="2:12">
      <c r="B2718" s="1050"/>
      <c r="C2718" s="1050"/>
      <c r="D2718" s="382" t="s">
        <v>2957</v>
      </c>
      <c r="E2718" s="382" t="s">
        <v>2166</v>
      </c>
      <c r="F2718" s="382" t="s">
        <v>2342</v>
      </c>
      <c r="G2718" s="382" t="s">
        <v>2353</v>
      </c>
      <c r="H2718" s="383">
        <v>3433.85</v>
      </c>
      <c r="I2718" s="1046">
        <v>0</v>
      </c>
      <c r="J2718" s="1047"/>
      <c r="K2718" s="383">
        <v>1942.47</v>
      </c>
      <c r="L2718" s="383">
        <v>5376.32</v>
      </c>
    </row>
    <row r="2719" spans="2:12">
      <c r="B2719" s="1050"/>
      <c r="C2719" s="1050"/>
      <c r="D2719" s="382" t="s">
        <v>2957</v>
      </c>
      <c r="E2719" s="382" t="s">
        <v>2166</v>
      </c>
      <c r="F2719" s="382" t="s">
        <v>2342</v>
      </c>
      <c r="G2719" s="382" t="s">
        <v>405</v>
      </c>
      <c r="H2719" s="383">
        <v>3292.67</v>
      </c>
      <c r="I2719" s="1046">
        <v>0</v>
      </c>
      <c r="J2719" s="1047"/>
      <c r="K2719" s="383">
        <v>2057.87</v>
      </c>
      <c r="L2719" s="383">
        <v>5350.54</v>
      </c>
    </row>
    <row r="2720" spans="2:12">
      <c r="B2720" s="1050"/>
      <c r="C2720" s="1050"/>
      <c r="D2720" s="382" t="s">
        <v>2957</v>
      </c>
      <c r="E2720" s="382" t="s">
        <v>2166</v>
      </c>
      <c r="F2720" s="382" t="s">
        <v>2342</v>
      </c>
      <c r="G2720" s="382" t="s">
        <v>2354</v>
      </c>
      <c r="H2720" s="383">
        <v>-249.81</v>
      </c>
      <c r="I2720" s="1046">
        <v>0</v>
      </c>
      <c r="J2720" s="1047"/>
      <c r="K2720" s="383">
        <v>2075.09</v>
      </c>
      <c r="L2720" s="383">
        <v>1825.28</v>
      </c>
    </row>
    <row r="2721" spans="2:12">
      <c r="B2721" s="1050"/>
      <c r="C2721" s="1050"/>
      <c r="D2721" s="382" t="s">
        <v>2958</v>
      </c>
      <c r="E2721" s="382" t="s">
        <v>2167</v>
      </c>
      <c r="F2721" s="382" t="s">
        <v>2342</v>
      </c>
      <c r="G2721" s="382" t="s">
        <v>2343</v>
      </c>
      <c r="H2721" s="383">
        <v>0</v>
      </c>
      <c r="I2721" s="1046">
        <v>0</v>
      </c>
      <c r="J2721" s="1047"/>
      <c r="K2721" s="383">
        <v>2400</v>
      </c>
      <c r="L2721" s="383">
        <v>2400</v>
      </c>
    </row>
    <row r="2722" spans="2:12">
      <c r="B2722" s="1050"/>
      <c r="C2722" s="1050"/>
      <c r="D2722" s="382" t="s">
        <v>2958</v>
      </c>
      <c r="E2722" s="382" t="s">
        <v>2167</v>
      </c>
      <c r="F2722" s="382" t="s">
        <v>2342</v>
      </c>
      <c r="G2722" s="382" t="s">
        <v>2345</v>
      </c>
      <c r="H2722" s="383">
        <v>2786</v>
      </c>
      <c r="I2722" s="1046">
        <v>0</v>
      </c>
      <c r="J2722" s="1047"/>
      <c r="K2722" s="383">
        <v>0</v>
      </c>
      <c r="L2722" s="383">
        <v>2786</v>
      </c>
    </row>
    <row r="2723" spans="2:12">
      <c r="B2723" s="1050"/>
      <c r="C2723" s="1050"/>
      <c r="D2723" s="382" t="s">
        <v>2958</v>
      </c>
      <c r="E2723" s="382" t="s">
        <v>2167</v>
      </c>
      <c r="F2723" s="382" t="s">
        <v>2342</v>
      </c>
      <c r="G2723" s="382" t="s">
        <v>2346</v>
      </c>
      <c r="H2723" s="383">
        <v>4000</v>
      </c>
      <c r="I2723" s="1046">
        <v>0</v>
      </c>
      <c r="J2723" s="1047"/>
      <c r="K2723" s="383">
        <v>0</v>
      </c>
      <c r="L2723" s="383">
        <v>4000</v>
      </c>
    </row>
    <row r="2724" spans="2:12">
      <c r="B2724" s="1050"/>
      <c r="C2724" s="1050"/>
      <c r="D2724" s="382" t="s">
        <v>2958</v>
      </c>
      <c r="E2724" s="382" t="s">
        <v>2167</v>
      </c>
      <c r="F2724" s="382" t="s">
        <v>2342</v>
      </c>
      <c r="G2724" s="382" t="s">
        <v>2347</v>
      </c>
      <c r="H2724" s="383">
        <v>18000</v>
      </c>
      <c r="I2724" s="1046">
        <v>0</v>
      </c>
      <c r="J2724" s="1047"/>
      <c r="K2724" s="383">
        <v>0</v>
      </c>
      <c r="L2724" s="383">
        <v>18000</v>
      </c>
    </row>
    <row r="2725" spans="2:12">
      <c r="B2725" s="1050"/>
      <c r="C2725" s="1050"/>
      <c r="D2725" s="382" t="s">
        <v>2958</v>
      </c>
      <c r="E2725" s="382" t="s">
        <v>2167</v>
      </c>
      <c r="F2725" s="382" t="s">
        <v>2342</v>
      </c>
      <c r="G2725" s="382" t="s">
        <v>2348</v>
      </c>
      <c r="H2725" s="383">
        <v>8100</v>
      </c>
      <c r="I2725" s="1046">
        <v>0</v>
      </c>
      <c r="J2725" s="1047"/>
      <c r="K2725" s="383">
        <v>8600</v>
      </c>
      <c r="L2725" s="383">
        <v>16700</v>
      </c>
    </row>
    <row r="2726" spans="2:12">
      <c r="B2726" s="1050"/>
      <c r="C2726" s="1050"/>
      <c r="D2726" s="382" t="s">
        <v>2958</v>
      </c>
      <c r="E2726" s="382" t="s">
        <v>2167</v>
      </c>
      <c r="F2726" s="382" t="s">
        <v>2342</v>
      </c>
      <c r="G2726" s="382" t="s">
        <v>2349</v>
      </c>
      <c r="H2726" s="383">
        <v>2000</v>
      </c>
      <c r="I2726" s="1046">
        <v>4000</v>
      </c>
      <c r="J2726" s="1047"/>
      <c r="K2726" s="383">
        <v>3990</v>
      </c>
      <c r="L2726" s="383">
        <v>1990</v>
      </c>
    </row>
    <row r="2727" spans="2:12">
      <c r="B2727" s="1050"/>
      <c r="C2727" s="1050"/>
      <c r="D2727" s="382" t="s">
        <v>2958</v>
      </c>
      <c r="E2727" s="382" t="s">
        <v>2167</v>
      </c>
      <c r="F2727" s="382" t="s">
        <v>2342</v>
      </c>
      <c r="G2727" s="382" t="s">
        <v>2350</v>
      </c>
      <c r="H2727" s="383">
        <v>8388</v>
      </c>
      <c r="I2727" s="1046">
        <v>0</v>
      </c>
      <c r="J2727" s="1047"/>
      <c r="K2727" s="383">
        <v>10000</v>
      </c>
      <c r="L2727" s="383">
        <v>18388</v>
      </c>
    </row>
    <row r="2728" spans="2:12">
      <c r="B2728" s="1050"/>
      <c r="C2728" s="1050"/>
      <c r="D2728" s="382" t="s">
        <v>2958</v>
      </c>
      <c r="E2728" s="382" t="s">
        <v>2167</v>
      </c>
      <c r="F2728" s="382" t="s">
        <v>2342</v>
      </c>
      <c r="G2728" s="382" t="s">
        <v>2351</v>
      </c>
      <c r="H2728" s="383">
        <v>0</v>
      </c>
      <c r="I2728" s="1046">
        <v>0</v>
      </c>
      <c r="J2728" s="1047"/>
      <c r="K2728" s="383">
        <v>5000</v>
      </c>
      <c r="L2728" s="383">
        <v>5000</v>
      </c>
    </row>
    <row r="2729" spans="2:12">
      <c r="B2729" s="1050"/>
      <c r="C2729" s="1050"/>
      <c r="D2729" s="382" t="s">
        <v>2958</v>
      </c>
      <c r="E2729" s="382" t="s">
        <v>2167</v>
      </c>
      <c r="F2729" s="382" t="s">
        <v>2342</v>
      </c>
      <c r="G2729" s="382" t="s">
        <v>2353</v>
      </c>
      <c r="H2729" s="383">
        <v>3600</v>
      </c>
      <c r="I2729" s="1046">
        <v>0</v>
      </c>
      <c r="J2729" s="1047"/>
      <c r="K2729" s="383">
        <v>2400</v>
      </c>
      <c r="L2729" s="383">
        <v>6000</v>
      </c>
    </row>
    <row r="2730" spans="2:12">
      <c r="B2730" s="1050"/>
      <c r="C2730" s="1050"/>
      <c r="D2730" s="382" t="s">
        <v>2958</v>
      </c>
      <c r="E2730" s="382" t="s">
        <v>2167</v>
      </c>
      <c r="F2730" s="382" t="s">
        <v>2342</v>
      </c>
      <c r="G2730" s="382" t="s">
        <v>2355</v>
      </c>
      <c r="H2730" s="383">
        <v>-7405.15</v>
      </c>
      <c r="I2730" s="1046">
        <v>7405.15</v>
      </c>
      <c r="J2730" s="1047"/>
      <c r="K2730" s="383">
        <v>2000</v>
      </c>
      <c r="L2730" s="383">
        <v>-12810.3</v>
      </c>
    </row>
    <row r="2731" spans="2:12">
      <c r="B2731" s="1050"/>
      <c r="C2731" s="1050"/>
      <c r="D2731" s="382" t="s">
        <v>2959</v>
      </c>
      <c r="E2731" s="382" t="s">
        <v>2168</v>
      </c>
      <c r="F2731" s="382" t="s">
        <v>2342</v>
      </c>
      <c r="G2731" s="382" t="s">
        <v>2343</v>
      </c>
      <c r="H2731" s="383">
        <v>0</v>
      </c>
      <c r="I2731" s="1046">
        <v>0</v>
      </c>
      <c r="J2731" s="1047"/>
      <c r="K2731" s="383">
        <v>1346.4</v>
      </c>
      <c r="L2731" s="383">
        <v>1346.4</v>
      </c>
    </row>
    <row r="2732" spans="2:12">
      <c r="B2732" s="1050"/>
      <c r="C2732" s="1050"/>
      <c r="D2732" s="382" t="s">
        <v>2959</v>
      </c>
      <c r="E2732" s="382" t="s">
        <v>2168</v>
      </c>
      <c r="F2732" s="382" t="s">
        <v>2342</v>
      </c>
      <c r="G2732" s="382" t="s">
        <v>2345</v>
      </c>
      <c r="H2732" s="383">
        <v>2091.84</v>
      </c>
      <c r="I2732" s="1046">
        <v>0</v>
      </c>
      <c r="J2732" s="1047"/>
      <c r="K2732" s="383">
        <v>0</v>
      </c>
      <c r="L2732" s="383">
        <v>2091.84</v>
      </c>
    </row>
    <row r="2733" spans="2:12">
      <c r="B2733" s="1050"/>
      <c r="C2733" s="1050"/>
      <c r="D2733" s="382" t="s">
        <v>2959</v>
      </c>
      <c r="E2733" s="382" t="s">
        <v>2168</v>
      </c>
      <c r="F2733" s="382" t="s">
        <v>2342</v>
      </c>
      <c r="G2733" s="382" t="s">
        <v>2346</v>
      </c>
      <c r="H2733" s="383">
        <v>2802.28</v>
      </c>
      <c r="I2733" s="1046">
        <v>0</v>
      </c>
      <c r="J2733" s="1047"/>
      <c r="K2733" s="383">
        <v>0</v>
      </c>
      <c r="L2733" s="383">
        <v>2802.28</v>
      </c>
    </row>
    <row r="2734" spans="2:12">
      <c r="B2734" s="1050"/>
      <c r="C2734" s="1050"/>
      <c r="D2734" s="382" t="s">
        <v>2959</v>
      </c>
      <c r="E2734" s="382" t="s">
        <v>2168</v>
      </c>
      <c r="F2734" s="382" t="s">
        <v>2342</v>
      </c>
      <c r="G2734" s="382" t="s">
        <v>2347</v>
      </c>
      <c r="H2734" s="383">
        <v>12300.5</v>
      </c>
      <c r="I2734" s="1046">
        <v>0</v>
      </c>
      <c r="J2734" s="1047"/>
      <c r="K2734" s="383">
        <v>0</v>
      </c>
      <c r="L2734" s="383">
        <v>12300.5</v>
      </c>
    </row>
    <row r="2735" spans="2:12">
      <c r="B2735" s="1050"/>
      <c r="C2735" s="1050"/>
      <c r="D2735" s="382" t="s">
        <v>2959</v>
      </c>
      <c r="E2735" s="382" t="s">
        <v>2168</v>
      </c>
      <c r="F2735" s="382" t="s">
        <v>2342</v>
      </c>
      <c r="G2735" s="382" t="s">
        <v>2348</v>
      </c>
      <c r="H2735" s="383">
        <v>6051.27</v>
      </c>
      <c r="I2735" s="1046">
        <v>0</v>
      </c>
      <c r="J2735" s="1047"/>
      <c r="K2735" s="383">
        <v>6424.23</v>
      </c>
      <c r="L2735" s="383">
        <v>12475.5</v>
      </c>
    </row>
    <row r="2736" spans="2:12">
      <c r="B2736" s="1050"/>
      <c r="C2736" s="1050"/>
      <c r="D2736" s="382" t="s">
        <v>2959</v>
      </c>
      <c r="E2736" s="382" t="s">
        <v>2168</v>
      </c>
      <c r="F2736" s="382" t="s">
        <v>2342</v>
      </c>
      <c r="G2736" s="382" t="s">
        <v>2349</v>
      </c>
      <c r="H2736" s="383">
        <v>1307.08</v>
      </c>
      <c r="I2736" s="1046">
        <v>2614.16</v>
      </c>
      <c r="J2736" s="1047"/>
      <c r="K2736" s="383">
        <v>2802.15</v>
      </c>
      <c r="L2736" s="383">
        <v>1495.07</v>
      </c>
    </row>
    <row r="2737" spans="2:13">
      <c r="B2737" s="1050"/>
      <c r="C2737" s="1050"/>
      <c r="D2737" s="382" t="s">
        <v>2959</v>
      </c>
      <c r="E2737" s="382" t="s">
        <v>2168</v>
      </c>
      <c r="F2737" s="382" t="s">
        <v>2342</v>
      </c>
      <c r="G2737" s="382" t="s">
        <v>2350</v>
      </c>
      <c r="H2737" s="383">
        <v>4990.01</v>
      </c>
      <c r="I2737" s="1046">
        <v>0</v>
      </c>
      <c r="J2737" s="1047"/>
      <c r="K2737" s="383">
        <v>9330</v>
      </c>
      <c r="L2737" s="383">
        <v>14320.01</v>
      </c>
    </row>
    <row r="2738" spans="2:13">
      <c r="B2738" s="1050"/>
      <c r="C2738" s="1050"/>
      <c r="D2738" s="382" t="s">
        <v>2959</v>
      </c>
      <c r="E2738" s="382" t="s">
        <v>2168</v>
      </c>
      <c r="F2738" s="382" t="s">
        <v>2342</v>
      </c>
      <c r="G2738" s="382" t="s">
        <v>2351</v>
      </c>
      <c r="H2738" s="383">
        <v>0</v>
      </c>
      <c r="I2738" s="1046">
        <v>0</v>
      </c>
      <c r="J2738" s="1047"/>
      <c r="K2738" s="383">
        <v>3363.01</v>
      </c>
      <c r="L2738" s="383">
        <v>3363.01</v>
      </c>
    </row>
    <row r="2739" spans="2:13">
      <c r="B2739" s="1050"/>
      <c r="C2739" s="1050"/>
      <c r="D2739" s="382" t="s">
        <v>2959</v>
      </c>
      <c r="E2739" s="382" t="s">
        <v>2168</v>
      </c>
      <c r="F2739" s="382" t="s">
        <v>2342</v>
      </c>
      <c r="G2739" s="382" t="s">
        <v>2353</v>
      </c>
      <c r="H2739" s="383">
        <v>2689.41</v>
      </c>
      <c r="I2739" s="1046">
        <v>0</v>
      </c>
      <c r="J2739" s="1047"/>
      <c r="K2739" s="383">
        <v>1457.46</v>
      </c>
      <c r="L2739" s="383">
        <v>4146.87</v>
      </c>
    </row>
    <row r="2740" spans="2:13">
      <c r="B2740" s="1050"/>
      <c r="C2740" s="1050"/>
      <c r="D2740" s="382" t="s">
        <v>2959</v>
      </c>
      <c r="E2740" s="382" t="s">
        <v>2168</v>
      </c>
      <c r="F2740" s="382" t="s">
        <v>2342</v>
      </c>
      <c r="G2740" s="382" t="s">
        <v>2355</v>
      </c>
      <c r="H2740" s="383">
        <v>0</v>
      </c>
      <c r="I2740" s="1046">
        <v>0</v>
      </c>
      <c r="J2740" s="1047"/>
      <c r="K2740" s="383">
        <v>1307.08</v>
      </c>
      <c r="L2740" s="383">
        <v>1307.08</v>
      </c>
    </row>
    <row r="2741" spans="2:13">
      <c r="B2741" s="1050"/>
      <c r="C2741" s="1050"/>
      <c r="D2741" s="382" t="s">
        <v>2960</v>
      </c>
      <c r="E2741" s="382" t="s">
        <v>2169</v>
      </c>
      <c r="F2741" s="382" t="s">
        <v>2342</v>
      </c>
      <c r="G2741" s="382" t="s">
        <v>2355</v>
      </c>
      <c r="H2741" s="383">
        <v>0</v>
      </c>
      <c r="I2741" s="1046">
        <v>0</v>
      </c>
      <c r="J2741" s="1047"/>
      <c r="K2741" s="383">
        <v>1104.17</v>
      </c>
      <c r="L2741" s="383">
        <v>1104.17</v>
      </c>
    </row>
    <row r="2742" spans="2:13">
      <c r="B2742" s="1050"/>
      <c r="C2742" s="1051"/>
      <c r="D2742" s="359" t="s">
        <v>12</v>
      </c>
      <c r="E2742" s="359" t="s">
        <v>111</v>
      </c>
      <c r="F2742" s="359" t="s">
        <v>111</v>
      </c>
      <c r="G2742" s="359" t="s">
        <v>111</v>
      </c>
      <c r="H2742" s="384">
        <v>650979.71</v>
      </c>
      <c r="I2742" s="1048">
        <v>69390.73</v>
      </c>
      <c r="J2742" s="1047"/>
      <c r="K2742" s="384">
        <v>526412.23</v>
      </c>
      <c r="L2742" s="384">
        <v>1108001.21</v>
      </c>
      <c r="M2742" s="363"/>
    </row>
    <row r="2743" spans="2:13">
      <c r="B2743" s="1050"/>
      <c r="C2743" s="1049" t="s">
        <v>2961</v>
      </c>
      <c r="D2743" s="382" t="s">
        <v>2962</v>
      </c>
      <c r="E2743" s="382" t="s">
        <v>2170</v>
      </c>
      <c r="F2743" s="382" t="s">
        <v>2342</v>
      </c>
      <c r="G2743" s="382" t="s">
        <v>2343</v>
      </c>
      <c r="H2743" s="383">
        <v>-74000.039999999994</v>
      </c>
      <c r="I2743" s="1046">
        <v>27966.7</v>
      </c>
      <c r="J2743" s="1047"/>
      <c r="K2743" s="383">
        <v>0</v>
      </c>
      <c r="L2743" s="383">
        <v>-101966.74</v>
      </c>
    </row>
    <row r="2744" spans="2:13">
      <c r="B2744" s="1050"/>
      <c r="C2744" s="1050"/>
      <c r="D2744" s="382" t="s">
        <v>2962</v>
      </c>
      <c r="E2744" s="382" t="s">
        <v>2170</v>
      </c>
      <c r="F2744" s="382" t="s">
        <v>2342</v>
      </c>
      <c r="G2744" s="382" t="s">
        <v>2344</v>
      </c>
      <c r="H2744" s="383">
        <v>-69484.34</v>
      </c>
      <c r="I2744" s="1046">
        <v>34531.68</v>
      </c>
      <c r="J2744" s="1047"/>
      <c r="K2744" s="383">
        <v>0</v>
      </c>
      <c r="L2744" s="383">
        <v>-104016.02</v>
      </c>
    </row>
    <row r="2745" spans="2:13">
      <c r="B2745" s="1050"/>
      <c r="C2745" s="1050"/>
      <c r="D2745" s="382" t="s">
        <v>2962</v>
      </c>
      <c r="E2745" s="382" t="s">
        <v>2170</v>
      </c>
      <c r="F2745" s="382" t="s">
        <v>2342</v>
      </c>
      <c r="G2745" s="382" t="s">
        <v>2345</v>
      </c>
      <c r="H2745" s="383">
        <v>-58253.43</v>
      </c>
      <c r="I2745" s="1046">
        <v>26704.01</v>
      </c>
      <c r="J2745" s="1047"/>
      <c r="K2745" s="383">
        <v>0</v>
      </c>
      <c r="L2745" s="383">
        <v>-84957.440000000002</v>
      </c>
    </row>
    <row r="2746" spans="2:13">
      <c r="B2746" s="1050"/>
      <c r="C2746" s="1050"/>
      <c r="D2746" s="382" t="s">
        <v>2962</v>
      </c>
      <c r="E2746" s="382" t="s">
        <v>2170</v>
      </c>
      <c r="F2746" s="382" t="s">
        <v>2342</v>
      </c>
      <c r="G2746" s="382" t="s">
        <v>2346</v>
      </c>
      <c r="H2746" s="383">
        <v>-47019.02</v>
      </c>
      <c r="I2746" s="1046">
        <v>20809.46</v>
      </c>
      <c r="J2746" s="1047"/>
      <c r="K2746" s="383">
        <v>0</v>
      </c>
      <c r="L2746" s="383">
        <v>-67828.479999999996</v>
      </c>
    </row>
    <row r="2747" spans="2:13">
      <c r="B2747" s="1050"/>
      <c r="C2747" s="1050"/>
      <c r="D2747" s="382" t="s">
        <v>2962</v>
      </c>
      <c r="E2747" s="382" t="s">
        <v>2170</v>
      </c>
      <c r="F2747" s="382" t="s">
        <v>2342</v>
      </c>
      <c r="G2747" s="382" t="s">
        <v>2347</v>
      </c>
      <c r="H2747" s="383">
        <v>-117656.35</v>
      </c>
      <c r="I2747" s="1046">
        <v>53401.16</v>
      </c>
      <c r="J2747" s="1047"/>
      <c r="K2747" s="383">
        <v>0</v>
      </c>
      <c r="L2747" s="383">
        <v>-171057.51</v>
      </c>
    </row>
    <row r="2748" spans="2:13">
      <c r="B2748" s="1050"/>
      <c r="C2748" s="1050"/>
      <c r="D2748" s="382" t="s">
        <v>2962</v>
      </c>
      <c r="E2748" s="382" t="s">
        <v>2170</v>
      </c>
      <c r="F2748" s="382" t="s">
        <v>2342</v>
      </c>
      <c r="G2748" s="382" t="s">
        <v>2348</v>
      </c>
      <c r="H2748" s="383">
        <v>-71094.75</v>
      </c>
      <c r="I2748" s="1046">
        <v>37667.379999999997</v>
      </c>
      <c r="J2748" s="1047"/>
      <c r="K2748" s="383">
        <v>0</v>
      </c>
      <c r="L2748" s="383">
        <v>-108762.13</v>
      </c>
    </row>
    <row r="2749" spans="2:13">
      <c r="B2749" s="1050"/>
      <c r="C2749" s="1050"/>
      <c r="D2749" s="382" t="s">
        <v>2962</v>
      </c>
      <c r="E2749" s="382" t="s">
        <v>2170</v>
      </c>
      <c r="F2749" s="382" t="s">
        <v>2342</v>
      </c>
      <c r="G2749" s="382" t="s">
        <v>2349</v>
      </c>
      <c r="H2749" s="383">
        <v>-114332.51</v>
      </c>
      <c r="I2749" s="1046">
        <v>56473.83</v>
      </c>
      <c r="J2749" s="1047"/>
      <c r="K2749" s="383">
        <v>0</v>
      </c>
      <c r="L2749" s="383">
        <v>-170806.34</v>
      </c>
    </row>
    <row r="2750" spans="2:13">
      <c r="B2750" s="1050"/>
      <c r="C2750" s="1050"/>
      <c r="D2750" s="382" t="s">
        <v>2962</v>
      </c>
      <c r="E2750" s="382" t="s">
        <v>2170</v>
      </c>
      <c r="F2750" s="382" t="s">
        <v>2342</v>
      </c>
      <c r="G2750" s="382" t="s">
        <v>2350</v>
      </c>
      <c r="H2750" s="383">
        <v>-76723.16</v>
      </c>
      <c r="I2750" s="1046">
        <v>43919.86</v>
      </c>
      <c r="J2750" s="1047"/>
      <c r="K2750" s="383">
        <v>0</v>
      </c>
      <c r="L2750" s="383">
        <v>-120643.02</v>
      </c>
    </row>
    <row r="2751" spans="2:13">
      <c r="B2751" s="1050"/>
      <c r="C2751" s="1050"/>
      <c r="D2751" s="382" t="s">
        <v>2962</v>
      </c>
      <c r="E2751" s="382" t="s">
        <v>2170</v>
      </c>
      <c r="F2751" s="382" t="s">
        <v>2342</v>
      </c>
      <c r="G2751" s="382" t="s">
        <v>2351</v>
      </c>
      <c r="H2751" s="383">
        <v>-52030.22</v>
      </c>
      <c r="I2751" s="1046">
        <v>25853.66</v>
      </c>
      <c r="J2751" s="1047"/>
      <c r="K2751" s="383">
        <v>0</v>
      </c>
      <c r="L2751" s="383">
        <v>-77883.88</v>
      </c>
    </row>
    <row r="2752" spans="2:13">
      <c r="B2752" s="1050"/>
      <c r="C2752" s="1050"/>
      <c r="D2752" s="382" t="s">
        <v>2962</v>
      </c>
      <c r="E2752" s="382" t="s">
        <v>2170</v>
      </c>
      <c r="F2752" s="382" t="s">
        <v>2342</v>
      </c>
      <c r="G2752" s="382" t="s">
        <v>2352</v>
      </c>
      <c r="H2752" s="383">
        <v>-49383.46</v>
      </c>
      <c r="I2752" s="1046">
        <v>28628.21</v>
      </c>
      <c r="J2752" s="1047"/>
      <c r="K2752" s="383">
        <v>0</v>
      </c>
      <c r="L2752" s="383">
        <v>-78011.67</v>
      </c>
    </row>
    <row r="2753" spans="2:12">
      <c r="B2753" s="1050"/>
      <c r="C2753" s="1050"/>
      <c r="D2753" s="382" t="s">
        <v>2962</v>
      </c>
      <c r="E2753" s="382" t="s">
        <v>2170</v>
      </c>
      <c r="F2753" s="382" t="s">
        <v>2342</v>
      </c>
      <c r="G2753" s="382" t="s">
        <v>2353</v>
      </c>
      <c r="H2753" s="383">
        <v>-59855.76</v>
      </c>
      <c r="I2753" s="1046">
        <v>30869.35</v>
      </c>
      <c r="J2753" s="1047"/>
      <c r="K2753" s="383">
        <v>0</v>
      </c>
      <c r="L2753" s="383">
        <v>-90725.11</v>
      </c>
    </row>
    <row r="2754" spans="2:12">
      <c r="B2754" s="1050"/>
      <c r="C2754" s="1050"/>
      <c r="D2754" s="382" t="s">
        <v>2962</v>
      </c>
      <c r="E2754" s="382" t="s">
        <v>2170</v>
      </c>
      <c r="F2754" s="382" t="s">
        <v>2342</v>
      </c>
      <c r="G2754" s="382" t="s">
        <v>405</v>
      </c>
      <c r="H2754" s="383">
        <v>-30482.05</v>
      </c>
      <c r="I2754" s="1046">
        <v>21725.82</v>
      </c>
      <c r="J2754" s="1047"/>
      <c r="K2754" s="383">
        <v>0</v>
      </c>
      <c r="L2754" s="383">
        <v>-52207.87</v>
      </c>
    </row>
    <row r="2755" spans="2:12">
      <c r="B2755" s="1050"/>
      <c r="C2755" s="1050"/>
      <c r="D2755" s="382" t="s">
        <v>2962</v>
      </c>
      <c r="E2755" s="382" t="s">
        <v>2170</v>
      </c>
      <c r="F2755" s="382" t="s">
        <v>2342</v>
      </c>
      <c r="G2755" s="382" t="s">
        <v>2355</v>
      </c>
      <c r="H2755" s="383">
        <v>2535532.9300000002</v>
      </c>
      <c r="I2755" s="1046">
        <v>285156.06</v>
      </c>
      <c r="J2755" s="1047"/>
      <c r="K2755" s="383">
        <v>0</v>
      </c>
      <c r="L2755" s="383">
        <v>2250376.87</v>
      </c>
    </row>
    <row r="2756" spans="2:12">
      <c r="B2756" s="1050"/>
      <c r="C2756" s="1051"/>
      <c r="D2756" s="359" t="s">
        <v>12</v>
      </c>
      <c r="E2756" s="359" t="s">
        <v>111</v>
      </c>
      <c r="F2756" s="359" t="s">
        <v>111</v>
      </c>
      <c r="G2756" s="359" t="s">
        <v>111</v>
      </c>
      <c r="H2756" s="384">
        <v>1715217.84</v>
      </c>
      <c r="I2756" s="1048">
        <v>693707.18</v>
      </c>
      <c r="J2756" s="1047"/>
      <c r="K2756" s="384">
        <v>0</v>
      </c>
      <c r="L2756" s="384">
        <v>1021510.66</v>
      </c>
    </row>
    <row r="2757" spans="2:12">
      <c r="B2757" s="1050"/>
      <c r="C2757" s="1049" t="s">
        <v>2963</v>
      </c>
      <c r="D2757" s="382" t="s">
        <v>2964</v>
      </c>
      <c r="E2757" s="382" t="s">
        <v>2036</v>
      </c>
      <c r="F2757" s="382" t="s">
        <v>2342</v>
      </c>
      <c r="G2757" s="382" t="s">
        <v>2355</v>
      </c>
      <c r="H2757" s="383">
        <v>0</v>
      </c>
      <c r="I2757" s="1046">
        <v>0</v>
      </c>
      <c r="J2757" s="1047"/>
      <c r="K2757" s="383">
        <v>0</v>
      </c>
      <c r="L2757" s="383">
        <v>0</v>
      </c>
    </row>
    <row r="2758" spans="2:12">
      <c r="B2758" s="1050"/>
      <c r="C2758" s="1050"/>
      <c r="D2758" s="382" t="s">
        <v>2965</v>
      </c>
      <c r="E2758" s="382" t="s">
        <v>2171</v>
      </c>
      <c r="F2758" s="382" t="s">
        <v>2342</v>
      </c>
      <c r="G2758" s="382" t="s">
        <v>2355</v>
      </c>
      <c r="H2758" s="383">
        <v>324062.17</v>
      </c>
      <c r="I2758" s="1046">
        <v>737434.46</v>
      </c>
      <c r="J2758" s="1047"/>
      <c r="K2758" s="383">
        <v>410432.57</v>
      </c>
      <c r="L2758" s="383">
        <v>-2939.72</v>
      </c>
    </row>
    <row r="2759" spans="2:12">
      <c r="B2759" s="1050"/>
      <c r="C2759" s="1050"/>
      <c r="D2759" s="382" t="s">
        <v>2966</v>
      </c>
      <c r="E2759" s="382" t="s">
        <v>2172</v>
      </c>
      <c r="F2759" s="382" t="s">
        <v>2342</v>
      </c>
      <c r="G2759" s="382" t="s">
        <v>2355</v>
      </c>
      <c r="H2759" s="383">
        <v>81783.789999999994</v>
      </c>
      <c r="I2759" s="1046">
        <v>0</v>
      </c>
      <c r="J2759" s="1047"/>
      <c r="K2759" s="383">
        <v>0</v>
      </c>
      <c r="L2759" s="383">
        <v>81783.789999999994</v>
      </c>
    </row>
    <row r="2760" spans="2:12">
      <c r="B2760" s="1050"/>
      <c r="C2760" s="1050"/>
      <c r="D2760" s="382" t="s">
        <v>2967</v>
      </c>
      <c r="E2760" s="382" t="s">
        <v>2173</v>
      </c>
      <c r="F2760" s="382" t="s">
        <v>2342</v>
      </c>
      <c r="G2760" s="382" t="s">
        <v>2355</v>
      </c>
      <c r="H2760" s="383">
        <v>138679.37</v>
      </c>
      <c r="I2760" s="1046">
        <v>170</v>
      </c>
      <c r="J2760" s="1047"/>
      <c r="K2760" s="383">
        <v>2630.27</v>
      </c>
      <c r="L2760" s="383">
        <v>141139.64000000001</v>
      </c>
    </row>
    <row r="2761" spans="2:12">
      <c r="B2761" s="1050"/>
      <c r="C2761" s="1050"/>
      <c r="D2761" s="382" t="s">
        <v>2968</v>
      </c>
      <c r="E2761" s="382" t="s">
        <v>2174</v>
      </c>
      <c r="F2761" s="382" t="s">
        <v>2342</v>
      </c>
      <c r="G2761" s="382" t="s">
        <v>2355</v>
      </c>
      <c r="H2761" s="383">
        <v>548291.18000000005</v>
      </c>
      <c r="I2761" s="1046">
        <v>5243.56</v>
      </c>
      <c r="J2761" s="1047"/>
      <c r="K2761" s="383">
        <v>0</v>
      </c>
      <c r="L2761" s="383">
        <v>543047.62</v>
      </c>
    </row>
    <row r="2762" spans="2:12">
      <c r="B2762" s="1050"/>
      <c r="C2762" s="1050"/>
      <c r="D2762" s="382" t="s">
        <v>2969</v>
      </c>
      <c r="E2762" s="382" t="s">
        <v>2175</v>
      </c>
      <c r="F2762" s="382" t="s">
        <v>2342</v>
      </c>
      <c r="G2762" s="382" t="s">
        <v>2355</v>
      </c>
      <c r="H2762" s="383">
        <v>0</v>
      </c>
      <c r="I2762" s="1046">
        <v>0</v>
      </c>
      <c r="J2762" s="1047"/>
      <c r="K2762" s="383">
        <v>0</v>
      </c>
      <c r="L2762" s="383">
        <v>0</v>
      </c>
    </row>
    <row r="2763" spans="2:12">
      <c r="B2763" s="1050"/>
      <c r="C2763" s="1051"/>
      <c r="D2763" s="359" t="s">
        <v>12</v>
      </c>
      <c r="E2763" s="359" t="s">
        <v>111</v>
      </c>
      <c r="F2763" s="359" t="s">
        <v>111</v>
      </c>
      <c r="G2763" s="359" t="s">
        <v>111</v>
      </c>
      <c r="H2763" s="384">
        <v>1092816.51</v>
      </c>
      <c r="I2763" s="1048">
        <v>742848.02</v>
      </c>
      <c r="J2763" s="1047"/>
      <c r="K2763" s="384">
        <v>413062.84</v>
      </c>
      <c r="L2763" s="384">
        <v>763031.33</v>
      </c>
    </row>
    <row r="2764" spans="2:12">
      <c r="B2764" s="1050"/>
      <c r="C2764" s="1049" t="s">
        <v>2970</v>
      </c>
      <c r="D2764" s="382" t="s">
        <v>2971</v>
      </c>
      <c r="E2764" s="382" t="s">
        <v>2176</v>
      </c>
      <c r="F2764" s="382" t="s">
        <v>2342</v>
      </c>
      <c r="G2764" s="382" t="s">
        <v>2355</v>
      </c>
      <c r="H2764" s="383">
        <v>0</v>
      </c>
      <c r="I2764" s="1046">
        <v>0</v>
      </c>
      <c r="J2764" s="1047"/>
      <c r="K2764" s="383">
        <v>0</v>
      </c>
      <c r="L2764" s="383">
        <v>0</v>
      </c>
    </row>
    <row r="2765" spans="2:12">
      <c r="B2765" s="1050"/>
      <c r="C2765" s="1051"/>
      <c r="D2765" s="359" t="s">
        <v>12</v>
      </c>
      <c r="E2765" s="359" t="s">
        <v>111</v>
      </c>
      <c r="F2765" s="359" t="s">
        <v>111</v>
      </c>
      <c r="G2765" s="359" t="s">
        <v>111</v>
      </c>
      <c r="H2765" s="384">
        <v>0</v>
      </c>
      <c r="I2765" s="1048">
        <v>0</v>
      </c>
      <c r="J2765" s="1047"/>
      <c r="K2765" s="384">
        <v>0</v>
      </c>
      <c r="L2765" s="384">
        <v>0</v>
      </c>
    </row>
    <row r="2766" spans="2:12">
      <c r="B2766" s="1050"/>
      <c r="C2766" s="1049" t="s">
        <v>2972</v>
      </c>
      <c r="D2766" s="382" t="s">
        <v>2973</v>
      </c>
      <c r="E2766" s="382" t="s">
        <v>2010</v>
      </c>
      <c r="F2766" s="382" t="s">
        <v>2342</v>
      </c>
      <c r="G2766" s="382" t="s">
        <v>2343</v>
      </c>
      <c r="H2766" s="383">
        <v>64935.32</v>
      </c>
      <c r="I2766" s="1046">
        <v>749755.19</v>
      </c>
      <c r="J2766" s="1047"/>
      <c r="K2766" s="383">
        <v>779243.95</v>
      </c>
      <c r="L2766" s="383">
        <v>94424.08</v>
      </c>
    </row>
    <row r="2767" spans="2:12">
      <c r="B2767" s="1050"/>
      <c r="C2767" s="1050"/>
      <c r="D2767" s="382" t="s">
        <v>2973</v>
      </c>
      <c r="E2767" s="382" t="s">
        <v>2010</v>
      </c>
      <c r="F2767" s="382" t="s">
        <v>2342</v>
      </c>
      <c r="G2767" s="382" t="s">
        <v>2344</v>
      </c>
      <c r="H2767" s="383">
        <v>117847.72</v>
      </c>
      <c r="I2767" s="1046">
        <v>451629.79</v>
      </c>
      <c r="J2767" s="1047"/>
      <c r="K2767" s="383">
        <v>431674.82</v>
      </c>
      <c r="L2767" s="383">
        <v>97892.75</v>
      </c>
    </row>
    <row r="2768" spans="2:12">
      <c r="B2768" s="1050"/>
      <c r="C2768" s="1050"/>
      <c r="D2768" s="382" t="s">
        <v>2973</v>
      </c>
      <c r="E2768" s="382" t="s">
        <v>2010</v>
      </c>
      <c r="F2768" s="382" t="s">
        <v>2342</v>
      </c>
      <c r="G2768" s="382" t="s">
        <v>2345</v>
      </c>
      <c r="H2768" s="383">
        <v>18035.98</v>
      </c>
      <c r="I2768" s="1046">
        <v>332026.93</v>
      </c>
      <c r="J2768" s="1047"/>
      <c r="K2768" s="383">
        <v>350691.89</v>
      </c>
      <c r="L2768" s="383">
        <v>36700.94</v>
      </c>
    </row>
    <row r="2769" spans="2:12">
      <c r="B2769" s="1050"/>
      <c r="C2769" s="1050"/>
      <c r="D2769" s="382" t="s">
        <v>2973</v>
      </c>
      <c r="E2769" s="382" t="s">
        <v>2010</v>
      </c>
      <c r="F2769" s="382" t="s">
        <v>2342</v>
      </c>
      <c r="G2769" s="382" t="s">
        <v>2346</v>
      </c>
      <c r="H2769" s="383">
        <v>61360.59</v>
      </c>
      <c r="I2769" s="1046">
        <v>212802.07</v>
      </c>
      <c r="J2769" s="1047"/>
      <c r="K2769" s="383">
        <v>214930.11</v>
      </c>
      <c r="L2769" s="383">
        <v>63488.63</v>
      </c>
    </row>
    <row r="2770" spans="2:12">
      <c r="B2770" s="1050"/>
      <c r="C2770" s="1050"/>
      <c r="D2770" s="382" t="s">
        <v>2973</v>
      </c>
      <c r="E2770" s="382" t="s">
        <v>2010</v>
      </c>
      <c r="F2770" s="382" t="s">
        <v>2342</v>
      </c>
      <c r="G2770" s="382" t="s">
        <v>2347</v>
      </c>
      <c r="H2770" s="383">
        <v>146544.85</v>
      </c>
      <c r="I2770" s="1046">
        <v>561346.51</v>
      </c>
      <c r="J2770" s="1047"/>
      <c r="K2770" s="383">
        <v>566512.04</v>
      </c>
      <c r="L2770" s="383">
        <v>151710.38</v>
      </c>
    </row>
    <row r="2771" spans="2:12">
      <c r="B2771" s="1050"/>
      <c r="C2771" s="1050"/>
      <c r="D2771" s="382" t="s">
        <v>2973</v>
      </c>
      <c r="E2771" s="382" t="s">
        <v>2010</v>
      </c>
      <c r="F2771" s="382" t="s">
        <v>2342</v>
      </c>
      <c r="G2771" s="382" t="s">
        <v>2348</v>
      </c>
      <c r="H2771" s="383">
        <v>128680.85</v>
      </c>
      <c r="I2771" s="1046">
        <v>668954.57999999996</v>
      </c>
      <c r="J2771" s="1047"/>
      <c r="K2771" s="383">
        <v>673323.03</v>
      </c>
      <c r="L2771" s="383">
        <v>133049.29999999999</v>
      </c>
    </row>
    <row r="2772" spans="2:12">
      <c r="B2772" s="1050"/>
      <c r="C2772" s="1050"/>
      <c r="D2772" s="382" t="s">
        <v>2973</v>
      </c>
      <c r="E2772" s="382" t="s">
        <v>2010</v>
      </c>
      <c r="F2772" s="382" t="s">
        <v>2342</v>
      </c>
      <c r="G2772" s="382" t="s">
        <v>2349</v>
      </c>
      <c r="H2772" s="383">
        <v>136657.46</v>
      </c>
      <c r="I2772" s="1046">
        <v>669157.30000000005</v>
      </c>
      <c r="J2772" s="1047"/>
      <c r="K2772" s="383">
        <v>638865.43000000005</v>
      </c>
      <c r="L2772" s="383">
        <v>106365.59</v>
      </c>
    </row>
    <row r="2773" spans="2:12">
      <c r="B2773" s="1050"/>
      <c r="C2773" s="1050"/>
      <c r="D2773" s="382" t="s">
        <v>2973</v>
      </c>
      <c r="E2773" s="382" t="s">
        <v>2010</v>
      </c>
      <c r="F2773" s="382" t="s">
        <v>2342</v>
      </c>
      <c r="G2773" s="382" t="s">
        <v>2350</v>
      </c>
      <c r="H2773" s="383">
        <v>44486.239999999998</v>
      </c>
      <c r="I2773" s="1046">
        <v>499439.83</v>
      </c>
      <c r="J2773" s="1047"/>
      <c r="K2773" s="383">
        <v>503679.81</v>
      </c>
      <c r="L2773" s="383">
        <v>48726.22</v>
      </c>
    </row>
    <row r="2774" spans="2:12">
      <c r="B2774" s="1050"/>
      <c r="C2774" s="1050"/>
      <c r="D2774" s="382" t="s">
        <v>2973</v>
      </c>
      <c r="E2774" s="382" t="s">
        <v>2010</v>
      </c>
      <c r="F2774" s="382" t="s">
        <v>2342</v>
      </c>
      <c r="G2774" s="382" t="s">
        <v>2351</v>
      </c>
      <c r="H2774" s="383">
        <v>44643.69</v>
      </c>
      <c r="I2774" s="1046">
        <v>131069.1</v>
      </c>
      <c r="J2774" s="1047"/>
      <c r="K2774" s="383">
        <v>120761.94</v>
      </c>
      <c r="L2774" s="383">
        <v>34336.53</v>
      </c>
    </row>
    <row r="2775" spans="2:12">
      <c r="B2775" s="1050"/>
      <c r="C2775" s="1050"/>
      <c r="D2775" s="382" t="s">
        <v>2973</v>
      </c>
      <c r="E2775" s="382" t="s">
        <v>2010</v>
      </c>
      <c r="F2775" s="382" t="s">
        <v>2342</v>
      </c>
      <c r="G2775" s="382" t="s">
        <v>2352</v>
      </c>
      <c r="H2775" s="383">
        <v>68487.28</v>
      </c>
      <c r="I2775" s="1046">
        <v>307332.46999999997</v>
      </c>
      <c r="J2775" s="1047"/>
      <c r="K2775" s="383">
        <v>302285.78999999998</v>
      </c>
      <c r="L2775" s="383">
        <v>63440.6</v>
      </c>
    </row>
    <row r="2776" spans="2:12">
      <c r="B2776" s="1050"/>
      <c r="C2776" s="1050"/>
      <c r="D2776" s="382" t="s">
        <v>2973</v>
      </c>
      <c r="E2776" s="382" t="s">
        <v>2010</v>
      </c>
      <c r="F2776" s="382" t="s">
        <v>2342</v>
      </c>
      <c r="G2776" s="382" t="s">
        <v>2353</v>
      </c>
      <c r="H2776" s="383">
        <v>50024.87</v>
      </c>
      <c r="I2776" s="1046">
        <v>489861.7</v>
      </c>
      <c r="J2776" s="1047"/>
      <c r="K2776" s="383">
        <v>508604.99</v>
      </c>
      <c r="L2776" s="383">
        <v>68768.160000000003</v>
      </c>
    </row>
    <row r="2777" spans="2:12">
      <c r="B2777" s="1050"/>
      <c r="C2777" s="1050"/>
      <c r="D2777" s="382" t="s">
        <v>2973</v>
      </c>
      <c r="E2777" s="382" t="s">
        <v>2010</v>
      </c>
      <c r="F2777" s="382" t="s">
        <v>2342</v>
      </c>
      <c r="G2777" s="382" t="s">
        <v>405</v>
      </c>
      <c r="H2777" s="383">
        <v>68046.77</v>
      </c>
      <c r="I2777" s="1046">
        <v>334793.13</v>
      </c>
      <c r="J2777" s="1047"/>
      <c r="K2777" s="383">
        <v>313773.3</v>
      </c>
      <c r="L2777" s="383">
        <v>47026.94</v>
      </c>
    </row>
    <row r="2778" spans="2:12">
      <c r="B2778" s="1050"/>
      <c r="C2778" s="1050"/>
      <c r="D2778" s="382" t="s">
        <v>2973</v>
      </c>
      <c r="E2778" s="382" t="s">
        <v>2010</v>
      </c>
      <c r="F2778" s="382" t="s">
        <v>2342</v>
      </c>
      <c r="G2778" s="382" t="s">
        <v>2354</v>
      </c>
      <c r="H2778" s="383">
        <v>0</v>
      </c>
      <c r="I2778" s="1046">
        <v>14096.18</v>
      </c>
      <c r="J2778" s="1047"/>
      <c r="K2778" s="383">
        <v>22090.26</v>
      </c>
      <c r="L2778" s="383">
        <v>7994.08</v>
      </c>
    </row>
    <row r="2779" spans="2:12">
      <c r="B2779" s="1050"/>
      <c r="C2779" s="1050"/>
      <c r="D2779" s="382" t="s">
        <v>2973</v>
      </c>
      <c r="E2779" s="382" t="s">
        <v>2010</v>
      </c>
      <c r="F2779" s="382" t="s">
        <v>2342</v>
      </c>
      <c r="G2779" s="382" t="s">
        <v>2355</v>
      </c>
      <c r="H2779" s="383">
        <v>0</v>
      </c>
      <c r="I2779" s="1046">
        <v>2324.79</v>
      </c>
      <c r="J2779" s="1047"/>
      <c r="K2779" s="383">
        <v>1660.85</v>
      </c>
      <c r="L2779" s="383">
        <v>-663.94</v>
      </c>
    </row>
    <row r="2780" spans="2:12">
      <c r="B2780" s="1050"/>
      <c r="C2780" s="1050"/>
      <c r="D2780" s="382" t="s">
        <v>2974</v>
      </c>
      <c r="E2780" s="382" t="s">
        <v>1981</v>
      </c>
      <c r="F2780" s="382" t="s">
        <v>2342</v>
      </c>
      <c r="G2780" s="382" t="s">
        <v>2353</v>
      </c>
      <c r="H2780" s="383">
        <v>4067.51</v>
      </c>
      <c r="I2780" s="1046">
        <v>39607.050000000003</v>
      </c>
      <c r="J2780" s="1047"/>
      <c r="K2780" s="383">
        <v>41395.279999999999</v>
      </c>
      <c r="L2780" s="383">
        <v>5855.74</v>
      </c>
    </row>
    <row r="2781" spans="2:12">
      <c r="B2781" s="1050"/>
      <c r="C2781" s="1050"/>
      <c r="D2781" s="382" t="s">
        <v>2975</v>
      </c>
      <c r="E2781" s="382" t="s">
        <v>2011</v>
      </c>
      <c r="F2781" s="382" t="s">
        <v>2342</v>
      </c>
      <c r="G2781" s="382" t="s">
        <v>2343</v>
      </c>
      <c r="H2781" s="383">
        <v>11339.65</v>
      </c>
      <c r="I2781" s="1046">
        <v>280566.34999999998</v>
      </c>
      <c r="J2781" s="1047"/>
      <c r="K2781" s="383">
        <v>299429.19</v>
      </c>
      <c r="L2781" s="383">
        <v>30202.49</v>
      </c>
    </row>
    <row r="2782" spans="2:12">
      <c r="B2782" s="1050"/>
      <c r="C2782" s="1050"/>
      <c r="D2782" s="382" t="s">
        <v>2975</v>
      </c>
      <c r="E2782" s="382" t="s">
        <v>2011</v>
      </c>
      <c r="F2782" s="382" t="s">
        <v>2342</v>
      </c>
      <c r="G2782" s="382" t="s">
        <v>2344</v>
      </c>
      <c r="H2782" s="383">
        <v>56847.23</v>
      </c>
      <c r="I2782" s="1046">
        <v>413813.79</v>
      </c>
      <c r="J2782" s="1047"/>
      <c r="K2782" s="383">
        <v>398131.34</v>
      </c>
      <c r="L2782" s="383">
        <v>41164.78</v>
      </c>
    </row>
    <row r="2783" spans="2:12">
      <c r="B2783" s="1050"/>
      <c r="C2783" s="1050"/>
      <c r="D2783" s="382" t="s">
        <v>2975</v>
      </c>
      <c r="E2783" s="382" t="s">
        <v>2011</v>
      </c>
      <c r="F2783" s="382" t="s">
        <v>2342</v>
      </c>
      <c r="G2783" s="382" t="s">
        <v>2345</v>
      </c>
      <c r="H2783" s="383">
        <v>39978.730000000003</v>
      </c>
      <c r="I2783" s="1046">
        <v>329591.27</v>
      </c>
      <c r="J2783" s="1047"/>
      <c r="K2783" s="383">
        <v>335774.85</v>
      </c>
      <c r="L2783" s="383">
        <v>46162.31</v>
      </c>
    </row>
    <row r="2784" spans="2:12">
      <c r="B2784" s="1050"/>
      <c r="C2784" s="1050"/>
      <c r="D2784" s="382" t="s">
        <v>2975</v>
      </c>
      <c r="E2784" s="382" t="s">
        <v>2011</v>
      </c>
      <c r="F2784" s="382" t="s">
        <v>2342</v>
      </c>
      <c r="G2784" s="382" t="s">
        <v>2346</v>
      </c>
      <c r="H2784" s="383">
        <v>33194.300000000003</v>
      </c>
      <c r="I2784" s="1046">
        <v>181227.7</v>
      </c>
      <c r="J2784" s="1047"/>
      <c r="K2784" s="383">
        <v>194161.93</v>
      </c>
      <c r="L2784" s="383">
        <v>46128.53</v>
      </c>
    </row>
    <row r="2785" spans="2:12">
      <c r="B2785" s="1050"/>
      <c r="C2785" s="1050"/>
      <c r="D2785" s="382" t="s">
        <v>2975</v>
      </c>
      <c r="E2785" s="382" t="s">
        <v>2011</v>
      </c>
      <c r="F2785" s="382" t="s">
        <v>2342</v>
      </c>
      <c r="G2785" s="382" t="s">
        <v>2347</v>
      </c>
      <c r="H2785" s="383">
        <v>56900.6</v>
      </c>
      <c r="I2785" s="1046">
        <v>757038.21</v>
      </c>
      <c r="J2785" s="1047"/>
      <c r="K2785" s="383">
        <v>788067.78</v>
      </c>
      <c r="L2785" s="383">
        <v>87930.17</v>
      </c>
    </row>
    <row r="2786" spans="2:12">
      <c r="B2786" s="1050"/>
      <c r="C2786" s="1050"/>
      <c r="D2786" s="382" t="s">
        <v>2975</v>
      </c>
      <c r="E2786" s="382" t="s">
        <v>2011</v>
      </c>
      <c r="F2786" s="382" t="s">
        <v>2342</v>
      </c>
      <c r="G2786" s="382" t="s">
        <v>2348</v>
      </c>
      <c r="H2786" s="383">
        <v>52810.76</v>
      </c>
      <c r="I2786" s="1046">
        <v>479478.04</v>
      </c>
      <c r="J2786" s="1047"/>
      <c r="K2786" s="383">
        <v>475221.88</v>
      </c>
      <c r="L2786" s="383">
        <v>48554.6</v>
      </c>
    </row>
    <row r="2787" spans="2:12">
      <c r="B2787" s="1050"/>
      <c r="C2787" s="1050"/>
      <c r="D2787" s="382" t="s">
        <v>2975</v>
      </c>
      <c r="E2787" s="382" t="s">
        <v>2011</v>
      </c>
      <c r="F2787" s="382" t="s">
        <v>2342</v>
      </c>
      <c r="G2787" s="382" t="s">
        <v>2349</v>
      </c>
      <c r="H2787" s="383">
        <v>40058.410000000003</v>
      </c>
      <c r="I2787" s="1046">
        <v>477563.3</v>
      </c>
      <c r="J2787" s="1047"/>
      <c r="K2787" s="383">
        <v>488976.57</v>
      </c>
      <c r="L2787" s="383">
        <v>51471.68</v>
      </c>
    </row>
    <row r="2788" spans="2:12">
      <c r="B2788" s="1050"/>
      <c r="C2788" s="1050"/>
      <c r="D2788" s="382" t="s">
        <v>2975</v>
      </c>
      <c r="E2788" s="382" t="s">
        <v>2011</v>
      </c>
      <c r="F2788" s="382" t="s">
        <v>2342</v>
      </c>
      <c r="G2788" s="382" t="s">
        <v>2350</v>
      </c>
      <c r="H2788" s="383">
        <v>84752.99</v>
      </c>
      <c r="I2788" s="1046">
        <v>912408.33</v>
      </c>
      <c r="J2788" s="1047"/>
      <c r="K2788" s="383">
        <v>958725.15</v>
      </c>
      <c r="L2788" s="383">
        <v>131069.81</v>
      </c>
    </row>
    <row r="2789" spans="2:12">
      <c r="B2789" s="1050"/>
      <c r="C2789" s="1050"/>
      <c r="D2789" s="382" t="s">
        <v>2975</v>
      </c>
      <c r="E2789" s="382" t="s">
        <v>2011</v>
      </c>
      <c r="F2789" s="382" t="s">
        <v>2342</v>
      </c>
      <c r="G2789" s="382" t="s">
        <v>2351</v>
      </c>
      <c r="H2789" s="383">
        <v>33949.35</v>
      </c>
      <c r="I2789" s="1046">
        <v>389181.64</v>
      </c>
      <c r="J2789" s="1047"/>
      <c r="K2789" s="383">
        <v>414008.07</v>
      </c>
      <c r="L2789" s="383">
        <v>58775.78</v>
      </c>
    </row>
    <row r="2790" spans="2:12">
      <c r="B2790" s="1050"/>
      <c r="C2790" s="1050"/>
      <c r="D2790" s="382" t="s">
        <v>2975</v>
      </c>
      <c r="E2790" s="382" t="s">
        <v>2011</v>
      </c>
      <c r="F2790" s="382" t="s">
        <v>2342</v>
      </c>
      <c r="G2790" s="382" t="s">
        <v>2352</v>
      </c>
      <c r="H2790" s="383">
        <v>10094.120000000001</v>
      </c>
      <c r="I2790" s="1046">
        <v>257491.85</v>
      </c>
      <c r="J2790" s="1047"/>
      <c r="K2790" s="383">
        <v>261951.12</v>
      </c>
      <c r="L2790" s="383">
        <v>14553.39</v>
      </c>
    </row>
    <row r="2791" spans="2:12">
      <c r="B2791" s="1050"/>
      <c r="C2791" s="1050"/>
      <c r="D2791" s="382" t="s">
        <v>2975</v>
      </c>
      <c r="E2791" s="382" t="s">
        <v>2011</v>
      </c>
      <c r="F2791" s="382" t="s">
        <v>2342</v>
      </c>
      <c r="G2791" s="382" t="s">
        <v>2353</v>
      </c>
      <c r="H2791" s="383">
        <v>20542.8</v>
      </c>
      <c r="I2791" s="1046">
        <v>496336.16</v>
      </c>
      <c r="J2791" s="1047"/>
      <c r="K2791" s="383">
        <v>492071.87</v>
      </c>
      <c r="L2791" s="383">
        <v>16278.51</v>
      </c>
    </row>
    <row r="2792" spans="2:12">
      <c r="B2792" s="1050"/>
      <c r="C2792" s="1050"/>
      <c r="D2792" s="382" t="s">
        <v>2975</v>
      </c>
      <c r="E2792" s="382" t="s">
        <v>2011</v>
      </c>
      <c r="F2792" s="382" t="s">
        <v>2342</v>
      </c>
      <c r="G2792" s="382" t="s">
        <v>405</v>
      </c>
      <c r="H2792" s="383">
        <v>35321.97</v>
      </c>
      <c r="I2792" s="1046">
        <v>241570.56</v>
      </c>
      <c r="J2792" s="1047"/>
      <c r="K2792" s="383">
        <v>245265.31</v>
      </c>
      <c r="L2792" s="383">
        <v>39016.720000000001</v>
      </c>
    </row>
    <row r="2793" spans="2:12">
      <c r="B2793" s="1050"/>
      <c r="C2793" s="1050"/>
      <c r="D2793" s="382" t="s">
        <v>2975</v>
      </c>
      <c r="E2793" s="382" t="s">
        <v>2011</v>
      </c>
      <c r="F2793" s="382" t="s">
        <v>2342</v>
      </c>
      <c r="G2793" s="382" t="s">
        <v>2354</v>
      </c>
      <c r="H2793" s="383">
        <v>0</v>
      </c>
      <c r="I2793" s="1046">
        <v>12119.9</v>
      </c>
      <c r="J2793" s="1047"/>
      <c r="K2793" s="383">
        <v>12341.94</v>
      </c>
      <c r="L2793" s="383">
        <v>222.04</v>
      </c>
    </row>
    <row r="2794" spans="2:12">
      <c r="B2794" s="1050"/>
      <c r="C2794" s="1050"/>
      <c r="D2794" s="382" t="s">
        <v>2975</v>
      </c>
      <c r="E2794" s="382" t="s">
        <v>2011</v>
      </c>
      <c r="F2794" s="382" t="s">
        <v>2342</v>
      </c>
      <c r="G2794" s="382" t="s">
        <v>2355</v>
      </c>
      <c r="H2794" s="383">
        <v>0</v>
      </c>
      <c r="I2794" s="1046">
        <v>1030.23</v>
      </c>
      <c r="J2794" s="1047"/>
      <c r="K2794" s="383">
        <v>0</v>
      </c>
      <c r="L2794" s="383">
        <v>-1030.23</v>
      </c>
    </row>
    <row r="2795" spans="2:12">
      <c r="B2795" s="1050"/>
      <c r="C2795" s="1050"/>
      <c r="D2795" s="382" t="s">
        <v>2976</v>
      </c>
      <c r="E2795" s="382" t="s">
        <v>2012</v>
      </c>
      <c r="F2795" s="382" t="s">
        <v>2342</v>
      </c>
      <c r="G2795" s="382" t="s">
        <v>2343</v>
      </c>
      <c r="H2795" s="383">
        <v>52013.74</v>
      </c>
      <c r="I2795" s="1046">
        <v>315843.93</v>
      </c>
      <c r="J2795" s="1047"/>
      <c r="K2795" s="383">
        <v>320502.73</v>
      </c>
      <c r="L2795" s="383">
        <v>56672.54</v>
      </c>
    </row>
    <row r="2796" spans="2:12">
      <c r="B2796" s="1050"/>
      <c r="C2796" s="1050"/>
      <c r="D2796" s="382" t="s">
        <v>2976</v>
      </c>
      <c r="E2796" s="382" t="s">
        <v>2012</v>
      </c>
      <c r="F2796" s="382" t="s">
        <v>2342</v>
      </c>
      <c r="G2796" s="382" t="s">
        <v>2344</v>
      </c>
      <c r="H2796" s="383">
        <v>55272.84</v>
      </c>
      <c r="I2796" s="1046">
        <v>373632.11</v>
      </c>
      <c r="J2796" s="1047"/>
      <c r="K2796" s="383">
        <v>369946.59</v>
      </c>
      <c r="L2796" s="383">
        <v>51587.32</v>
      </c>
    </row>
    <row r="2797" spans="2:12">
      <c r="B2797" s="1050"/>
      <c r="C2797" s="1050"/>
      <c r="D2797" s="382" t="s">
        <v>2976</v>
      </c>
      <c r="E2797" s="382" t="s">
        <v>2012</v>
      </c>
      <c r="F2797" s="382" t="s">
        <v>2342</v>
      </c>
      <c r="G2797" s="382" t="s">
        <v>2345</v>
      </c>
      <c r="H2797" s="383">
        <v>38898.79</v>
      </c>
      <c r="I2797" s="1046">
        <v>155096.19</v>
      </c>
      <c r="J2797" s="1047"/>
      <c r="K2797" s="383">
        <v>145620.07999999999</v>
      </c>
      <c r="L2797" s="383">
        <v>29422.68</v>
      </c>
    </row>
    <row r="2798" spans="2:12">
      <c r="B2798" s="1050"/>
      <c r="C2798" s="1050"/>
      <c r="D2798" s="382" t="s">
        <v>2976</v>
      </c>
      <c r="E2798" s="382" t="s">
        <v>2012</v>
      </c>
      <c r="F2798" s="382" t="s">
        <v>2342</v>
      </c>
      <c r="G2798" s="382" t="s">
        <v>2346</v>
      </c>
      <c r="H2798" s="383">
        <v>25698.51</v>
      </c>
      <c r="I2798" s="1046">
        <v>237627.4</v>
      </c>
      <c r="J2798" s="1047"/>
      <c r="K2798" s="383">
        <v>234225.86</v>
      </c>
      <c r="L2798" s="383">
        <v>22296.97</v>
      </c>
    </row>
    <row r="2799" spans="2:12">
      <c r="B2799" s="1050"/>
      <c r="C2799" s="1050"/>
      <c r="D2799" s="382" t="s">
        <v>2976</v>
      </c>
      <c r="E2799" s="382" t="s">
        <v>2012</v>
      </c>
      <c r="F2799" s="382" t="s">
        <v>2342</v>
      </c>
      <c r="G2799" s="382" t="s">
        <v>2347</v>
      </c>
      <c r="H2799" s="383">
        <v>109043.35</v>
      </c>
      <c r="I2799" s="1046">
        <v>501664.78</v>
      </c>
      <c r="J2799" s="1047"/>
      <c r="K2799" s="383">
        <v>509352.75</v>
      </c>
      <c r="L2799" s="383">
        <v>116731.32</v>
      </c>
    </row>
    <row r="2800" spans="2:12">
      <c r="B2800" s="1050"/>
      <c r="C2800" s="1050"/>
      <c r="D2800" s="382" t="s">
        <v>2976</v>
      </c>
      <c r="E2800" s="382" t="s">
        <v>2012</v>
      </c>
      <c r="F2800" s="382" t="s">
        <v>2342</v>
      </c>
      <c r="G2800" s="382" t="s">
        <v>2348</v>
      </c>
      <c r="H2800" s="383">
        <v>40915.620000000003</v>
      </c>
      <c r="I2800" s="1046">
        <v>265346.31</v>
      </c>
      <c r="J2800" s="1047"/>
      <c r="K2800" s="383">
        <v>275341.09999999998</v>
      </c>
      <c r="L2800" s="383">
        <v>50910.41</v>
      </c>
    </row>
    <row r="2801" spans="2:12">
      <c r="B2801" s="1050"/>
      <c r="C2801" s="1050"/>
      <c r="D2801" s="382" t="s">
        <v>2976</v>
      </c>
      <c r="E2801" s="382" t="s">
        <v>2012</v>
      </c>
      <c r="F2801" s="382" t="s">
        <v>2342</v>
      </c>
      <c r="G2801" s="382" t="s">
        <v>2349</v>
      </c>
      <c r="H2801" s="383">
        <v>71658.48</v>
      </c>
      <c r="I2801" s="1046">
        <v>609161.88</v>
      </c>
      <c r="J2801" s="1047"/>
      <c r="K2801" s="383">
        <v>612778.87</v>
      </c>
      <c r="L2801" s="383">
        <v>75275.47</v>
      </c>
    </row>
    <row r="2802" spans="2:12">
      <c r="B2802" s="1050"/>
      <c r="C2802" s="1050"/>
      <c r="D2802" s="382" t="s">
        <v>2976</v>
      </c>
      <c r="E2802" s="382" t="s">
        <v>2012</v>
      </c>
      <c r="F2802" s="382" t="s">
        <v>2342</v>
      </c>
      <c r="G2802" s="382" t="s">
        <v>2350</v>
      </c>
      <c r="H2802" s="383">
        <v>37012.370000000003</v>
      </c>
      <c r="I2802" s="1046">
        <v>287521.84000000003</v>
      </c>
      <c r="J2802" s="1047"/>
      <c r="K2802" s="383">
        <v>305659.73</v>
      </c>
      <c r="L2802" s="383">
        <v>55150.26</v>
      </c>
    </row>
    <row r="2803" spans="2:12">
      <c r="B2803" s="1050"/>
      <c r="C2803" s="1050"/>
      <c r="D2803" s="382" t="s">
        <v>2976</v>
      </c>
      <c r="E2803" s="382" t="s">
        <v>2012</v>
      </c>
      <c r="F2803" s="382" t="s">
        <v>2342</v>
      </c>
      <c r="G2803" s="382" t="s">
        <v>2351</v>
      </c>
      <c r="H2803" s="383">
        <v>51253.8</v>
      </c>
      <c r="I2803" s="1046">
        <v>292786.99</v>
      </c>
      <c r="J2803" s="1047"/>
      <c r="K2803" s="383">
        <v>280441.90999999997</v>
      </c>
      <c r="L2803" s="383">
        <v>38908.720000000001</v>
      </c>
    </row>
    <row r="2804" spans="2:12">
      <c r="B2804" s="1050"/>
      <c r="C2804" s="1050"/>
      <c r="D2804" s="382" t="s">
        <v>2976</v>
      </c>
      <c r="E2804" s="382" t="s">
        <v>2012</v>
      </c>
      <c r="F2804" s="382" t="s">
        <v>2342</v>
      </c>
      <c r="G2804" s="382" t="s">
        <v>2352</v>
      </c>
      <c r="H2804" s="383">
        <v>57275.05</v>
      </c>
      <c r="I2804" s="1046">
        <v>321994.95</v>
      </c>
      <c r="J2804" s="1047"/>
      <c r="K2804" s="383">
        <v>313424.78999999998</v>
      </c>
      <c r="L2804" s="383">
        <v>48704.89</v>
      </c>
    </row>
    <row r="2805" spans="2:12">
      <c r="B2805" s="1050"/>
      <c r="C2805" s="1050"/>
      <c r="D2805" s="382" t="s">
        <v>2976</v>
      </c>
      <c r="E2805" s="382" t="s">
        <v>2012</v>
      </c>
      <c r="F2805" s="382" t="s">
        <v>2342</v>
      </c>
      <c r="G2805" s="382" t="s">
        <v>2353</v>
      </c>
      <c r="H2805" s="383">
        <v>41220.39</v>
      </c>
      <c r="I2805" s="1046">
        <v>303855.96999999997</v>
      </c>
      <c r="J2805" s="1047"/>
      <c r="K2805" s="383">
        <v>297665.89</v>
      </c>
      <c r="L2805" s="383">
        <v>35030.31</v>
      </c>
    </row>
    <row r="2806" spans="2:12">
      <c r="B2806" s="1050"/>
      <c r="C2806" s="1050"/>
      <c r="D2806" s="382" t="s">
        <v>2976</v>
      </c>
      <c r="E2806" s="382" t="s">
        <v>2012</v>
      </c>
      <c r="F2806" s="382" t="s">
        <v>2342</v>
      </c>
      <c r="G2806" s="382" t="s">
        <v>405</v>
      </c>
      <c r="H2806" s="383">
        <v>19827.34</v>
      </c>
      <c r="I2806" s="1046">
        <v>147652.48000000001</v>
      </c>
      <c r="J2806" s="1047"/>
      <c r="K2806" s="383">
        <v>147279.88</v>
      </c>
      <c r="L2806" s="383">
        <v>19454.740000000002</v>
      </c>
    </row>
    <row r="2807" spans="2:12">
      <c r="B2807" s="1050"/>
      <c r="C2807" s="1050"/>
      <c r="D2807" s="382" t="s">
        <v>2976</v>
      </c>
      <c r="E2807" s="382" t="s">
        <v>2012</v>
      </c>
      <c r="F2807" s="382" t="s">
        <v>2342</v>
      </c>
      <c r="G2807" s="382" t="s">
        <v>2354</v>
      </c>
      <c r="H2807" s="383">
        <v>0</v>
      </c>
      <c r="I2807" s="1046">
        <v>2771.7</v>
      </c>
      <c r="J2807" s="1047"/>
      <c r="K2807" s="383">
        <v>2771.7</v>
      </c>
      <c r="L2807" s="383">
        <v>0</v>
      </c>
    </row>
    <row r="2808" spans="2:12">
      <c r="B2808" s="1050"/>
      <c r="C2808" s="1050"/>
      <c r="D2808" s="382" t="s">
        <v>2976</v>
      </c>
      <c r="E2808" s="382" t="s">
        <v>2012</v>
      </c>
      <c r="F2808" s="382" t="s">
        <v>2342</v>
      </c>
      <c r="G2808" s="382" t="s">
        <v>2355</v>
      </c>
      <c r="H2808" s="383">
        <v>0</v>
      </c>
      <c r="I2808" s="1046">
        <v>672.52</v>
      </c>
      <c r="J2808" s="1047"/>
      <c r="K2808" s="383">
        <v>0</v>
      </c>
      <c r="L2808" s="383">
        <v>-672.52</v>
      </c>
    </row>
    <row r="2809" spans="2:12">
      <c r="B2809" s="1050"/>
      <c r="C2809" s="1050"/>
      <c r="D2809" s="382" t="s">
        <v>2977</v>
      </c>
      <c r="E2809" s="382" t="s">
        <v>2013</v>
      </c>
      <c r="F2809" s="382" t="s">
        <v>2342</v>
      </c>
      <c r="G2809" s="382" t="s">
        <v>2343</v>
      </c>
      <c r="H2809" s="383">
        <v>54679.81</v>
      </c>
      <c r="I2809" s="1046">
        <v>404475.9</v>
      </c>
      <c r="J2809" s="1047"/>
      <c r="K2809" s="383">
        <v>451134.85</v>
      </c>
      <c r="L2809" s="383">
        <v>101338.76</v>
      </c>
    </row>
    <row r="2810" spans="2:12">
      <c r="B2810" s="1050"/>
      <c r="C2810" s="1050"/>
      <c r="D2810" s="382" t="s">
        <v>2977</v>
      </c>
      <c r="E2810" s="382" t="s">
        <v>2013</v>
      </c>
      <c r="F2810" s="382" t="s">
        <v>2342</v>
      </c>
      <c r="G2810" s="382" t="s">
        <v>2344</v>
      </c>
      <c r="H2810" s="383">
        <v>85234.46</v>
      </c>
      <c r="I2810" s="1046">
        <v>358006.09</v>
      </c>
      <c r="J2810" s="1047"/>
      <c r="K2810" s="383">
        <v>352699.97</v>
      </c>
      <c r="L2810" s="383">
        <v>79928.34</v>
      </c>
    </row>
    <row r="2811" spans="2:12">
      <c r="B2811" s="1050"/>
      <c r="C2811" s="1050"/>
      <c r="D2811" s="382" t="s">
        <v>2977</v>
      </c>
      <c r="E2811" s="382" t="s">
        <v>2013</v>
      </c>
      <c r="F2811" s="382" t="s">
        <v>2342</v>
      </c>
      <c r="G2811" s="382" t="s">
        <v>2345</v>
      </c>
      <c r="H2811" s="383">
        <v>39484.339999999997</v>
      </c>
      <c r="I2811" s="1046">
        <v>307974.37</v>
      </c>
      <c r="J2811" s="1047"/>
      <c r="K2811" s="383">
        <v>320819.15000000002</v>
      </c>
      <c r="L2811" s="383">
        <v>52329.120000000003</v>
      </c>
    </row>
    <row r="2812" spans="2:12">
      <c r="B2812" s="1050"/>
      <c r="C2812" s="1050"/>
      <c r="D2812" s="382" t="s">
        <v>2977</v>
      </c>
      <c r="E2812" s="382" t="s">
        <v>2013</v>
      </c>
      <c r="F2812" s="382" t="s">
        <v>2342</v>
      </c>
      <c r="G2812" s="382" t="s">
        <v>2346</v>
      </c>
      <c r="H2812" s="383">
        <v>23186.5</v>
      </c>
      <c r="I2812" s="1046">
        <v>300065.56</v>
      </c>
      <c r="J2812" s="1047"/>
      <c r="K2812" s="383">
        <v>290406.15000000002</v>
      </c>
      <c r="L2812" s="383">
        <v>13527.09</v>
      </c>
    </row>
    <row r="2813" spans="2:12">
      <c r="B2813" s="1050"/>
      <c r="C2813" s="1050"/>
      <c r="D2813" s="382" t="s">
        <v>2977</v>
      </c>
      <c r="E2813" s="382" t="s">
        <v>2013</v>
      </c>
      <c r="F2813" s="382" t="s">
        <v>2342</v>
      </c>
      <c r="G2813" s="382" t="s">
        <v>2347</v>
      </c>
      <c r="H2813" s="383">
        <v>87311.52</v>
      </c>
      <c r="I2813" s="1046">
        <v>355792.33</v>
      </c>
      <c r="J2813" s="1047"/>
      <c r="K2813" s="383">
        <v>376044.83</v>
      </c>
      <c r="L2813" s="383">
        <v>107564.02</v>
      </c>
    </row>
    <row r="2814" spans="2:12">
      <c r="B2814" s="1050"/>
      <c r="C2814" s="1050"/>
      <c r="D2814" s="382" t="s">
        <v>2977</v>
      </c>
      <c r="E2814" s="382" t="s">
        <v>2013</v>
      </c>
      <c r="F2814" s="382" t="s">
        <v>2342</v>
      </c>
      <c r="G2814" s="382" t="s">
        <v>2348</v>
      </c>
      <c r="H2814" s="383">
        <v>44657.599999999999</v>
      </c>
      <c r="I2814" s="1046">
        <v>254841.23</v>
      </c>
      <c r="J2814" s="1047"/>
      <c r="K2814" s="383">
        <v>242069.48</v>
      </c>
      <c r="L2814" s="383">
        <v>31885.85</v>
      </c>
    </row>
    <row r="2815" spans="2:12">
      <c r="B2815" s="1050"/>
      <c r="C2815" s="1050"/>
      <c r="D2815" s="382" t="s">
        <v>2977</v>
      </c>
      <c r="E2815" s="382" t="s">
        <v>2013</v>
      </c>
      <c r="F2815" s="382" t="s">
        <v>2342</v>
      </c>
      <c r="G2815" s="382" t="s">
        <v>2349</v>
      </c>
      <c r="H2815" s="383">
        <v>99491.77</v>
      </c>
      <c r="I2815" s="1046">
        <v>916784.74</v>
      </c>
      <c r="J2815" s="1047"/>
      <c r="K2815" s="383">
        <v>918397.89</v>
      </c>
      <c r="L2815" s="383">
        <v>101104.92</v>
      </c>
    </row>
    <row r="2816" spans="2:12">
      <c r="B2816" s="1050"/>
      <c r="C2816" s="1050"/>
      <c r="D2816" s="382" t="s">
        <v>2977</v>
      </c>
      <c r="E2816" s="382" t="s">
        <v>2013</v>
      </c>
      <c r="F2816" s="382" t="s">
        <v>2342</v>
      </c>
      <c r="G2816" s="382" t="s">
        <v>2350</v>
      </c>
      <c r="H2816" s="383">
        <v>66948.38</v>
      </c>
      <c r="I2816" s="1046">
        <v>612485.51</v>
      </c>
      <c r="J2816" s="1047"/>
      <c r="K2816" s="383">
        <v>597868.18999999994</v>
      </c>
      <c r="L2816" s="383">
        <v>52331.06</v>
      </c>
    </row>
    <row r="2817" spans="2:12">
      <c r="B2817" s="1050"/>
      <c r="C2817" s="1050"/>
      <c r="D2817" s="382" t="s">
        <v>2977</v>
      </c>
      <c r="E2817" s="382" t="s">
        <v>2013</v>
      </c>
      <c r="F2817" s="382" t="s">
        <v>2342</v>
      </c>
      <c r="G2817" s="382" t="s">
        <v>2351</v>
      </c>
      <c r="H2817" s="383">
        <v>38391.86</v>
      </c>
      <c r="I2817" s="1046">
        <v>326703.02</v>
      </c>
      <c r="J2817" s="1047"/>
      <c r="K2817" s="383">
        <v>339542.72</v>
      </c>
      <c r="L2817" s="383">
        <v>51231.56</v>
      </c>
    </row>
    <row r="2818" spans="2:12">
      <c r="B2818" s="1050"/>
      <c r="C2818" s="1050"/>
      <c r="D2818" s="382" t="s">
        <v>2977</v>
      </c>
      <c r="E2818" s="382" t="s">
        <v>2013</v>
      </c>
      <c r="F2818" s="382" t="s">
        <v>2342</v>
      </c>
      <c r="G2818" s="382" t="s">
        <v>2352</v>
      </c>
      <c r="H2818" s="383">
        <v>24949.81</v>
      </c>
      <c r="I2818" s="1046">
        <v>333642.23999999999</v>
      </c>
      <c r="J2818" s="1047"/>
      <c r="K2818" s="383">
        <v>326570.07</v>
      </c>
      <c r="L2818" s="383">
        <v>17877.64</v>
      </c>
    </row>
    <row r="2819" spans="2:12">
      <c r="B2819" s="1050"/>
      <c r="C2819" s="1050"/>
      <c r="D2819" s="382" t="s">
        <v>2977</v>
      </c>
      <c r="E2819" s="382" t="s">
        <v>2013</v>
      </c>
      <c r="F2819" s="382" t="s">
        <v>2342</v>
      </c>
      <c r="G2819" s="382" t="s">
        <v>2353</v>
      </c>
      <c r="H2819" s="383">
        <v>21390.59</v>
      </c>
      <c r="I2819" s="1046">
        <v>200437.85</v>
      </c>
      <c r="J2819" s="1047"/>
      <c r="K2819" s="383">
        <v>207564.53</v>
      </c>
      <c r="L2819" s="383">
        <v>28517.27</v>
      </c>
    </row>
    <row r="2820" spans="2:12">
      <c r="B2820" s="1050"/>
      <c r="C2820" s="1050"/>
      <c r="D2820" s="382" t="s">
        <v>2977</v>
      </c>
      <c r="E2820" s="382" t="s">
        <v>2013</v>
      </c>
      <c r="F2820" s="382" t="s">
        <v>2342</v>
      </c>
      <c r="G2820" s="382" t="s">
        <v>405</v>
      </c>
      <c r="H2820" s="383">
        <v>24515.48</v>
      </c>
      <c r="I2820" s="1046">
        <v>143668.89000000001</v>
      </c>
      <c r="J2820" s="1047"/>
      <c r="K2820" s="383">
        <v>147798.43</v>
      </c>
      <c r="L2820" s="383">
        <v>28645.02</v>
      </c>
    </row>
    <row r="2821" spans="2:12">
      <c r="B2821" s="1050"/>
      <c r="C2821" s="1050"/>
      <c r="D2821" s="382" t="s">
        <v>2977</v>
      </c>
      <c r="E2821" s="382" t="s">
        <v>2013</v>
      </c>
      <c r="F2821" s="382" t="s">
        <v>2342</v>
      </c>
      <c r="G2821" s="382" t="s">
        <v>2355</v>
      </c>
      <c r="H2821" s="383">
        <v>1023.59</v>
      </c>
      <c r="I2821" s="1046">
        <v>0</v>
      </c>
      <c r="J2821" s="1047"/>
      <c r="K2821" s="383">
        <v>0</v>
      </c>
      <c r="L2821" s="383">
        <v>1023.59</v>
      </c>
    </row>
    <row r="2822" spans="2:12">
      <c r="B2822" s="1050"/>
      <c r="C2822" s="1050"/>
      <c r="D2822" s="382" t="s">
        <v>2978</v>
      </c>
      <c r="E2822" s="382" t="s">
        <v>2014</v>
      </c>
      <c r="F2822" s="382" t="s">
        <v>2342</v>
      </c>
      <c r="G2822" s="382" t="s">
        <v>2355</v>
      </c>
      <c r="H2822" s="383">
        <v>156287.67000000001</v>
      </c>
      <c r="I2822" s="1046">
        <v>330508.26</v>
      </c>
      <c r="J2822" s="1047"/>
      <c r="K2822" s="383">
        <v>277824.03999999998</v>
      </c>
      <c r="L2822" s="383">
        <v>103603.45</v>
      </c>
    </row>
    <row r="2823" spans="2:12">
      <c r="B2823" s="1050"/>
      <c r="C2823" s="1050"/>
      <c r="D2823" s="382" t="s">
        <v>2979</v>
      </c>
      <c r="E2823" s="382" t="s">
        <v>2015</v>
      </c>
      <c r="F2823" s="382" t="s">
        <v>2342</v>
      </c>
      <c r="G2823" s="382" t="s">
        <v>2343</v>
      </c>
      <c r="H2823" s="383">
        <v>82299.320000000007</v>
      </c>
      <c r="I2823" s="1046">
        <v>139267.24</v>
      </c>
      <c r="J2823" s="1047"/>
      <c r="K2823" s="383">
        <v>132654.19</v>
      </c>
      <c r="L2823" s="383">
        <v>75686.27</v>
      </c>
    </row>
    <row r="2824" spans="2:12">
      <c r="B2824" s="1050"/>
      <c r="C2824" s="1050"/>
      <c r="D2824" s="382" t="s">
        <v>2979</v>
      </c>
      <c r="E2824" s="382" t="s">
        <v>2015</v>
      </c>
      <c r="F2824" s="382" t="s">
        <v>2342</v>
      </c>
      <c r="G2824" s="382" t="s">
        <v>2344</v>
      </c>
      <c r="H2824" s="383">
        <v>10.39</v>
      </c>
      <c r="I2824" s="1046">
        <v>20147.03</v>
      </c>
      <c r="J2824" s="1047"/>
      <c r="K2824" s="383">
        <v>20136.98</v>
      </c>
      <c r="L2824" s="383">
        <v>0.34</v>
      </c>
    </row>
    <row r="2825" spans="2:12">
      <c r="B2825" s="1050"/>
      <c r="C2825" s="1050"/>
      <c r="D2825" s="382" t="s">
        <v>2979</v>
      </c>
      <c r="E2825" s="382" t="s">
        <v>2015</v>
      </c>
      <c r="F2825" s="382" t="s">
        <v>2342</v>
      </c>
      <c r="G2825" s="382" t="s">
        <v>2345</v>
      </c>
      <c r="H2825" s="383">
        <v>375.3</v>
      </c>
      <c r="I2825" s="1046">
        <v>68481.69</v>
      </c>
      <c r="J2825" s="1047"/>
      <c r="K2825" s="383">
        <v>68608.88</v>
      </c>
      <c r="L2825" s="383">
        <v>502.49</v>
      </c>
    </row>
    <row r="2826" spans="2:12">
      <c r="B2826" s="1050"/>
      <c r="C2826" s="1050"/>
      <c r="D2826" s="382" t="s">
        <v>2979</v>
      </c>
      <c r="E2826" s="382" t="s">
        <v>2015</v>
      </c>
      <c r="F2826" s="382" t="s">
        <v>2342</v>
      </c>
      <c r="G2826" s="382" t="s">
        <v>2346</v>
      </c>
      <c r="H2826" s="383">
        <v>337.18</v>
      </c>
      <c r="I2826" s="1046">
        <v>22008.71</v>
      </c>
      <c r="J2826" s="1047"/>
      <c r="K2826" s="383">
        <v>22050</v>
      </c>
      <c r="L2826" s="383">
        <v>378.47</v>
      </c>
    </row>
    <row r="2827" spans="2:12">
      <c r="B2827" s="1050"/>
      <c r="C2827" s="1050"/>
      <c r="D2827" s="382" t="s">
        <v>2979</v>
      </c>
      <c r="E2827" s="382" t="s">
        <v>2015</v>
      </c>
      <c r="F2827" s="382" t="s">
        <v>2342</v>
      </c>
      <c r="G2827" s="382" t="s">
        <v>2347</v>
      </c>
      <c r="H2827" s="383">
        <v>37470.36</v>
      </c>
      <c r="I2827" s="1046">
        <v>390645.22</v>
      </c>
      <c r="J2827" s="1047"/>
      <c r="K2827" s="383">
        <v>414823.95</v>
      </c>
      <c r="L2827" s="383">
        <v>61649.09</v>
      </c>
    </row>
    <row r="2828" spans="2:12">
      <c r="B2828" s="1050"/>
      <c r="C2828" s="1050"/>
      <c r="D2828" s="382" t="s">
        <v>2979</v>
      </c>
      <c r="E2828" s="382" t="s">
        <v>2015</v>
      </c>
      <c r="F2828" s="382" t="s">
        <v>2342</v>
      </c>
      <c r="G2828" s="382" t="s">
        <v>2348</v>
      </c>
      <c r="H2828" s="383">
        <v>40967.35</v>
      </c>
      <c r="I2828" s="1046">
        <v>146021.37</v>
      </c>
      <c r="J2828" s="1047"/>
      <c r="K2828" s="383">
        <v>133056.95000000001</v>
      </c>
      <c r="L2828" s="383">
        <v>28002.93</v>
      </c>
    </row>
    <row r="2829" spans="2:12">
      <c r="B2829" s="1050"/>
      <c r="C2829" s="1050"/>
      <c r="D2829" s="382" t="s">
        <v>2979</v>
      </c>
      <c r="E2829" s="382" t="s">
        <v>2015</v>
      </c>
      <c r="F2829" s="382" t="s">
        <v>2342</v>
      </c>
      <c r="G2829" s="382" t="s">
        <v>2349</v>
      </c>
      <c r="H2829" s="383">
        <v>15967.89</v>
      </c>
      <c r="I2829" s="1046">
        <v>44241.87</v>
      </c>
      <c r="J2829" s="1047"/>
      <c r="K2829" s="383">
        <v>46735</v>
      </c>
      <c r="L2829" s="383">
        <v>18461.02</v>
      </c>
    </row>
    <row r="2830" spans="2:12">
      <c r="B2830" s="1050"/>
      <c r="C2830" s="1050"/>
      <c r="D2830" s="382" t="s">
        <v>2979</v>
      </c>
      <c r="E2830" s="382" t="s">
        <v>2015</v>
      </c>
      <c r="F2830" s="382" t="s">
        <v>2342</v>
      </c>
      <c r="G2830" s="382" t="s">
        <v>2350</v>
      </c>
      <c r="H2830" s="383">
        <v>53516.73</v>
      </c>
      <c r="I2830" s="1046">
        <v>312423.55</v>
      </c>
      <c r="J2830" s="1047"/>
      <c r="K2830" s="383">
        <v>303465.65999999997</v>
      </c>
      <c r="L2830" s="383">
        <v>44558.84</v>
      </c>
    </row>
    <row r="2831" spans="2:12">
      <c r="B2831" s="1050"/>
      <c r="C2831" s="1050"/>
      <c r="D2831" s="382" t="s">
        <v>2979</v>
      </c>
      <c r="E2831" s="382" t="s">
        <v>2015</v>
      </c>
      <c r="F2831" s="382" t="s">
        <v>2342</v>
      </c>
      <c r="G2831" s="382" t="s">
        <v>2351</v>
      </c>
      <c r="H2831" s="383">
        <v>47.6</v>
      </c>
      <c r="I2831" s="1046">
        <v>32767.88</v>
      </c>
      <c r="J2831" s="1047"/>
      <c r="K2831" s="383">
        <v>33000</v>
      </c>
      <c r="L2831" s="383">
        <v>279.72000000000003</v>
      </c>
    </row>
    <row r="2832" spans="2:12">
      <c r="B2832" s="1050"/>
      <c r="C2832" s="1050"/>
      <c r="D2832" s="382" t="s">
        <v>2979</v>
      </c>
      <c r="E2832" s="382" t="s">
        <v>2015</v>
      </c>
      <c r="F2832" s="382" t="s">
        <v>2342</v>
      </c>
      <c r="G2832" s="382" t="s">
        <v>2352</v>
      </c>
      <c r="H2832" s="383">
        <v>277.83</v>
      </c>
      <c r="I2832" s="1046">
        <v>56150.26</v>
      </c>
      <c r="J2832" s="1047"/>
      <c r="K2832" s="383">
        <v>56296.17</v>
      </c>
      <c r="L2832" s="383">
        <v>423.74</v>
      </c>
    </row>
    <row r="2833" spans="2:12">
      <c r="B2833" s="1050"/>
      <c r="C2833" s="1050"/>
      <c r="D2833" s="382" t="s">
        <v>2979</v>
      </c>
      <c r="E2833" s="382" t="s">
        <v>2015</v>
      </c>
      <c r="F2833" s="382" t="s">
        <v>2342</v>
      </c>
      <c r="G2833" s="382" t="s">
        <v>2353</v>
      </c>
      <c r="H2833" s="383">
        <v>13882.35</v>
      </c>
      <c r="I2833" s="1046">
        <v>135837.53</v>
      </c>
      <c r="J2833" s="1047"/>
      <c r="K2833" s="383">
        <v>135263.20000000001</v>
      </c>
      <c r="L2833" s="383">
        <v>13308.02</v>
      </c>
    </row>
    <row r="2834" spans="2:12">
      <c r="B2834" s="1050"/>
      <c r="C2834" s="1050"/>
      <c r="D2834" s="382" t="s">
        <v>2979</v>
      </c>
      <c r="E2834" s="382" t="s">
        <v>2015</v>
      </c>
      <c r="F2834" s="382" t="s">
        <v>2342</v>
      </c>
      <c r="G2834" s="382" t="s">
        <v>405</v>
      </c>
      <c r="H2834" s="383">
        <v>109.38</v>
      </c>
      <c r="I2834" s="1046">
        <v>14890.62</v>
      </c>
      <c r="J2834" s="1047"/>
      <c r="K2834" s="383">
        <v>15000</v>
      </c>
      <c r="L2834" s="383">
        <v>218.76</v>
      </c>
    </row>
    <row r="2835" spans="2:12">
      <c r="B2835" s="1050"/>
      <c r="C2835" s="1051"/>
      <c r="D2835" s="359" t="s">
        <v>12</v>
      </c>
      <c r="E2835" s="359" t="s">
        <v>111</v>
      </c>
      <c r="F2835" s="359" t="s">
        <v>111</v>
      </c>
      <c r="G2835" s="359" t="s">
        <v>111</v>
      </c>
      <c r="H2835" s="384">
        <v>3042515.38</v>
      </c>
      <c r="I2835" s="1048">
        <v>20737511.960000001</v>
      </c>
      <c r="J2835" s="1047"/>
      <c r="K2835" s="384">
        <v>20878463.649999999</v>
      </c>
      <c r="L2835" s="384">
        <v>3183467.07</v>
      </c>
    </row>
    <row r="2836" spans="2:12">
      <c r="B2836" s="1050"/>
      <c r="C2836" s="1049" t="s">
        <v>2980</v>
      </c>
      <c r="D2836" s="382" t="s">
        <v>2981</v>
      </c>
      <c r="E2836" s="382" t="s">
        <v>1904</v>
      </c>
      <c r="F2836" s="382" t="s">
        <v>2342</v>
      </c>
      <c r="G2836" s="382" t="s">
        <v>2355</v>
      </c>
      <c r="H2836" s="383">
        <v>21512428.23</v>
      </c>
      <c r="I2836" s="1046">
        <v>434514.86</v>
      </c>
      <c r="J2836" s="1047"/>
      <c r="K2836" s="383">
        <v>4314870</v>
      </c>
      <c r="L2836" s="383">
        <f>H2836+K2836-I2836</f>
        <v>25392783.370000001</v>
      </c>
    </row>
    <row r="2837" spans="2:12">
      <c r="B2837" s="1050"/>
      <c r="C2837" s="1051"/>
      <c r="D2837" s="359" t="s">
        <v>12</v>
      </c>
      <c r="E2837" s="359" t="s">
        <v>111</v>
      </c>
      <c r="F2837" s="359" t="s">
        <v>111</v>
      </c>
      <c r="G2837" s="359" t="s">
        <v>111</v>
      </c>
      <c r="H2837" s="384">
        <f>SUM(H2836:H2836)</f>
        <v>21512428.23</v>
      </c>
      <c r="I2837" s="1048">
        <f>SUM(I2836:I2836)</f>
        <v>434514.86</v>
      </c>
      <c r="J2837" s="1047">
        <f>SUM(J2836:J2836)</f>
        <v>0</v>
      </c>
      <c r="K2837" s="384">
        <f>SUM(K2836:K2836)</f>
        <v>4314870</v>
      </c>
      <c r="L2837" s="384">
        <f>SUM(L2836:L2836)</f>
        <v>25392783.370000001</v>
      </c>
    </row>
    <row r="2838" spans="2:12">
      <c r="B2838" s="1050"/>
      <c r="C2838" s="1049" t="s">
        <v>2982</v>
      </c>
      <c r="D2838" s="382" t="s">
        <v>2983</v>
      </c>
      <c r="E2838" s="382" t="s">
        <v>2177</v>
      </c>
      <c r="F2838" s="382" t="s">
        <v>2342</v>
      </c>
      <c r="G2838" s="382" t="s">
        <v>2355</v>
      </c>
      <c r="H2838" s="383">
        <v>133839</v>
      </c>
      <c r="I2838" s="1046">
        <v>0</v>
      </c>
      <c r="J2838" s="1047"/>
      <c r="K2838" s="383">
        <v>0</v>
      </c>
      <c r="L2838" s="383">
        <v>133839</v>
      </c>
    </row>
    <row r="2839" spans="2:12">
      <c r="B2839" s="1050"/>
      <c r="C2839" s="1050"/>
      <c r="D2839" s="382" t="s">
        <v>2984</v>
      </c>
      <c r="E2839" s="382" t="s">
        <v>2178</v>
      </c>
      <c r="F2839" s="382" t="s">
        <v>2342</v>
      </c>
      <c r="G2839" s="382" t="s">
        <v>2355</v>
      </c>
      <c r="H2839" s="383">
        <v>5401235.1299999999</v>
      </c>
      <c r="I2839" s="1046">
        <v>4314870</v>
      </c>
      <c r="J2839" s="1047"/>
      <c r="K2839" s="383">
        <v>0</v>
      </c>
      <c r="L2839" s="383">
        <v>1086365.1299999999</v>
      </c>
    </row>
    <row r="2840" spans="2:12">
      <c r="B2840" s="1050"/>
      <c r="C2840" s="1050"/>
      <c r="D2840" s="382" t="s">
        <v>2985</v>
      </c>
      <c r="E2840" s="382" t="s">
        <v>2179</v>
      </c>
      <c r="F2840" s="382" t="s">
        <v>2342</v>
      </c>
      <c r="G2840" s="382" t="s">
        <v>2355</v>
      </c>
      <c r="H2840" s="383">
        <v>-147963.26</v>
      </c>
      <c r="I2840" s="1046">
        <v>2349003.86</v>
      </c>
      <c r="J2840" s="1047"/>
      <c r="K2840" s="383">
        <f>410432.57+3010</f>
        <v>413442.57</v>
      </c>
      <c r="L2840" s="383">
        <f>H2840+K2840-I2840</f>
        <v>-2083524.5499999998</v>
      </c>
    </row>
    <row r="2841" spans="2:12">
      <c r="B2841" s="1050"/>
      <c r="C2841" s="1051"/>
      <c r="D2841" s="359" t="s">
        <v>12</v>
      </c>
      <c r="E2841" s="359" t="s">
        <v>111</v>
      </c>
      <c r="F2841" s="359" t="s">
        <v>111</v>
      </c>
      <c r="G2841" s="359" t="s">
        <v>111</v>
      </c>
      <c r="H2841" s="384">
        <f>SUM(H2838:H2840)</f>
        <v>5387110.8700000001</v>
      </c>
      <c r="I2841" s="1048">
        <f>SUM(I2838:I2840)</f>
        <v>6663873.8599999994</v>
      </c>
      <c r="J2841" s="1047">
        <f>SUM(J2838:J2840)</f>
        <v>0</v>
      </c>
      <c r="K2841" s="384">
        <f>SUM(K2838:K2840)</f>
        <v>413442.57</v>
      </c>
      <c r="L2841" s="384">
        <f>SUM(L2838:L2840)</f>
        <v>-863320.41999999993</v>
      </c>
    </row>
    <row r="2842" spans="2:12">
      <c r="B2842" s="1050"/>
      <c r="C2842" s="1049" t="s">
        <v>2986</v>
      </c>
      <c r="D2842" s="382" t="s">
        <v>2987</v>
      </c>
      <c r="E2842" s="382" t="s">
        <v>2180</v>
      </c>
      <c r="F2842" s="382" t="s">
        <v>2342</v>
      </c>
      <c r="G2842" s="382" t="s">
        <v>2355</v>
      </c>
      <c r="H2842" s="383">
        <v>1142800.44</v>
      </c>
      <c r="I2842" s="1046">
        <v>0</v>
      </c>
      <c r="J2842" s="1047"/>
      <c r="K2842" s="383">
        <v>0</v>
      </c>
      <c r="L2842" s="383">
        <v>1142800.44</v>
      </c>
    </row>
    <row r="2843" spans="2:12">
      <c r="B2843" s="1050"/>
      <c r="C2843" s="1051"/>
      <c r="D2843" s="359" t="s">
        <v>12</v>
      </c>
      <c r="E2843" s="359" t="s">
        <v>111</v>
      </c>
      <c r="F2843" s="359" t="s">
        <v>111</v>
      </c>
      <c r="G2843" s="359" t="s">
        <v>111</v>
      </c>
      <c r="H2843" s="384">
        <v>1142800.44</v>
      </c>
      <c r="I2843" s="1048">
        <v>0</v>
      </c>
      <c r="J2843" s="1047"/>
      <c r="K2843" s="384">
        <v>0</v>
      </c>
      <c r="L2843" s="384">
        <v>1142800.44</v>
      </c>
    </row>
    <row r="2844" spans="2:12">
      <c r="B2844" s="1051"/>
      <c r="C2844" s="360" t="s">
        <v>12</v>
      </c>
      <c r="D2844" s="360" t="s">
        <v>111</v>
      </c>
      <c r="E2844" s="360" t="s">
        <v>111</v>
      </c>
      <c r="F2844" s="360" t="s">
        <v>111</v>
      </c>
      <c r="G2844" s="360" t="s">
        <v>111</v>
      </c>
      <c r="H2844" s="385">
        <v>201757813.08000001</v>
      </c>
      <c r="I2844" s="1055">
        <v>108086874.77</v>
      </c>
      <c r="J2844" s="1047"/>
      <c r="K2844" s="385">
        <v>138297082.66</v>
      </c>
      <c r="L2844" s="385">
        <v>231968020.97</v>
      </c>
    </row>
    <row r="2845" spans="2:12">
      <c r="B2845" s="1049" t="s">
        <v>2988</v>
      </c>
      <c r="C2845" s="1049" t="s">
        <v>2989</v>
      </c>
      <c r="D2845" s="382" t="s">
        <v>2990</v>
      </c>
      <c r="E2845" s="382" t="s">
        <v>2326</v>
      </c>
      <c r="F2845" s="382" t="s">
        <v>2342</v>
      </c>
      <c r="G2845" s="382" t="s">
        <v>2355</v>
      </c>
      <c r="H2845" s="383">
        <v>-22278915.460000001</v>
      </c>
      <c r="I2845" s="1046">
        <v>0</v>
      </c>
      <c r="J2845" s="1047"/>
      <c r="K2845" s="383">
        <v>0</v>
      </c>
      <c r="L2845" s="383">
        <v>-22278915.460000001</v>
      </c>
    </row>
    <row r="2846" spans="2:12">
      <c r="B2846" s="1050"/>
      <c r="C2846" s="1051"/>
      <c r="D2846" s="359" t="s">
        <v>12</v>
      </c>
      <c r="E2846" s="359" t="s">
        <v>111</v>
      </c>
      <c r="F2846" s="359" t="s">
        <v>111</v>
      </c>
      <c r="G2846" s="359" t="s">
        <v>111</v>
      </c>
      <c r="H2846" s="384">
        <v>-22278915.460000001</v>
      </c>
      <c r="I2846" s="1048">
        <v>0</v>
      </c>
      <c r="J2846" s="1047"/>
      <c r="K2846" s="384">
        <v>0</v>
      </c>
      <c r="L2846" s="384">
        <v>-22278915.460000001</v>
      </c>
    </row>
    <row r="2847" spans="2:12">
      <c r="B2847" s="1050"/>
      <c r="C2847" s="1049" t="s">
        <v>2991</v>
      </c>
      <c r="D2847" s="382" t="s">
        <v>2992</v>
      </c>
      <c r="E2847" s="382" t="s">
        <v>2327</v>
      </c>
      <c r="F2847" s="382" t="s">
        <v>2342</v>
      </c>
      <c r="G2847" s="382" t="s">
        <v>2355</v>
      </c>
      <c r="H2847" s="383">
        <v>22278915.460000001</v>
      </c>
      <c r="I2847" s="1046">
        <v>0</v>
      </c>
      <c r="J2847" s="1047"/>
      <c r="K2847" s="383">
        <v>0</v>
      </c>
      <c r="L2847" s="383">
        <v>22278915.460000001</v>
      </c>
    </row>
    <row r="2848" spans="2:12">
      <c r="B2848" s="1050"/>
      <c r="C2848" s="1051"/>
      <c r="D2848" s="359" t="s">
        <v>12</v>
      </c>
      <c r="E2848" s="359" t="s">
        <v>111</v>
      </c>
      <c r="F2848" s="359" t="s">
        <v>111</v>
      </c>
      <c r="G2848" s="359" t="s">
        <v>111</v>
      </c>
      <c r="H2848" s="384">
        <v>22278915.460000001</v>
      </c>
      <c r="I2848" s="1048">
        <v>0</v>
      </c>
      <c r="J2848" s="1047"/>
      <c r="K2848" s="384">
        <v>0</v>
      </c>
      <c r="L2848" s="384">
        <v>22278915.460000001</v>
      </c>
    </row>
    <row r="2849" spans="2:12">
      <c r="B2849" s="1051"/>
      <c r="C2849" s="360" t="s">
        <v>12</v>
      </c>
      <c r="D2849" s="360" t="s">
        <v>111</v>
      </c>
      <c r="E2849" s="360" t="s">
        <v>111</v>
      </c>
      <c r="F2849" s="360" t="s">
        <v>111</v>
      </c>
      <c r="G2849" s="360" t="s">
        <v>111</v>
      </c>
      <c r="H2849" s="385">
        <v>0</v>
      </c>
      <c r="I2849" s="1055">
        <v>0</v>
      </c>
      <c r="J2849" s="1047"/>
      <c r="K2849" s="385">
        <v>0</v>
      </c>
      <c r="L2849" s="385">
        <v>0</v>
      </c>
    </row>
    <row r="2850" spans="2:12">
      <c r="B2850" s="361" t="s">
        <v>12</v>
      </c>
      <c r="C2850" s="361" t="s">
        <v>111</v>
      </c>
      <c r="D2850" s="361" t="s">
        <v>111</v>
      </c>
      <c r="E2850" s="361" t="s">
        <v>111</v>
      </c>
      <c r="F2850" s="361" t="s">
        <v>111</v>
      </c>
      <c r="G2850" s="361" t="s">
        <v>111</v>
      </c>
      <c r="H2850" s="386">
        <v>0</v>
      </c>
      <c r="I2850" s="1058">
        <v>323280952.62</v>
      </c>
      <c r="J2850" s="1047"/>
      <c r="K2850" s="386">
        <v>323280952.62</v>
      </c>
      <c r="L2850" s="386">
        <v>0</v>
      </c>
    </row>
  </sheetData>
  <mergeCells count="2994">
    <mergeCell ref="C261:C262"/>
    <mergeCell ref="C263:C329"/>
    <mergeCell ref="C330:C395"/>
    <mergeCell ref="C396:C438"/>
    <mergeCell ref="C439:C487"/>
    <mergeCell ref="C488:C489"/>
    <mergeCell ref="C490:C492"/>
    <mergeCell ref="C493:C546"/>
    <mergeCell ref="C547:C600"/>
    <mergeCell ref="C601:C649"/>
    <mergeCell ref="C650:C698"/>
    <mergeCell ref="C699:C706"/>
    <mergeCell ref="C707:C708"/>
    <mergeCell ref="C709:C711"/>
    <mergeCell ref="C712:C713"/>
    <mergeCell ref="C714:C755"/>
    <mergeCell ref="B1983:B2844"/>
    <mergeCell ref="C2842:C2843"/>
    <mergeCell ref="C2551:C2606"/>
    <mergeCell ref="C2464:C2478"/>
    <mergeCell ref="C2192:C2240"/>
    <mergeCell ref="C2078:C2083"/>
    <mergeCell ref="C1454:C1456"/>
    <mergeCell ref="C1371:C1377"/>
    <mergeCell ref="C1193:C1195"/>
    <mergeCell ref="C1126:C1127"/>
    <mergeCell ref="C898:C902"/>
    <mergeCell ref="C841:C869"/>
    <mergeCell ref="C802:C803"/>
    <mergeCell ref="C787:C788"/>
    <mergeCell ref="B2845:B2849"/>
    <mergeCell ref="C2845:C2846"/>
    <mergeCell ref="C2847:C2848"/>
    <mergeCell ref="I2842:J2842"/>
    <mergeCell ref="I2843:J2843"/>
    <mergeCell ref="I2844:J2844"/>
    <mergeCell ref="I2845:J2845"/>
    <mergeCell ref="I2846:J2846"/>
    <mergeCell ref="I2847:J2847"/>
    <mergeCell ref="I2848:J2848"/>
    <mergeCell ref="I2849:J2849"/>
    <mergeCell ref="I2850:J2850"/>
    <mergeCell ref="C2836:C2837"/>
    <mergeCell ref="I2836:J2836"/>
    <mergeCell ref="I2837:J2837"/>
    <mergeCell ref="C2838:C2841"/>
    <mergeCell ref="I2838:J2838"/>
    <mergeCell ref="I2839:J2839"/>
    <mergeCell ref="I2840:J2840"/>
    <mergeCell ref="I2841:J2841"/>
    <mergeCell ref="I2830:J2830"/>
    <mergeCell ref="I2831:J2831"/>
    <mergeCell ref="I2832:J2832"/>
    <mergeCell ref="I2833:J2833"/>
    <mergeCell ref="I2834:J2834"/>
    <mergeCell ref="I2835:J2835"/>
    <mergeCell ref="I2824:J2824"/>
    <mergeCell ref="I2825:J2825"/>
    <mergeCell ref="I2826:J2826"/>
    <mergeCell ref="I2827:J2827"/>
    <mergeCell ref="I2828:J2828"/>
    <mergeCell ref="I2829:J2829"/>
    <mergeCell ref="I2818:J2818"/>
    <mergeCell ref="I2819:J2819"/>
    <mergeCell ref="I2820:J2820"/>
    <mergeCell ref="I2821:J2821"/>
    <mergeCell ref="I2822:J2822"/>
    <mergeCell ref="I2823:J2823"/>
    <mergeCell ref="I2812:J2812"/>
    <mergeCell ref="I2813:J2813"/>
    <mergeCell ref="I2814:J2814"/>
    <mergeCell ref="I2815:J2815"/>
    <mergeCell ref="I2816:J2816"/>
    <mergeCell ref="I2817:J2817"/>
    <mergeCell ref="I2806:J2806"/>
    <mergeCell ref="I2807:J2807"/>
    <mergeCell ref="I2808:J2808"/>
    <mergeCell ref="I2809:J2809"/>
    <mergeCell ref="I2810:J2810"/>
    <mergeCell ref="I2811:J2811"/>
    <mergeCell ref="I2770:J2770"/>
    <mergeCell ref="I2771:J2771"/>
    <mergeCell ref="I2772:J2772"/>
    <mergeCell ref="I2773:J2773"/>
    <mergeCell ref="I2774:J2774"/>
    <mergeCell ref="I2775:J2775"/>
    <mergeCell ref="I2800:J2800"/>
    <mergeCell ref="I2801:J2801"/>
    <mergeCell ref="I2802:J2802"/>
    <mergeCell ref="I2803:J2803"/>
    <mergeCell ref="I2804:J2804"/>
    <mergeCell ref="I2805:J2805"/>
    <mergeCell ref="I2794:J2794"/>
    <mergeCell ref="I2795:J2795"/>
    <mergeCell ref="I2796:J2796"/>
    <mergeCell ref="I2797:J2797"/>
    <mergeCell ref="I2798:J2798"/>
    <mergeCell ref="I2799:J2799"/>
    <mergeCell ref="I2788:J2788"/>
    <mergeCell ref="I2789:J2789"/>
    <mergeCell ref="I2790:J2790"/>
    <mergeCell ref="I2791:J2791"/>
    <mergeCell ref="I2792:J2792"/>
    <mergeCell ref="I2793:J2793"/>
    <mergeCell ref="I2762:J2762"/>
    <mergeCell ref="I2763:J2763"/>
    <mergeCell ref="C2764:C2765"/>
    <mergeCell ref="I2764:J2764"/>
    <mergeCell ref="I2765:J2765"/>
    <mergeCell ref="C2766:C2835"/>
    <mergeCell ref="I2766:J2766"/>
    <mergeCell ref="I2767:J2767"/>
    <mergeCell ref="I2768:J2768"/>
    <mergeCell ref="I2769:J2769"/>
    <mergeCell ref="I2753:J2753"/>
    <mergeCell ref="I2754:J2754"/>
    <mergeCell ref="I2755:J2755"/>
    <mergeCell ref="I2756:J2756"/>
    <mergeCell ref="C2757:C2763"/>
    <mergeCell ref="I2757:J2757"/>
    <mergeCell ref="I2758:J2758"/>
    <mergeCell ref="I2759:J2759"/>
    <mergeCell ref="I2760:J2760"/>
    <mergeCell ref="I2761:J2761"/>
    <mergeCell ref="I2782:J2782"/>
    <mergeCell ref="I2783:J2783"/>
    <mergeCell ref="I2784:J2784"/>
    <mergeCell ref="I2785:J2785"/>
    <mergeCell ref="I2786:J2786"/>
    <mergeCell ref="I2787:J2787"/>
    <mergeCell ref="I2776:J2776"/>
    <mergeCell ref="I2777:J2777"/>
    <mergeCell ref="I2778:J2778"/>
    <mergeCell ref="I2779:J2779"/>
    <mergeCell ref="I2780:J2780"/>
    <mergeCell ref="I2781:J2781"/>
    <mergeCell ref="I2747:J2747"/>
    <mergeCell ref="I2748:J2748"/>
    <mergeCell ref="I2749:J2749"/>
    <mergeCell ref="I2750:J2750"/>
    <mergeCell ref="I2751:J2751"/>
    <mergeCell ref="I2752:J2752"/>
    <mergeCell ref="I2738:J2738"/>
    <mergeCell ref="I2739:J2739"/>
    <mergeCell ref="I2740:J2740"/>
    <mergeCell ref="I2741:J2741"/>
    <mergeCell ref="I2742:J2742"/>
    <mergeCell ref="C2743:C2756"/>
    <mergeCell ref="I2743:J2743"/>
    <mergeCell ref="I2744:J2744"/>
    <mergeCell ref="I2745:J2745"/>
    <mergeCell ref="I2746:J2746"/>
    <mergeCell ref="C2607:C2742"/>
    <mergeCell ref="I2732:J2732"/>
    <mergeCell ref="I2733:J2733"/>
    <mergeCell ref="I2734:J2734"/>
    <mergeCell ref="I2735:J2735"/>
    <mergeCell ref="I2736:J2736"/>
    <mergeCell ref="I2737:J2737"/>
    <mergeCell ref="I2726:J2726"/>
    <mergeCell ref="I2727:J2727"/>
    <mergeCell ref="I2728:J2728"/>
    <mergeCell ref="I2729:J2729"/>
    <mergeCell ref="I2730:J2730"/>
    <mergeCell ref="I2731:J2731"/>
    <mergeCell ref="I2720:J2720"/>
    <mergeCell ref="I2721:J2721"/>
    <mergeCell ref="I2722:J2722"/>
    <mergeCell ref="I2723:J2723"/>
    <mergeCell ref="I2724:J2724"/>
    <mergeCell ref="I2725:J2725"/>
    <mergeCell ref="I2714:J2714"/>
    <mergeCell ref="I2715:J2715"/>
    <mergeCell ref="I2716:J2716"/>
    <mergeCell ref="I2717:J2717"/>
    <mergeCell ref="I2718:J2718"/>
    <mergeCell ref="I2719:J2719"/>
    <mergeCell ref="I2708:J2708"/>
    <mergeCell ref="I2709:J2709"/>
    <mergeCell ref="I2710:J2710"/>
    <mergeCell ref="I2711:J2711"/>
    <mergeCell ref="I2712:J2712"/>
    <mergeCell ref="I2713:J2713"/>
    <mergeCell ref="I2702:J2702"/>
    <mergeCell ref="I2703:J2703"/>
    <mergeCell ref="I2704:J2704"/>
    <mergeCell ref="I2705:J2705"/>
    <mergeCell ref="I2706:J2706"/>
    <mergeCell ref="I2707:J2707"/>
    <mergeCell ref="I2696:J2696"/>
    <mergeCell ref="I2697:J2697"/>
    <mergeCell ref="I2698:J2698"/>
    <mergeCell ref="I2699:J2699"/>
    <mergeCell ref="I2700:J2700"/>
    <mergeCell ref="I2701:J2701"/>
    <mergeCell ref="I2690:J2690"/>
    <mergeCell ref="I2691:J2691"/>
    <mergeCell ref="I2692:J2692"/>
    <mergeCell ref="I2693:J2693"/>
    <mergeCell ref="I2694:J2694"/>
    <mergeCell ref="I2695:J2695"/>
    <mergeCell ref="I2684:J2684"/>
    <mergeCell ref="I2685:J2685"/>
    <mergeCell ref="I2686:J2686"/>
    <mergeCell ref="I2687:J2687"/>
    <mergeCell ref="I2688:J2688"/>
    <mergeCell ref="I2689:J2689"/>
    <mergeCell ref="I2678:J2678"/>
    <mergeCell ref="I2679:J2679"/>
    <mergeCell ref="I2680:J2680"/>
    <mergeCell ref="I2681:J2681"/>
    <mergeCell ref="I2682:J2682"/>
    <mergeCell ref="I2683:J2683"/>
    <mergeCell ref="I2672:J2672"/>
    <mergeCell ref="I2673:J2673"/>
    <mergeCell ref="I2674:J2674"/>
    <mergeCell ref="I2675:J2675"/>
    <mergeCell ref="I2676:J2676"/>
    <mergeCell ref="I2677:J2677"/>
    <mergeCell ref="I2666:J2666"/>
    <mergeCell ref="I2667:J2667"/>
    <mergeCell ref="I2668:J2668"/>
    <mergeCell ref="I2669:J2669"/>
    <mergeCell ref="I2670:J2670"/>
    <mergeCell ref="I2671:J2671"/>
    <mergeCell ref="I2660:J2660"/>
    <mergeCell ref="I2661:J2661"/>
    <mergeCell ref="I2662:J2662"/>
    <mergeCell ref="I2663:J2663"/>
    <mergeCell ref="I2664:J2664"/>
    <mergeCell ref="I2665:J2665"/>
    <mergeCell ref="I2633:J2633"/>
    <mergeCell ref="I2634:J2634"/>
    <mergeCell ref="I2635:J2635"/>
    <mergeCell ref="I2624:J2624"/>
    <mergeCell ref="I2625:J2625"/>
    <mergeCell ref="I2626:J2626"/>
    <mergeCell ref="I2627:J2627"/>
    <mergeCell ref="I2628:J2628"/>
    <mergeCell ref="I2629:J2629"/>
    <mergeCell ref="I2654:J2654"/>
    <mergeCell ref="I2655:J2655"/>
    <mergeCell ref="I2656:J2656"/>
    <mergeCell ref="I2657:J2657"/>
    <mergeCell ref="I2658:J2658"/>
    <mergeCell ref="I2659:J2659"/>
    <mergeCell ref="I2648:J2648"/>
    <mergeCell ref="I2649:J2649"/>
    <mergeCell ref="I2650:J2650"/>
    <mergeCell ref="I2651:J2651"/>
    <mergeCell ref="I2652:J2652"/>
    <mergeCell ref="I2653:J2653"/>
    <mergeCell ref="I2642:J2642"/>
    <mergeCell ref="I2643:J2643"/>
    <mergeCell ref="I2644:J2644"/>
    <mergeCell ref="I2645:J2645"/>
    <mergeCell ref="I2646:J2646"/>
    <mergeCell ref="I2647:J2647"/>
    <mergeCell ref="I2618:J2618"/>
    <mergeCell ref="I2619:J2619"/>
    <mergeCell ref="I2620:J2620"/>
    <mergeCell ref="I2621:J2621"/>
    <mergeCell ref="I2622:J2622"/>
    <mergeCell ref="I2623:J2623"/>
    <mergeCell ref="I2612:J2612"/>
    <mergeCell ref="I2613:J2613"/>
    <mergeCell ref="I2614:J2614"/>
    <mergeCell ref="I2615:J2615"/>
    <mergeCell ref="I2616:J2616"/>
    <mergeCell ref="I2617:J2617"/>
    <mergeCell ref="I2603:J2603"/>
    <mergeCell ref="I2604:J2604"/>
    <mergeCell ref="I2605:J2605"/>
    <mergeCell ref="I2606:J2606"/>
    <mergeCell ref="I2607:J2607"/>
    <mergeCell ref="I2608:J2608"/>
    <mergeCell ref="I2609:J2609"/>
    <mergeCell ref="I2610:J2610"/>
    <mergeCell ref="I2611:J2611"/>
    <mergeCell ref="I2636:J2636"/>
    <mergeCell ref="I2637:J2637"/>
    <mergeCell ref="I2638:J2638"/>
    <mergeCell ref="I2639:J2639"/>
    <mergeCell ref="I2640:J2640"/>
    <mergeCell ref="I2641:J2641"/>
    <mergeCell ref="I2630:J2630"/>
    <mergeCell ref="I2631:J2631"/>
    <mergeCell ref="I2632:J2632"/>
    <mergeCell ref="I2597:J2597"/>
    <mergeCell ref="I2598:J2598"/>
    <mergeCell ref="I2599:J2599"/>
    <mergeCell ref="I2600:J2600"/>
    <mergeCell ref="I2601:J2601"/>
    <mergeCell ref="I2602:J2602"/>
    <mergeCell ref="I2591:J2591"/>
    <mergeCell ref="I2592:J2592"/>
    <mergeCell ref="I2593:J2593"/>
    <mergeCell ref="I2594:J2594"/>
    <mergeCell ref="I2595:J2595"/>
    <mergeCell ref="I2596:J2596"/>
    <mergeCell ref="I2585:J2585"/>
    <mergeCell ref="I2586:J2586"/>
    <mergeCell ref="I2587:J2587"/>
    <mergeCell ref="I2588:J2588"/>
    <mergeCell ref="I2589:J2589"/>
    <mergeCell ref="I2590:J2590"/>
    <mergeCell ref="I2579:J2579"/>
    <mergeCell ref="I2580:J2580"/>
    <mergeCell ref="I2581:J2581"/>
    <mergeCell ref="I2582:J2582"/>
    <mergeCell ref="I2583:J2583"/>
    <mergeCell ref="I2584:J2584"/>
    <mergeCell ref="I2573:J2573"/>
    <mergeCell ref="I2574:J2574"/>
    <mergeCell ref="I2575:J2575"/>
    <mergeCell ref="I2576:J2576"/>
    <mergeCell ref="I2577:J2577"/>
    <mergeCell ref="I2578:J2578"/>
    <mergeCell ref="I2567:J2567"/>
    <mergeCell ref="I2568:J2568"/>
    <mergeCell ref="I2569:J2569"/>
    <mergeCell ref="I2570:J2570"/>
    <mergeCell ref="I2571:J2571"/>
    <mergeCell ref="I2572:J2572"/>
    <mergeCell ref="I2561:J2561"/>
    <mergeCell ref="I2562:J2562"/>
    <mergeCell ref="I2563:J2563"/>
    <mergeCell ref="I2564:J2564"/>
    <mergeCell ref="I2565:J2565"/>
    <mergeCell ref="I2566:J2566"/>
    <mergeCell ref="I2555:J2555"/>
    <mergeCell ref="I2556:J2556"/>
    <mergeCell ref="I2557:J2557"/>
    <mergeCell ref="I2558:J2558"/>
    <mergeCell ref="I2559:J2559"/>
    <mergeCell ref="I2560:J2560"/>
    <mergeCell ref="I2546:J2546"/>
    <mergeCell ref="I2547:J2547"/>
    <mergeCell ref="I2548:J2548"/>
    <mergeCell ref="I2549:J2549"/>
    <mergeCell ref="I2550:J2550"/>
    <mergeCell ref="I2551:J2551"/>
    <mergeCell ref="I2552:J2552"/>
    <mergeCell ref="I2553:J2553"/>
    <mergeCell ref="I2554:J2554"/>
    <mergeCell ref="I2540:J2540"/>
    <mergeCell ref="I2541:J2541"/>
    <mergeCell ref="I2542:J2542"/>
    <mergeCell ref="I2543:J2543"/>
    <mergeCell ref="I2544:J2544"/>
    <mergeCell ref="I2545:J2545"/>
    <mergeCell ref="I2534:J2534"/>
    <mergeCell ref="I2535:J2535"/>
    <mergeCell ref="I2536:J2536"/>
    <mergeCell ref="I2537:J2537"/>
    <mergeCell ref="I2538:J2538"/>
    <mergeCell ref="I2539:J2539"/>
    <mergeCell ref="I2528:J2528"/>
    <mergeCell ref="I2529:J2529"/>
    <mergeCell ref="I2530:J2530"/>
    <mergeCell ref="I2531:J2531"/>
    <mergeCell ref="I2532:J2532"/>
    <mergeCell ref="I2533:J2533"/>
    <mergeCell ref="I2522:J2522"/>
    <mergeCell ref="I2523:J2523"/>
    <mergeCell ref="I2524:J2524"/>
    <mergeCell ref="I2525:J2525"/>
    <mergeCell ref="I2526:J2526"/>
    <mergeCell ref="I2527:J2527"/>
    <mergeCell ref="I2516:J2516"/>
    <mergeCell ref="I2517:J2517"/>
    <mergeCell ref="I2518:J2518"/>
    <mergeCell ref="I2519:J2519"/>
    <mergeCell ref="I2520:J2520"/>
    <mergeCell ref="I2521:J2521"/>
    <mergeCell ref="I2510:J2510"/>
    <mergeCell ref="I2511:J2511"/>
    <mergeCell ref="I2512:J2512"/>
    <mergeCell ref="I2513:J2513"/>
    <mergeCell ref="I2514:J2514"/>
    <mergeCell ref="I2515:J2515"/>
    <mergeCell ref="I2464:J2464"/>
    <mergeCell ref="I2465:J2465"/>
    <mergeCell ref="I2466:J2466"/>
    <mergeCell ref="I2467:J2467"/>
    <mergeCell ref="I2468:J2468"/>
    <mergeCell ref="I2469:J2469"/>
    <mergeCell ref="I2504:J2504"/>
    <mergeCell ref="I2505:J2505"/>
    <mergeCell ref="I2506:J2506"/>
    <mergeCell ref="I2507:J2507"/>
    <mergeCell ref="I2508:J2508"/>
    <mergeCell ref="I2509:J2509"/>
    <mergeCell ref="I2495:J2495"/>
    <mergeCell ref="I2496:J2496"/>
    <mergeCell ref="C2497:C2550"/>
    <mergeCell ref="I2497:J2497"/>
    <mergeCell ref="I2498:J2498"/>
    <mergeCell ref="I2499:J2499"/>
    <mergeCell ref="I2500:J2500"/>
    <mergeCell ref="I2501:J2501"/>
    <mergeCell ref="I2502:J2502"/>
    <mergeCell ref="I2503:J2503"/>
    <mergeCell ref="I2485:J2485"/>
    <mergeCell ref="I2486:J2486"/>
    <mergeCell ref="I2487:J2487"/>
    <mergeCell ref="I2489:J2489"/>
    <mergeCell ref="C2490:C2496"/>
    <mergeCell ref="I2490:J2490"/>
    <mergeCell ref="I2491:J2491"/>
    <mergeCell ref="I2492:J2492"/>
    <mergeCell ref="I2493:J2493"/>
    <mergeCell ref="I2494:J2494"/>
    <mergeCell ref="I2460:J2460"/>
    <mergeCell ref="I2449:J2449"/>
    <mergeCell ref="I2450:J2450"/>
    <mergeCell ref="I2451:J2451"/>
    <mergeCell ref="I2452:J2452"/>
    <mergeCell ref="I2453:J2453"/>
    <mergeCell ref="I2454:J2454"/>
    <mergeCell ref="I2443:J2443"/>
    <mergeCell ref="I2444:J2444"/>
    <mergeCell ref="I2445:J2445"/>
    <mergeCell ref="I2446:J2446"/>
    <mergeCell ref="I2447:J2447"/>
    <mergeCell ref="I2448:J2448"/>
    <mergeCell ref="I2476:J2476"/>
    <mergeCell ref="I2477:J2477"/>
    <mergeCell ref="I2478:J2478"/>
    <mergeCell ref="C2479:C2489"/>
    <mergeCell ref="I2479:J2479"/>
    <mergeCell ref="I2480:J2480"/>
    <mergeCell ref="I2481:J2481"/>
    <mergeCell ref="I2482:J2482"/>
    <mergeCell ref="I2483:J2483"/>
    <mergeCell ref="I2484:J2484"/>
    <mergeCell ref="I2470:J2470"/>
    <mergeCell ref="I2471:J2471"/>
    <mergeCell ref="I2472:J2472"/>
    <mergeCell ref="I2473:J2473"/>
    <mergeCell ref="I2474:J2474"/>
    <mergeCell ref="I2475:J2475"/>
    <mergeCell ref="I2461:J2461"/>
    <mergeCell ref="I2462:J2462"/>
    <mergeCell ref="I2463:J2463"/>
    <mergeCell ref="I2431:J2431"/>
    <mergeCell ref="I2432:J2432"/>
    <mergeCell ref="I2433:J2433"/>
    <mergeCell ref="I2434:J2434"/>
    <mergeCell ref="I2435:J2435"/>
    <mergeCell ref="I2436:J2436"/>
    <mergeCell ref="I2425:J2425"/>
    <mergeCell ref="I2426:J2426"/>
    <mergeCell ref="I2427:J2427"/>
    <mergeCell ref="I2428:J2428"/>
    <mergeCell ref="I2429:J2429"/>
    <mergeCell ref="I2430:J2430"/>
    <mergeCell ref="I2455:J2455"/>
    <mergeCell ref="I2456:J2456"/>
    <mergeCell ref="I2457:J2457"/>
    <mergeCell ref="I2458:J2458"/>
    <mergeCell ref="I2459:J2459"/>
    <mergeCell ref="I2419:J2419"/>
    <mergeCell ref="I2420:J2420"/>
    <mergeCell ref="I2421:J2421"/>
    <mergeCell ref="I2422:J2422"/>
    <mergeCell ref="I2423:J2423"/>
    <mergeCell ref="I2424:J2424"/>
    <mergeCell ref="I2410:J2410"/>
    <mergeCell ref="I2411:J2411"/>
    <mergeCell ref="I2412:J2412"/>
    <mergeCell ref="I2413:J2413"/>
    <mergeCell ref="I2414:J2414"/>
    <mergeCell ref="C2415:C2463"/>
    <mergeCell ref="I2415:J2415"/>
    <mergeCell ref="I2416:J2416"/>
    <mergeCell ref="I2417:J2417"/>
    <mergeCell ref="I2418:J2418"/>
    <mergeCell ref="I2401:J2401"/>
    <mergeCell ref="C2402:C2414"/>
    <mergeCell ref="I2402:J2402"/>
    <mergeCell ref="I2403:J2403"/>
    <mergeCell ref="I2404:J2404"/>
    <mergeCell ref="I2405:J2405"/>
    <mergeCell ref="I2406:J2406"/>
    <mergeCell ref="I2407:J2407"/>
    <mergeCell ref="I2408:J2408"/>
    <mergeCell ref="I2409:J2409"/>
    <mergeCell ref="I2437:J2437"/>
    <mergeCell ref="I2438:J2438"/>
    <mergeCell ref="I2439:J2439"/>
    <mergeCell ref="I2440:J2440"/>
    <mergeCell ref="I2441:J2441"/>
    <mergeCell ref="I2442:J2442"/>
    <mergeCell ref="I2395:J2395"/>
    <mergeCell ref="I2396:J2396"/>
    <mergeCell ref="I2397:J2397"/>
    <mergeCell ref="I2398:J2398"/>
    <mergeCell ref="I2399:J2399"/>
    <mergeCell ref="I2400:J2400"/>
    <mergeCell ref="I2389:J2389"/>
    <mergeCell ref="I2390:J2390"/>
    <mergeCell ref="I2391:J2391"/>
    <mergeCell ref="I2392:J2392"/>
    <mergeCell ref="I2393:J2393"/>
    <mergeCell ref="I2394:J2394"/>
    <mergeCell ref="I2383:J2383"/>
    <mergeCell ref="I2384:J2384"/>
    <mergeCell ref="I2385:J2385"/>
    <mergeCell ref="I2386:J2386"/>
    <mergeCell ref="I2387:J2387"/>
    <mergeCell ref="I2388:J2388"/>
    <mergeCell ref="I2377:J2377"/>
    <mergeCell ref="I2378:J2378"/>
    <mergeCell ref="I2379:J2379"/>
    <mergeCell ref="I2380:J2380"/>
    <mergeCell ref="I2381:J2381"/>
    <mergeCell ref="I2382:J2382"/>
    <mergeCell ref="I2371:J2371"/>
    <mergeCell ref="I2372:J2372"/>
    <mergeCell ref="I2373:J2373"/>
    <mergeCell ref="I2374:J2374"/>
    <mergeCell ref="I2375:J2375"/>
    <mergeCell ref="I2376:J2376"/>
    <mergeCell ref="I2365:J2365"/>
    <mergeCell ref="I2366:J2366"/>
    <mergeCell ref="I2367:J2367"/>
    <mergeCell ref="I2368:J2368"/>
    <mergeCell ref="I2369:J2369"/>
    <mergeCell ref="I2370:J2370"/>
    <mergeCell ref="I2339:J2339"/>
    <mergeCell ref="I2340:J2340"/>
    <mergeCell ref="I2329:J2329"/>
    <mergeCell ref="I2330:J2330"/>
    <mergeCell ref="I2331:J2331"/>
    <mergeCell ref="I2332:J2332"/>
    <mergeCell ref="I2333:J2333"/>
    <mergeCell ref="I2334:J2334"/>
    <mergeCell ref="I2359:J2359"/>
    <mergeCell ref="I2360:J2360"/>
    <mergeCell ref="I2361:J2361"/>
    <mergeCell ref="I2362:J2362"/>
    <mergeCell ref="I2363:J2363"/>
    <mergeCell ref="I2364:J2364"/>
    <mergeCell ref="I2353:J2353"/>
    <mergeCell ref="I2354:J2354"/>
    <mergeCell ref="I2355:J2355"/>
    <mergeCell ref="I2356:J2356"/>
    <mergeCell ref="I2357:J2357"/>
    <mergeCell ref="I2358:J2358"/>
    <mergeCell ref="I2347:J2347"/>
    <mergeCell ref="I2348:J2348"/>
    <mergeCell ref="I2349:J2349"/>
    <mergeCell ref="I2350:J2350"/>
    <mergeCell ref="I2351:J2351"/>
    <mergeCell ref="I2352:J2352"/>
    <mergeCell ref="I2323:J2323"/>
    <mergeCell ref="I2324:J2324"/>
    <mergeCell ref="I2325:J2325"/>
    <mergeCell ref="I2326:J2326"/>
    <mergeCell ref="I2327:J2327"/>
    <mergeCell ref="I2328:J2328"/>
    <mergeCell ref="I2317:J2317"/>
    <mergeCell ref="I2318:J2318"/>
    <mergeCell ref="I2319:J2319"/>
    <mergeCell ref="I2320:J2320"/>
    <mergeCell ref="I2321:J2321"/>
    <mergeCell ref="I2322:J2322"/>
    <mergeCell ref="I2308:J2308"/>
    <mergeCell ref="I2309:J2309"/>
    <mergeCell ref="I2310:J2310"/>
    <mergeCell ref="I2311:J2311"/>
    <mergeCell ref="C2312:C2401"/>
    <mergeCell ref="I2312:J2312"/>
    <mergeCell ref="I2313:J2313"/>
    <mergeCell ref="I2314:J2314"/>
    <mergeCell ref="I2315:J2315"/>
    <mergeCell ref="I2316:J2316"/>
    <mergeCell ref="I2341:J2341"/>
    <mergeCell ref="I2342:J2342"/>
    <mergeCell ref="I2343:J2343"/>
    <mergeCell ref="I2344:J2344"/>
    <mergeCell ref="I2345:J2345"/>
    <mergeCell ref="I2346:J2346"/>
    <mergeCell ref="I2335:J2335"/>
    <mergeCell ref="I2336:J2336"/>
    <mergeCell ref="I2337:J2337"/>
    <mergeCell ref="I2338:J2338"/>
    <mergeCell ref="I2302:J2302"/>
    <mergeCell ref="I2303:J2303"/>
    <mergeCell ref="I2304:J2304"/>
    <mergeCell ref="I2305:J2305"/>
    <mergeCell ref="I2306:J2306"/>
    <mergeCell ref="I2307:J2307"/>
    <mergeCell ref="I2296:J2296"/>
    <mergeCell ref="I2297:J2297"/>
    <mergeCell ref="I2298:J2298"/>
    <mergeCell ref="I2299:J2299"/>
    <mergeCell ref="I2300:J2300"/>
    <mergeCell ref="I2301:J2301"/>
    <mergeCell ref="I2290:J2290"/>
    <mergeCell ref="I2291:J2291"/>
    <mergeCell ref="I2292:J2292"/>
    <mergeCell ref="I2293:J2293"/>
    <mergeCell ref="I2294:J2294"/>
    <mergeCell ref="I2295:J2295"/>
    <mergeCell ref="I2264:J2264"/>
    <mergeCell ref="I2265:J2265"/>
    <mergeCell ref="I2254:J2254"/>
    <mergeCell ref="I2255:J2255"/>
    <mergeCell ref="I2256:J2256"/>
    <mergeCell ref="I2257:J2257"/>
    <mergeCell ref="I2258:J2258"/>
    <mergeCell ref="I2259:J2259"/>
    <mergeCell ref="I2284:J2284"/>
    <mergeCell ref="I2285:J2285"/>
    <mergeCell ref="I2286:J2286"/>
    <mergeCell ref="I2287:J2287"/>
    <mergeCell ref="I2288:J2288"/>
    <mergeCell ref="I2289:J2289"/>
    <mergeCell ref="I2278:J2278"/>
    <mergeCell ref="I2279:J2279"/>
    <mergeCell ref="I2280:J2280"/>
    <mergeCell ref="I2281:J2281"/>
    <mergeCell ref="I2282:J2282"/>
    <mergeCell ref="I2283:J2283"/>
    <mergeCell ref="I2272:J2272"/>
    <mergeCell ref="I2273:J2273"/>
    <mergeCell ref="I2274:J2274"/>
    <mergeCell ref="I2275:J2275"/>
    <mergeCell ref="I2276:J2276"/>
    <mergeCell ref="I2277:J2277"/>
    <mergeCell ref="I2248:J2248"/>
    <mergeCell ref="I2249:J2249"/>
    <mergeCell ref="I2250:J2250"/>
    <mergeCell ref="I2251:J2251"/>
    <mergeCell ref="I2252:J2252"/>
    <mergeCell ref="I2253:J2253"/>
    <mergeCell ref="I2239:J2239"/>
    <mergeCell ref="I2240:J2240"/>
    <mergeCell ref="C2241:C2311"/>
    <mergeCell ref="I2241:J2241"/>
    <mergeCell ref="I2242:J2242"/>
    <mergeCell ref="I2243:J2243"/>
    <mergeCell ref="I2244:J2244"/>
    <mergeCell ref="I2245:J2245"/>
    <mergeCell ref="I2246:J2246"/>
    <mergeCell ref="I2247:J2247"/>
    <mergeCell ref="I2233:J2233"/>
    <mergeCell ref="I2234:J2234"/>
    <mergeCell ref="I2235:J2235"/>
    <mergeCell ref="I2236:J2236"/>
    <mergeCell ref="I2237:J2237"/>
    <mergeCell ref="I2238:J2238"/>
    <mergeCell ref="I2266:J2266"/>
    <mergeCell ref="I2267:J2267"/>
    <mergeCell ref="I2268:J2268"/>
    <mergeCell ref="I2269:J2269"/>
    <mergeCell ref="I2270:J2270"/>
    <mergeCell ref="I2271:J2271"/>
    <mergeCell ref="I2260:J2260"/>
    <mergeCell ref="I2261:J2261"/>
    <mergeCell ref="I2262:J2262"/>
    <mergeCell ref="I2263:J2263"/>
    <mergeCell ref="I2199:J2199"/>
    <mergeCell ref="I2200:J2200"/>
    <mergeCell ref="I2201:J2201"/>
    <mergeCell ref="I2202:J2202"/>
    <mergeCell ref="I2227:J2227"/>
    <mergeCell ref="I2228:J2228"/>
    <mergeCell ref="I2229:J2229"/>
    <mergeCell ref="I2230:J2230"/>
    <mergeCell ref="I2231:J2231"/>
    <mergeCell ref="I2232:J2232"/>
    <mergeCell ref="I2221:J2221"/>
    <mergeCell ref="I2222:J2222"/>
    <mergeCell ref="I2223:J2223"/>
    <mergeCell ref="I2224:J2224"/>
    <mergeCell ref="I2225:J2225"/>
    <mergeCell ref="I2226:J2226"/>
    <mergeCell ref="I2215:J2215"/>
    <mergeCell ref="I2216:J2216"/>
    <mergeCell ref="I2217:J2217"/>
    <mergeCell ref="I2218:J2218"/>
    <mergeCell ref="I2219:J2219"/>
    <mergeCell ref="I2220:J2220"/>
    <mergeCell ref="I2209:J2209"/>
    <mergeCell ref="I2210:J2210"/>
    <mergeCell ref="I2211:J2211"/>
    <mergeCell ref="I2212:J2212"/>
    <mergeCell ref="I2213:J2213"/>
    <mergeCell ref="I2214:J2214"/>
    <mergeCell ref="I2203:J2203"/>
    <mergeCell ref="I2204:J2204"/>
    <mergeCell ref="I2205:J2205"/>
    <mergeCell ref="I2206:J2206"/>
    <mergeCell ref="I2207:J2207"/>
    <mergeCell ref="I2208:J2208"/>
    <mergeCell ref="I2197:J2197"/>
    <mergeCell ref="I2198:J2198"/>
    <mergeCell ref="I2170:J2170"/>
    <mergeCell ref="I2171:J2171"/>
    <mergeCell ref="I2172:J2172"/>
    <mergeCell ref="I2173:J2173"/>
    <mergeCell ref="I2174:J2174"/>
    <mergeCell ref="I2175:J2175"/>
    <mergeCell ref="I2161:J2161"/>
    <mergeCell ref="I2162:J2162"/>
    <mergeCell ref="I2163:J2163"/>
    <mergeCell ref="C2164:C2191"/>
    <mergeCell ref="I2164:J2164"/>
    <mergeCell ref="I2165:J2165"/>
    <mergeCell ref="I2166:J2166"/>
    <mergeCell ref="I2167:J2167"/>
    <mergeCell ref="I2168:J2168"/>
    <mergeCell ref="I2169:J2169"/>
    <mergeCell ref="I2192:J2192"/>
    <mergeCell ref="I2193:J2193"/>
    <mergeCell ref="I2194:J2194"/>
    <mergeCell ref="I2195:J2195"/>
    <mergeCell ref="I2196:J2196"/>
    <mergeCell ref="I2182:J2182"/>
    <mergeCell ref="I2183:J2183"/>
    <mergeCell ref="I2184:J2184"/>
    <mergeCell ref="I2185:J2185"/>
    <mergeCell ref="I2186:J2186"/>
    <mergeCell ref="I2187:J2187"/>
    <mergeCell ref="I2176:J2176"/>
    <mergeCell ref="I2155:J2155"/>
    <mergeCell ref="I2156:J2156"/>
    <mergeCell ref="I2157:J2157"/>
    <mergeCell ref="I2158:J2158"/>
    <mergeCell ref="I2159:J2159"/>
    <mergeCell ref="I2160:J2160"/>
    <mergeCell ref="I2188:J2188"/>
    <mergeCell ref="I2189:J2189"/>
    <mergeCell ref="I2190:J2190"/>
    <mergeCell ref="I2191:J2191"/>
    <mergeCell ref="I2146:J2146"/>
    <mergeCell ref="I2147:J2147"/>
    <mergeCell ref="I2148:J2148"/>
    <mergeCell ref="I2149:J2149"/>
    <mergeCell ref="I2150:J2150"/>
    <mergeCell ref="C2151:C2163"/>
    <mergeCell ref="I2151:J2151"/>
    <mergeCell ref="I2152:J2152"/>
    <mergeCell ref="I2153:J2153"/>
    <mergeCell ref="I2154:J2154"/>
    <mergeCell ref="I2177:J2177"/>
    <mergeCell ref="I2178:J2178"/>
    <mergeCell ref="I2179:J2179"/>
    <mergeCell ref="I2180:J2180"/>
    <mergeCell ref="I2181:J2181"/>
    <mergeCell ref="I2140:J2140"/>
    <mergeCell ref="I2141:J2141"/>
    <mergeCell ref="I2142:J2142"/>
    <mergeCell ref="I2143:J2143"/>
    <mergeCell ref="I2144:J2144"/>
    <mergeCell ref="I2145:J2145"/>
    <mergeCell ref="I2134:J2134"/>
    <mergeCell ref="I2135:J2135"/>
    <mergeCell ref="I2136:J2136"/>
    <mergeCell ref="I2137:J2137"/>
    <mergeCell ref="I2138:J2138"/>
    <mergeCell ref="I2139:J2139"/>
    <mergeCell ref="C2125:C2150"/>
    <mergeCell ref="I2125:J2125"/>
    <mergeCell ref="I2126:J2126"/>
    <mergeCell ref="I2127:J2127"/>
    <mergeCell ref="I2128:J2128"/>
    <mergeCell ref="I2129:J2129"/>
    <mergeCell ref="I2130:J2130"/>
    <mergeCell ref="I2131:J2131"/>
    <mergeCell ref="I2132:J2132"/>
    <mergeCell ref="I2133:J2133"/>
    <mergeCell ref="I2119:J2119"/>
    <mergeCell ref="I2120:J2120"/>
    <mergeCell ref="I2121:J2121"/>
    <mergeCell ref="I2122:J2122"/>
    <mergeCell ref="I2123:J2123"/>
    <mergeCell ref="I2124:J2124"/>
    <mergeCell ref="I2113:J2113"/>
    <mergeCell ref="I2114:J2114"/>
    <mergeCell ref="I2115:J2115"/>
    <mergeCell ref="I2116:J2116"/>
    <mergeCell ref="I2117:J2117"/>
    <mergeCell ref="I2118:J2118"/>
    <mergeCell ref="I2104:J2104"/>
    <mergeCell ref="C2105:C2124"/>
    <mergeCell ref="I2105:J2105"/>
    <mergeCell ref="I2106:J2106"/>
    <mergeCell ref="I2107:J2107"/>
    <mergeCell ref="I2108:J2108"/>
    <mergeCell ref="I2109:J2109"/>
    <mergeCell ref="I2110:J2110"/>
    <mergeCell ref="I2111:J2111"/>
    <mergeCell ref="I2112:J2112"/>
    <mergeCell ref="I2098:J2098"/>
    <mergeCell ref="I2099:J2099"/>
    <mergeCell ref="I2100:J2100"/>
    <mergeCell ref="I2101:J2101"/>
    <mergeCell ref="I2102:J2102"/>
    <mergeCell ref="I2103:J2103"/>
    <mergeCell ref="I2092:J2092"/>
    <mergeCell ref="I2093:J2093"/>
    <mergeCell ref="I2094:J2094"/>
    <mergeCell ref="I2095:J2095"/>
    <mergeCell ref="I2096:J2096"/>
    <mergeCell ref="I2097:J2097"/>
    <mergeCell ref="C2084:C2085"/>
    <mergeCell ref="I2084:J2084"/>
    <mergeCell ref="I2085:J2085"/>
    <mergeCell ref="C2086:C2104"/>
    <mergeCell ref="I2086:J2086"/>
    <mergeCell ref="I2087:J2087"/>
    <mergeCell ref="I2088:J2088"/>
    <mergeCell ref="I2089:J2089"/>
    <mergeCell ref="I2090:J2090"/>
    <mergeCell ref="I2091:J2091"/>
    <mergeCell ref="I2078:J2078"/>
    <mergeCell ref="I2079:J2079"/>
    <mergeCell ref="I2080:J2080"/>
    <mergeCell ref="I2081:J2081"/>
    <mergeCell ref="I2082:J2082"/>
    <mergeCell ref="I2083:J2083"/>
    <mergeCell ref="I2071:J2071"/>
    <mergeCell ref="I2072:J2072"/>
    <mergeCell ref="I2073:J2073"/>
    <mergeCell ref="I2074:J2074"/>
    <mergeCell ref="I2075:J2075"/>
    <mergeCell ref="C2076:C2077"/>
    <mergeCell ref="I2076:J2076"/>
    <mergeCell ref="I2077:J2077"/>
    <mergeCell ref="I2065:J2065"/>
    <mergeCell ref="I2066:J2066"/>
    <mergeCell ref="I2067:J2067"/>
    <mergeCell ref="I2068:J2068"/>
    <mergeCell ref="I2069:J2069"/>
    <mergeCell ref="I2070:J2070"/>
    <mergeCell ref="I2059:J2059"/>
    <mergeCell ref="I2060:J2060"/>
    <mergeCell ref="I2061:J2061"/>
    <mergeCell ref="I2062:J2062"/>
    <mergeCell ref="I2063:J2063"/>
    <mergeCell ref="I2064:J2064"/>
    <mergeCell ref="I2053:J2053"/>
    <mergeCell ref="I2054:J2054"/>
    <mergeCell ref="I2055:J2055"/>
    <mergeCell ref="I2056:J2056"/>
    <mergeCell ref="I2057:J2057"/>
    <mergeCell ref="I2058:J2058"/>
    <mergeCell ref="I2044:J2044"/>
    <mergeCell ref="I2045:J2045"/>
    <mergeCell ref="I2046:J2046"/>
    <mergeCell ref="C2047:C2075"/>
    <mergeCell ref="I2047:J2047"/>
    <mergeCell ref="I2048:J2048"/>
    <mergeCell ref="I2049:J2049"/>
    <mergeCell ref="I2050:J2050"/>
    <mergeCell ref="I2051:J2051"/>
    <mergeCell ref="I2052:J2052"/>
    <mergeCell ref="I2038:J2038"/>
    <mergeCell ref="I2039:J2039"/>
    <mergeCell ref="I2040:J2040"/>
    <mergeCell ref="I2041:J2041"/>
    <mergeCell ref="I2042:J2042"/>
    <mergeCell ref="I2043:J2043"/>
    <mergeCell ref="I2032:J2032"/>
    <mergeCell ref="I2033:J2033"/>
    <mergeCell ref="I2034:J2034"/>
    <mergeCell ref="I2035:J2035"/>
    <mergeCell ref="I2036:J2036"/>
    <mergeCell ref="I2037:J2037"/>
    <mergeCell ref="I2026:J2026"/>
    <mergeCell ref="I2027:J2027"/>
    <mergeCell ref="I2028:J2028"/>
    <mergeCell ref="I2029:J2029"/>
    <mergeCell ref="I2030:J2030"/>
    <mergeCell ref="I2031:J2031"/>
    <mergeCell ref="I2001:J2001"/>
    <mergeCell ref="I1990:J1990"/>
    <mergeCell ref="I1991:J1991"/>
    <mergeCell ref="I1992:J1992"/>
    <mergeCell ref="I1993:J1993"/>
    <mergeCell ref="I1994:J1994"/>
    <mergeCell ref="I1995:J1995"/>
    <mergeCell ref="I2020:J2020"/>
    <mergeCell ref="I2021:J2021"/>
    <mergeCell ref="I2022:J2022"/>
    <mergeCell ref="I2023:J2023"/>
    <mergeCell ref="I2024:J2024"/>
    <mergeCell ref="I2025:J2025"/>
    <mergeCell ref="I2014:J2014"/>
    <mergeCell ref="I2015:J2015"/>
    <mergeCell ref="I2016:J2016"/>
    <mergeCell ref="I2017:J2017"/>
    <mergeCell ref="I2018:J2018"/>
    <mergeCell ref="I2019:J2019"/>
    <mergeCell ref="I2008:J2008"/>
    <mergeCell ref="I2009:J2009"/>
    <mergeCell ref="I2010:J2010"/>
    <mergeCell ref="I2011:J2011"/>
    <mergeCell ref="I2012:J2012"/>
    <mergeCell ref="I2013:J2013"/>
    <mergeCell ref="I1982:J1982"/>
    <mergeCell ref="C1983:C2046"/>
    <mergeCell ref="I1983:J1983"/>
    <mergeCell ref="I1984:J1984"/>
    <mergeCell ref="I1985:J1985"/>
    <mergeCell ref="I1986:J1986"/>
    <mergeCell ref="I1987:J1987"/>
    <mergeCell ref="I1988:J1988"/>
    <mergeCell ref="I1989:J1989"/>
    <mergeCell ref="C1978:C1979"/>
    <mergeCell ref="I1978:J1978"/>
    <mergeCell ref="I1979:J1979"/>
    <mergeCell ref="C1980:C1981"/>
    <mergeCell ref="I1980:J1980"/>
    <mergeCell ref="I1981:J1981"/>
    <mergeCell ref="I1972:J1972"/>
    <mergeCell ref="I1973:J1973"/>
    <mergeCell ref="I1974:J1974"/>
    <mergeCell ref="I1975:J1975"/>
    <mergeCell ref="I1976:J1976"/>
    <mergeCell ref="I1977:J1977"/>
    <mergeCell ref="I2002:J2002"/>
    <mergeCell ref="I2003:J2003"/>
    <mergeCell ref="I2004:J2004"/>
    <mergeCell ref="I2005:J2005"/>
    <mergeCell ref="I2006:J2006"/>
    <mergeCell ref="I2007:J2007"/>
    <mergeCell ref="I1996:J1996"/>
    <mergeCell ref="I1997:J1997"/>
    <mergeCell ref="I1998:J1998"/>
    <mergeCell ref="I1999:J1999"/>
    <mergeCell ref="I2000:J2000"/>
    <mergeCell ref="I1966:J1966"/>
    <mergeCell ref="I1967:J1967"/>
    <mergeCell ref="I1968:J1968"/>
    <mergeCell ref="I1969:J1969"/>
    <mergeCell ref="I1970:J1970"/>
    <mergeCell ref="I1971:J1971"/>
    <mergeCell ref="C1958:C1959"/>
    <mergeCell ref="I1958:J1958"/>
    <mergeCell ref="I1959:J1959"/>
    <mergeCell ref="C1960:C1977"/>
    <mergeCell ref="I1960:J1960"/>
    <mergeCell ref="I1961:J1961"/>
    <mergeCell ref="I1962:J1962"/>
    <mergeCell ref="I1963:J1963"/>
    <mergeCell ref="I1964:J1964"/>
    <mergeCell ref="I1965:J1965"/>
    <mergeCell ref="C1954:C1955"/>
    <mergeCell ref="I1954:J1954"/>
    <mergeCell ref="I1955:J1955"/>
    <mergeCell ref="C1956:C1957"/>
    <mergeCell ref="I1956:J1956"/>
    <mergeCell ref="I1957:J1957"/>
    <mergeCell ref="I1947:J1947"/>
    <mergeCell ref="C1948:C1953"/>
    <mergeCell ref="I1948:J1948"/>
    <mergeCell ref="I1949:J1949"/>
    <mergeCell ref="I1950:J1950"/>
    <mergeCell ref="I1951:J1951"/>
    <mergeCell ref="I1952:J1952"/>
    <mergeCell ref="I1953:J1953"/>
    <mergeCell ref="I1941:J1941"/>
    <mergeCell ref="I1942:J1942"/>
    <mergeCell ref="I1943:J1943"/>
    <mergeCell ref="I1944:J1944"/>
    <mergeCell ref="I1945:J1945"/>
    <mergeCell ref="I1946:J1946"/>
    <mergeCell ref="I1935:J1935"/>
    <mergeCell ref="I1936:J1936"/>
    <mergeCell ref="I1937:J1937"/>
    <mergeCell ref="I1938:J1938"/>
    <mergeCell ref="I1939:J1939"/>
    <mergeCell ref="I1940:J1940"/>
    <mergeCell ref="C1890:C1947"/>
    <mergeCell ref="I1890:J1890"/>
    <mergeCell ref="I1891:J1891"/>
    <mergeCell ref="I1892:J1892"/>
    <mergeCell ref="I1893:J1893"/>
    <mergeCell ref="I1894:J1894"/>
    <mergeCell ref="I1895:J1895"/>
    <mergeCell ref="I1896:J1896"/>
    <mergeCell ref="I1897:J1897"/>
    <mergeCell ref="I1898:J1898"/>
    <mergeCell ref="I1929:J1929"/>
    <mergeCell ref="I1930:J1930"/>
    <mergeCell ref="I1931:J1931"/>
    <mergeCell ref="I1932:J1932"/>
    <mergeCell ref="I1933:J1933"/>
    <mergeCell ref="I1934:J1934"/>
    <mergeCell ref="I1923:J1923"/>
    <mergeCell ref="I1924:J1924"/>
    <mergeCell ref="I1925:J1925"/>
    <mergeCell ref="I1926:J1926"/>
    <mergeCell ref="I1927:J1927"/>
    <mergeCell ref="I1928:J1928"/>
    <mergeCell ref="I1917:J1917"/>
    <mergeCell ref="I1918:J1918"/>
    <mergeCell ref="I1919:J1919"/>
    <mergeCell ref="I1920:J1920"/>
    <mergeCell ref="I1921:J1921"/>
    <mergeCell ref="I1922:J1922"/>
    <mergeCell ref="I1911:J1911"/>
    <mergeCell ref="I1912:J1912"/>
    <mergeCell ref="I1913:J1913"/>
    <mergeCell ref="I1914:J1914"/>
    <mergeCell ref="I1915:J1915"/>
    <mergeCell ref="I1916:J1916"/>
    <mergeCell ref="I1905:J1905"/>
    <mergeCell ref="I1906:J1906"/>
    <mergeCell ref="I1907:J1907"/>
    <mergeCell ref="I1908:J1908"/>
    <mergeCell ref="I1909:J1909"/>
    <mergeCell ref="I1910:J1910"/>
    <mergeCell ref="I1899:J1899"/>
    <mergeCell ref="I1900:J1900"/>
    <mergeCell ref="I1901:J1901"/>
    <mergeCell ref="I1902:J1902"/>
    <mergeCell ref="I1903:J1903"/>
    <mergeCell ref="I1904:J1904"/>
    <mergeCell ref="C1886:C1887"/>
    <mergeCell ref="I1886:J1886"/>
    <mergeCell ref="I1887:J1887"/>
    <mergeCell ref="C1888:C1889"/>
    <mergeCell ref="I1888:J1888"/>
    <mergeCell ref="I1889:J1889"/>
    <mergeCell ref="I1880:J1880"/>
    <mergeCell ref="C1881:C1882"/>
    <mergeCell ref="I1881:J1881"/>
    <mergeCell ref="I1882:J1882"/>
    <mergeCell ref="C1883:C1885"/>
    <mergeCell ref="I1883:J1883"/>
    <mergeCell ref="I1884:J1884"/>
    <mergeCell ref="I1885:J1885"/>
    <mergeCell ref="I1874:J1874"/>
    <mergeCell ref="I1875:J1875"/>
    <mergeCell ref="I1876:J1876"/>
    <mergeCell ref="I1877:J1877"/>
    <mergeCell ref="I1878:J1878"/>
    <mergeCell ref="I1879:J1879"/>
    <mergeCell ref="I1868:J1868"/>
    <mergeCell ref="I1869:J1869"/>
    <mergeCell ref="I1870:J1870"/>
    <mergeCell ref="I1871:J1871"/>
    <mergeCell ref="I1872:J1872"/>
    <mergeCell ref="I1873:J1873"/>
    <mergeCell ref="C1670:C1880"/>
    <mergeCell ref="I1862:J1862"/>
    <mergeCell ref="I1863:J1863"/>
    <mergeCell ref="I1864:J1864"/>
    <mergeCell ref="I1865:J1865"/>
    <mergeCell ref="I1866:J1866"/>
    <mergeCell ref="I1867:J1867"/>
    <mergeCell ref="I1856:J1856"/>
    <mergeCell ref="I1857:J1857"/>
    <mergeCell ref="I1858:J1858"/>
    <mergeCell ref="I1859:J1859"/>
    <mergeCell ref="I1860:J1860"/>
    <mergeCell ref="I1861:J1861"/>
    <mergeCell ref="I1850:J1850"/>
    <mergeCell ref="I1851:J1851"/>
    <mergeCell ref="I1852:J1852"/>
    <mergeCell ref="I1853:J1853"/>
    <mergeCell ref="I1854:J1854"/>
    <mergeCell ref="I1855:J1855"/>
    <mergeCell ref="I1844:J1844"/>
    <mergeCell ref="I1845:J1845"/>
    <mergeCell ref="I1846:J1846"/>
    <mergeCell ref="I1847:J1847"/>
    <mergeCell ref="I1848:J1848"/>
    <mergeCell ref="I1849:J1849"/>
    <mergeCell ref="I1838:J1838"/>
    <mergeCell ref="I1839:J1839"/>
    <mergeCell ref="I1840:J1840"/>
    <mergeCell ref="I1841:J1841"/>
    <mergeCell ref="I1842:J1842"/>
    <mergeCell ref="I1843:J1843"/>
    <mergeCell ref="I1832:J1832"/>
    <mergeCell ref="I1833:J1833"/>
    <mergeCell ref="I1834:J1834"/>
    <mergeCell ref="I1835:J1835"/>
    <mergeCell ref="I1836:J1836"/>
    <mergeCell ref="I1837:J1837"/>
    <mergeCell ref="I1826:J1826"/>
    <mergeCell ref="I1827:J1827"/>
    <mergeCell ref="I1828:J1828"/>
    <mergeCell ref="I1829:J1829"/>
    <mergeCell ref="I1830:J1830"/>
    <mergeCell ref="I1831:J1831"/>
    <mergeCell ref="I1820:J1820"/>
    <mergeCell ref="I1821:J1821"/>
    <mergeCell ref="I1822:J1822"/>
    <mergeCell ref="I1823:J1823"/>
    <mergeCell ref="I1824:J1824"/>
    <mergeCell ref="I1825:J1825"/>
    <mergeCell ref="I1814:J1814"/>
    <mergeCell ref="I1815:J1815"/>
    <mergeCell ref="I1816:J1816"/>
    <mergeCell ref="I1817:J1817"/>
    <mergeCell ref="I1818:J1818"/>
    <mergeCell ref="I1819:J1819"/>
    <mergeCell ref="I1808:J1808"/>
    <mergeCell ref="I1809:J1809"/>
    <mergeCell ref="I1810:J1810"/>
    <mergeCell ref="I1811:J1811"/>
    <mergeCell ref="I1812:J1812"/>
    <mergeCell ref="I1813:J1813"/>
    <mergeCell ref="I1802:J1802"/>
    <mergeCell ref="I1803:J1803"/>
    <mergeCell ref="I1804:J1804"/>
    <mergeCell ref="I1805:J1805"/>
    <mergeCell ref="I1806:J1806"/>
    <mergeCell ref="I1807:J1807"/>
    <mergeCell ref="I1796:J1796"/>
    <mergeCell ref="I1797:J1797"/>
    <mergeCell ref="I1798:J1798"/>
    <mergeCell ref="I1799:J1799"/>
    <mergeCell ref="I1800:J1800"/>
    <mergeCell ref="I1801:J1801"/>
    <mergeCell ref="I1790:J1790"/>
    <mergeCell ref="I1791:J1791"/>
    <mergeCell ref="I1792:J1792"/>
    <mergeCell ref="I1793:J1793"/>
    <mergeCell ref="I1794:J1794"/>
    <mergeCell ref="I1795:J1795"/>
    <mergeCell ref="I1784:J1784"/>
    <mergeCell ref="I1785:J1785"/>
    <mergeCell ref="I1786:J1786"/>
    <mergeCell ref="I1787:J1787"/>
    <mergeCell ref="I1788:J1788"/>
    <mergeCell ref="I1789:J1789"/>
    <mergeCell ref="I1778:J1778"/>
    <mergeCell ref="I1779:J1779"/>
    <mergeCell ref="I1780:J1780"/>
    <mergeCell ref="I1781:J1781"/>
    <mergeCell ref="I1782:J1782"/>
    <mergeCell ref="I1783:J1783"/>
    <mergeCell ref="I1772:J1772"/>
    <mergeCell ref="I1773:J1773"/>
    <mergeCell ref="I1774:J1774"/>
    <mergeCell ref="I1775:J1775"/>
    <mergeCell ref="I1776:J1776"/>
    <mergeCell ref="I1777:J1777"/>
    <mergeCell ref="I1766:J1766"/>
    <mergeCell ref="I1767:J1767"/>
    <mergeCell ref="I1768:J1768"/>
    <mergeCell ref="I1769:J1769"/>
    <mergeCell ref="I1770:J1770"/>
    <mergeCell ref="I1771:J1771"/>
    <mergeCell ref="I1760:J1760"/>
    <mergeCell ref="I1761:J1761"/>
    <mergeCell ref="I1762:J1762"/>
    <mergeCell ref="I1763:J1763"/>
    <mergeCell ref="I1764:J1764"/>
    <mergeCell ref="I1765:J1765"/>
    <mergeCell ref="I1754:J1754"/>
    <mergeCell ref="I1755:J1755"/>
    <mergeCell ref="I1756:J1756"/>
    <mergeCell ref="I1757:J1757"/>
    <mergeCell ref="I1758:J1758"/>
    <mergeCell ref="I1759:J1759"/>
    <mergeCell ref="I1748:J1748"/>
    <mergeCell ref="I1749:J1749"/>
    <mergeCell ref="I1750:J1750"/>
    <mergeCell ref="I1751:J1751"/>
    <mergeCell ref="I1752:J1752"/>
    <mergeCell ref="I1753:J1753"/>
    <mergeCell ref="I1742:J1742"/>
    <mergeCell ref="I1743:J1743"/>
    <mergeCell ref="I1744:J1744"/>
    <mergeCell ref="I1745:J1745"/>
    <mergeCell ref="I1746:J1746"/>
    <mergeCell ref="I1747:J1747"/>
    <mergeCell ref="I1737:J1737"/>
    <mergeCell ref="I1738:J1738"/>
    <mergeCell ref="I1739:J1739"/>
    <mergeCell ref="I1740:J1740"/>
    <mergeCell ref="I1741:J1741"/>
    <mergeCell ref="I1730:J1730"/>
    <mergeCell ref="I1731:J1731"/>
    <mergeCell ref="I1732:J1732"/>
    <mergeCell ref="I1733:J1733"/>
    <mergeCell ref="I1734:J1734"/>
    <mergeCell ref="I1735:J1735"/>
    <mergeCell ref="I1705:J1705"/>
    <mergeCell ref="I1688:J1688"/>
    <mergeCell ref="I1689:J1689"/>
    <mergeCell ref="I1724:J1724"/>
    <mergeCell ref="I1725:J1725"/>
    <mergeCell ref="I1726:J1726"/>
    <mergeCell ref="I1727:J1727"/>
    <mergeCell ref="I1728:J1728"/>
    <mergeCell ref="I1729:J1729"/>
    <mergeCell ref="I1719:J1719"/>
    <mergeCell ref="I1720:J1720"/>
    <mergeCell ref="I1721:J1721"/>
    <mergeCell ref="I1722:J1722"/>
    <mergeCell ref="I1723:J1723"/>
    <mergeCell ref="I1712:J1712"/>
    <mergeCell ref="I1713:J1713"/>
    <mergeCell ref="I1714:J1714"/>
    <mergeCell ref="I1715:J1715"/>
    <mergeCell ref="I1716:J1716"/>
    <mergeCell ref="I1717:J1717"/>
    <mergeCell ref="I1666:J1666"/>
    <mergeCell ref="I1655:J1655"/>
    <mergeCell ref="I1656:J1656"/>
    <mergeCell ref="I1707:J1707"/>
    <mergeCell ref="I1708:J1708"/>
    <mergeCell ref="I1709:J1709"/>
    <mergeCell ref="I1710:J1710"/>
    <mergeCell ref="I1711:J1711"/>
    <mergeCell ref="I1736:J1736"/>
    <mergeCell ref="I1694:J1694"/>
    <mergeCell ref="I1695:J1695"/>
    <mergeCell ref="I1696:J1696"/>
    <mergeCell ref="I1697:J1697"/>
    <mergeCell ref="I1698:J1698"/>
    <mergeCell ref="I1699:J1699"/>
    <mergeCell ref="I1690:J1690"/>
    <mergeCell ref="I1691:J1691"/>
    <mergeCell ref="I1692:J1692"/>
    <mergeCell ref="I1693:J1693"/>
    <mergeCell ref="I1682:J1682"/>
    <mergeCell ref="I1683:J1683"/>
    <mergeCell ref="I1684:J1684"/>
    <mergeCell ref="I1685:J1685"/>
    <mergeCell ref="I1686:J1686"/>
    <mergeCell ref="I1687:J1687"/>
    <mergeCell ref="I1718:J1718"/>
    <mergeCell ref="I1706:J1706"/>
    <mergeCell ref="I1700:J1700"/>
    <mergeCell ref="I1701:J1701"/>
    <mergeCell ref="I1702:J1702"/>
    <mergeCell ref="I1703:J1703"/>
    <mergeCell ref="I1704:J1704"/>
    <mergeCell ref="I1626:J1626"/>
    <mergeCell ref="I1627:J1627"/>
    <mergeCell ref="I1628:J1628"/>
    <mergeCell ref="I1629:J1629"/>
    <mergeCell ref="I1630:J1630"/>
    <mergeCell ref="I1676:J1676"/>
    <mergeCell ref="I1677:J1677"/>
    <mergeCell ref="I1678:J1678"/>
    <mergeCell ref="I1679:J1679"/>
    <mergeCell ref="I1680:J1680"/>
    <mergeCell ref="I1647:J1647"/>
    <mergeCell ref="I1648:J1648"/>
    <mergeCell ref="I1637:J1637"/>
    <mergeCell ref="I1638:J1638"/>
    <mergeCell ref="I1639:J1639"/>
    <mergeCell ref="I1640:J1640"/>
    <mergeCell ref="I1641:J1641"/>
    <mergeCell ref="I1642:J1642"/>
    <mergeCell ref="I1667:J1667"/>
    <mergeCell ref="I1668:J1668"/>
    <mergeCell ref="I1669:J1669"/>
    <mergeCell ref="I1670:J1670"/>
    <mergeCell ref="I1671:J1671"/>
    <mergeCell ref="I1672:J1672"/>
    <mergeCell ref="I1673:J1673"/>
    <mergeCell ref="I1674:J1674"/>
    <mergeCell ref="I1675:J1675"/>
    <mergeCell ref="I1661:J1661"/>
    <mergeCell ref="I1662:J1662"/>
    <mergeCell ref="I1663:J1663"/>
    <mergeCell ref="I1664:J1664"/>
    <mergeCell ref="I1665:J1665"/>
    <mergeCell ref="I1681:J1681"/>
    <mergeCell ref="C1616:C1669"/>
    <mergeCell ref="I1616:J1616"/>
    <mergeCell ref="I1617:J1617"/>
    <mergeCell ref="I1618:J1618"/>
    <mergeCell ref="I1619:J1619"/>
    <mergeCell ref="I1620:J1620"/>
    <mergeCell ref="I1621:J1621"/>
    <mergeCell ref="I1622:J1622"/>
    <mergeCell ref="I1623:J1623"/>
    <mergeCell ref="I1624:J1624"/>
    <mergeCell ref="I1649:J1649"/>
    <mergeCell ref="I1650:J1650"/>
    <mergeCell ref="I1651:J1651"/>
    <mergeCell ref="I1652:J1652"/>
    <mergeCell ref="I1653:J1653"/>
    <mergeCell ref="I1654:J1654"/>
    <mergeCell ref="I1643:J1643"/>
    <mergeCell ref="I1644:J1644"/>
    <mergeCell ref="I1645:J1645"/>
    <mergeCell ref="I1646:J1646"/>
    <mergeCell ref="I1657:J1657"/>
    <mergeCell ref="I1658:J1658"/>
    <mergeCell ref="I1659:J1659"/>
    <mergeCell ref="I1660:J1660"/>
    <mergeCell ref="I1631:J1631"/>
    <mergeCell ref="I1632:J1632"/>
    <mergeCell ref="I1633:J1633"/>
    <mergeCell ref="I1634:J1634"/>
    <mergeCell ref="I1635:J1635"/>
    <mergeCell ref="I1636:J1636"/>
    <mergeCell ref="I1625:J1625"/>
    <mergeCell ref="I1610:J1610"/>
    <mergeCell ref="I1611:J1611"/>
    <mergeCell ref="I1612:J1612"/>
    <mergeCell ref="I1613:J1613"/>
    <mergeCell ref="C1614:C1615"/>
    <mergeCell ref="I1614:J1614"/>
    <mergeCell ref="I1615:J1615"/>
    <mergeCell ref="I1604:J1604"/>
    <mergeCell ref="I1605:J1605"/>
    <mergeCell ref="I1606:J1606"/>
    <mergeCell ref="I1607:J1607"/>
    <mergeCell ref="I1608:J1608"/>
    <mergeCell ref="I1609:J1609"/>
    <mergeCell ref="I1598:J1598"/>
    <mergeCell ref="I1599:J1599"/>
    <mergeCell ref="I1600:J1600"/>
    <mergeCell ref="I1601:J1601"/>
    <mergeCell ref="I1602:J1602"/>
    <mergeCell ref="I1603:J1603"/>
    <mergeCell ref="I1592:J1592"/>
    <mergeCell ref="I1593:J1593"/>
    <mergeCell ref="I1594:J1594"/>
    <mergeCell ref="I1595:J1595"/>
    <mergeCell ref="I1596:J1596"/>
    <mergeCell ref="I1597:J1597"/>
    <mergeCell ref="I1586:J1586"/>
    <mergeCell ref="I1587:J1587"/>
    <mergeCell ref="I1588:J1588"/>
    <mergeCell ref="I1589:J1589"/>
    <mergeCell ref="I1590:J1590"/>
    <mergeCell ref="I1591:J1591"/>
    <mergeCell ref="I1580:J1580"/>
    <mergeCell ref="I1581:J1581"/>
    <mergeCell ref="I1582:J1582"/>
    <mergeCell ref="I1583:J1583"/>
    <mergeCell ref="I1584:J1584"/>
    <mergeCell ref="I1585:J1585"/>
    <mergeCell ref="I1571:J1571"/>
    <mergeCell ref="C1572:C1613"/>
    <mergeCell ref="I1572:J1572"/>
    <mergeCell ref="I1573:J1573"/>
    <mergeCell ref="I1574:J1574"/>
    <mergeCell ref="I1575:J1575"/>
    <mergeCell ref="I1576:J1576"/>
    <mergeCell ref="I1577:J1577"/>
    <mergeCell ref="I1578:J1578"/>
    <mergeCell ref="I1579:J1579"/>
    <mergeCell ref="I1565:J1565"/>
    <mergeCell ref="I1566:J1566"/>
    <mergeCell ref="I1567:J1567"/>
    <mergeCell ref="I1568:J1568"/>
    <mergeCell ref="I1569:J1569"/>
    <mergeCell ref="I1570:J1570"/>
    <mergeCell ref="I1559:J1559"/>
    <mergeCell ref="I1560:J1560"/>
    <mergeCell ref="I1561:J1561"/>
    <mergeCell ref="I1562:J1562"/>
    <mergeCell ref="I1563:J1563"/>
    <mergeCell ref="I1564:J1564"/>
    <mergeCell ref="C1532:C1571"/>
    <mergeCell ref="I1532:J1532"/>
    <mergeCell ref="I1533:J1533"/>
    <mergeCell ref="I1534:J1534"/>
    <mergeCell ref="I1535:J1535"/>
    <mergeCell ref="I1536:J1536"/>
    <mergeCell ref="I1537:J1537"/>
    <mergeCell ref="I1538:J1538"/>
    <mergeCell ref="I1539:J1539"/>
    <mergeCell ref="I1540:J1540"/>
    <mergeCell ref="I1553:J1553"/>
    <mergeCell ref="I1554:J1554"/>
    <mergeCell ref="I1555:J1555"/>
    <mergeCell ref="I1556:J1556"/>
    <mergeCell ref="I1557:J1557"/>
    <mergeCell ref="I1558:J1558"/>
    <mergeCell ref="I1547:J1547"/>
    <mergeCell ref="I1548:J1548"/>
    <mergeCell ref="I1549:J1549"/>
    <mergeCell ref="I1550:J1550"/>
    <mergeCell ref="I1551:J1551"/>
    <mergeCell ref="I1552:J1552"/>
    <mergeCell ref="I1541:J1541"/>
    <mergeCell ref="I1542:J1542"/>
    <mergeCell ref="I1543:J1543"/>
    <mergeCell ref="I1544:J1544"/>
    <mergeCell ref="I1545:J1545"/>
    <mergeCell ref="I1546:J1546"/>
    <mergeCell ref="I1526:J1526"/>
    <mergeCell ref="I1527:J1527"/>
    <mergeCell ref="I1528:J1528"/>
    <mergeCell ref="C1529:C1531"/>
    <mergeCell ref="I1529:J1529"/>
    <mergeCell ref="I1530:J1530"/>
    <mergeCell ref="I1531:J1531"/>
    <mergeCell ref="I1520:J1520"/>
    <mergeCell ref="I1521:J1521"/>
    <mergeCell ref="I1522:J1522"/>
    <mergeCell ref="I1523:J1523"/>
    <mergeCell ref="I1524:J1524"/>
    <mergeCell ref="I1525:J1525"/>
    <mergeCell ref="I1514:J1514"/>
    <mergeCell ref="I1515:J1515"/>
    <mergeCell ref="I1516:J1516"/>
    <mergeCell ref="I1517:J1517"/>
    <mergeCell ref="I1518:J1518"/>
    <mergeCell ref="I1519:J1519"/>
    <mergeCell ref="I1508:J1508"/>
    <mergeCell ref="I1509:J1509"/>
    <mergeCell ref="I1510:J1510"/>
    <mergeCell ref="I1511:J1511"/>
    <mergeCell ref="I1512:J1512"/>
    <mergeCell ref="I1513:J1513"/>
    <mergeCell ref="I1502:J1502"/>
    <mergeCell ref="I1503:J1503"/>
    <mergeCell ref="I1504:J1504"/>
    <mergeCell ref="I1505:J1505"/>
    <mergeCell ref="I1506:J1506"/>
    <mergeCell ref="I1507:J1507"/>
    <mergeCell ref="I1496:J1496"/>
    <mergeCell ref="I1497:J1497"/>
    <mergeCell ref="I1498:J1498"/>
    <mergeCell ref="I1499:J1499"/>
    <mergeCell ref="I1500:J1500"/>
    <mergeCell ref="I1501:J1501"/>
    <mergeCell ref="I1471:J1471"/>
    <mergeCell ref="I1460:J1460"/>
    <mergeCell ref="I1461:J1461"/>
    <mergeCell ref="I1462:J1462"/>
    <mergeCell ref="I1463:J1463"/>
    <mergeCell ref="I1464:J1464"/>
    <mergeCell ref="I1465:J1465"/>
    <mergeCell ref="I1490:J1490"/>
    <mergeCell ref="I1491:J1491"/>
    <mergeCell ref="I1492:J1492"/>
    <mergeCell ref="I1493:J1493"/>
    <mergeCell ref="I1494:J1494"/>
    <mergeCell ref="I1495:J1495"/>
    <mergeCell ref="I1484:J1484"/>
    <mergeCell ref="I1485:J1485"/>
    <mergeCell ref="I1486:J1486"/>
    <mergeCell ref="I1487:J1487"/>
    <mergeCell ref="I1488:J1488"/>
    <mergeCell ref="I1489:J1489"/>
    <mergeCell ref="I1478:J1478"/>
    <mergeCell ref="I1479:J1479"/>
    <mergeCell ref="I1480:J1480"/>
    <mergeCell ref="I1481:J1481"/>
    <mergeCell ref="I1482:J1482"/>
    <mergeCell ref="I1483:J1483"/>
    <mergeCell ref="I1454:J1454"/>
    <mergeCell ref="I1455:J1455"/>
    <mergeCell ref="I1456:J1456"/>
    <mergeCell ref="I1457:J1457"/>
    <mergeCell ref="B1458:B1982"/>
    <mergeCell ref="C1458:C1459"/>
    <mergeCell ref="I1458:J1458"/>
    <mergeCell ref="I1459:J1459"/>
    <mergeCell ref="C1460:C1528"/>
    <mergeCell ref="I1449:J1449"/>
    <mergeCell ref="I1450:J1450"/>
    <mergeCell ref="I1451:J1451"/>
    <mergeCell ref="C1452:C1453"/>
    <mergeCell ref="I1452:J1452"/>
    <mergeCell ref="I1453:J1453"/>
    <mergeCell ref="I1443:J1443"/>
    <mergeCell ref="I1444:J1444"/>
    <mergeCell ref="I1445:J1445"/>
    <mergeCell ref="I1446:J1446"/>
    <mergeCell ref="I1447:J1447"/>
    <mergeCell ref="I1448:J1448"/>
    <mergeCell ref="I1472:J1472"/>
    <mergeCell ref="I1473:J1473"/>
    <mergeCell ref="I1474:J1474"/>
    <mergeCell ref="I1475:J1475"/>
    <mergeCell ref="I1476:J1476"/>
    <mergeCell ref="I1477:J1477"/>
    <mergeCell ref="I1466:J1466"/>
    <mergeCell ref="I1467:J1467"/>
    <mergeCell ref="I1468:J1468"/>
    <mergeCell ref="I1469:J1469"/>
    <mergeCell ref="I1470:J1470"/>
    <mergeCell ref="I1437:J1437"/>
    <mergeCell ref="I1438:J1438"/>
    <mergeCell ref="I1439:J1439"/>
    <mergeCell ref="I1440:J1440"/>
    <mergeCell ref="I1441:J1441"/>
    <mergeCell ref="I1442:J1442"/>
    <mergeCell ref="I1431:J1431"/>
    <mergeCell ref="I1432:J1432"/>
    <mergeCell ref="I1433:J1433"/>
    <mergeCell ref="I1434:J1434"/>
    <mergeCell ref="I1435:J1435"/>
    <mergeCell ref="I1436:J1436"/>
    <mergeCell ref="I1425:J1425"/>
    <mergeCell ref="I1426:J1426"/>
    <mergeCell ref="I1427:J1427"/>
    <mergeCell ref="I1428:J1428"/>
    <mergeCell ref="I1429:J1429"/>
    <mergeCell ref="I1430:J1430"/>
    <mergeCell ref="I1419:J1419"/>
    <mergeCell ref="I1420:J1420"/>
    <mergeCell ref="I1421:J1421"/>
    <mergeCell ref="I1422:J1422"/>
    <mergeCell ref="I1423:J1423"/>
    <mergeCell ref="I1424:J1424"/>
    <mergeCell ref="I1413:J1413"/>
    <mergeCell ref="I1414:J1414"/>
    <mergeCell ref="I1415:J1415"/>
    <mergeCell ref="I1416:J1416"/>
    <mergeCell ref="I1417:J1417"/>
    <mergeCell ref="I1418:J1418"/>
    <mergeCell ref="I1407:J1407"/>
    <mergeCell ref="I1408:J1408"/>
    <mergeCell ref="I1409:J1409"/>
    <mergeCell ref="I1410:J1410"/>
    <mergeCell ref="I1411:J1411"/>
    <mergeCell ref="I1412:J1412"/>
    <mergeCell ref="I1401:J1401"/>
    <mergeCell ref="I1402:J1402"/>
    <mergeCell ref="I1403:J1403"/>
    <mergeCell ref="I1404:J1404"/>
    <mergeCell ref="I1405:J1405"/>
    <mergeCell ref="I1406:J1406"/>
    <mergeCell ref="C1393:C1395"/>
    <mergeCell ref="I1393:J1393"/>
    <mergeCell ref="I1394:J1394"/>
    <mergeCell ref="I1395:J1395"/>
    <mergeCell ref="C1396:C1451"/>
    <mergeCell ref="I1396:J1396"/>
    <mergeCell ref="I1397:J1397"/>
    <mergeCell ref="I1398:J1398"/>
    <mergeCell ref="I1399:J1399"/>
    <mergeCell ref="I1400:J1400"/>
    <mergeCell ref="I1387:J1387"/>
    <mergeCell ref="I1388:J1388"/>
    <mergeCell ref="I1389:J1389"/>
    <mergeCell ref="I1390:J1390"/>
    <mergeCell ref="I1391:J1391"/>
    <mergeCell ref="I1392:J1392"/>
    <mergeCell ref="C1378:C1392"/>
    <mergeCell ref="I1378:J1378"/>
    <mergeCell ref="I1379:J1379"/>
    <mergeCell ref="I1380:J1380"/>
    <mergeCell ref="I1381:J1381"/>
    <mergeCell ref="I1382:J1382"/>
    <mergeCell ref="I1383:J1383"/>
    <mergeCell ref="I1384:J1384"/>
    <mergeCell ref="I1385:J1385"/>
    <mergeCell ref="I1386:J1386"/>
    <mergeCell ref="I1371:J1371"/>
    <mergeCell ref="I1372:J1372"/>
    <mergeCell ref="I1373:J1373"/>
    <mergeCell ref="I1374:J1374"/>
    <mergeCell ref="I1375:J1375"/>
    <mergeCell ref="I1376:J1376"/>
    <mergeCell ref="I1377:J1377"/>
    <mergeCell ref="I1365:J1365"/>
    <mergeCell ref="I1366:J1366"/>
    <mergeCell ref="I1367:J1367"/>
    <mergeCell ref="I1368:J1368"/>
    <mergeCell ref="I1369:J1369"/>
    <mergeCell ref="I1370:J1370"/>
    <mergeCell ref="I1359:J1359"/>
    <mergeCell ref="I1360:J1360"/>
    <mergeCell ref="I1361:J1361"/>
    <mergeCell ref="I1362:J1362"/>
    <mergeCell ref="I1363:J1363"/>
    <mergeCell ref="I1364:J1364"/>
    <mergeCell ref="I1353:J1353"/>
    <mergeCell ref="I1354:J1354"/>
    <mergeCell ref="I1355:J1355"/>
    <mergeCell ref="I1356:J1356"/>
    <mergeCell ref="I1357:J1357"/>
    <mergeCell ref="I1358:J1358"/>
    <mergeCell ref="I1347:J1347"/>
    <mergeCell ref="I1348:J1348"/>
    <mergeCell ref="I1349:J1349"/>
    <mergeCell ref="I1350:J1350"/>
    <mergeCell ref="I1351:J1351"/>
    <mergeCell ref="I1352:J1352"/>
    <mergeCell ref="I1338:J1338"/>
    <mergeCell ref="I1339:J1339"/>
    <mergeCell ref="I1340:J1340"/>
    <mergeCell ref="C1341:C1370"/>
    <mergeCell ref="I1341:J1341"/>
    <mergeCell ref="I1342:J1342"/>
    <mergeCell ref="I1343:J1343"/>
    <mergeCell ref="I1344:J1344"/>
    <mergeCell ref="I1345:J1345"/>
    <mergeCell ref="I1346:J1346"/>
    <mergeCell ref="I1332:J1332"/>
    <mergeCell ref="I1333:J1333"/>
    <mergeCell ref="I1334:J1334"/>
    <mergeCell ref="I1335:J1335"/>
    <mergeCell ref="I1336:J1336"/>
    <mergeCell ref="I1337:J1337"/>
    <mergeCell ref="I1323:J1323"/>
    <mergeCell ref="C1324:C1340"/>
    <mergeCell ref="I1324:J1324"/>
    <mergeCell ref="I1325:J1325"/>
    <mergeCell ref="I1326:J1326"/>
    <mergeCell ref="I1327:J1327"/>
    <mergeCell ref="I1328:J1328"/>
    <mergeCell ref="I1329:J1329"/>
    <mergeCell ref="I1330:J1330"/>
    <mergeCell ref="I1331:J1331"/>
    <mergeCell ref="I1317:J1317"/>
    <mergeCell ref="I1318:J1318"/>
    <mergeCell ref="I1319:J1319"/>
    <mergeCell ref="I1320:J1320"/>
    <mergeCell ref="I1321:J1321"/>
    <mergeCell ref="I1322:J1322"/>
    <mergeCell ref="I1310:J1310"/>
    <mergeCell ref="I1311:J1311"/>
    <mergeCell ref="C1312:C1323"/>
    <mergeCell ref="I1312:J1312"/>
    <mergeCell ref="I1313:J1313"/>
    <mergeCell ref="I1314:J1314"/>
    <mergeCell ref="I1315:J1315"/>
    <mergeCell ref="I1316:J1316"/>
    <mergeCell ref="I1302:J1302"/>
    <mergeCell ref="I1303:J1303"/>
    <mergeCell ref="I1304:J1304"/>
    <mergeCell ref="I1305:J1305"/>
    <mergeCell ref="I1306:J1306"/>
    <mergeCell ref="I1307:J1307"/>
    <mergeCell ref="I1296:J1296"/>
    <mergeCell ref="I1297:J1297"/>
    <mergeCell ref="I1298:J1298"/>
    <mergeCell ref="I1299:J1299"/>
    <mergeCell ref="I1300:J1300"/>
    <mergeCell ref="I1301:J1301"/>
    <mergeCell ref="I1267:J1267"/>
    <mergeCell ref="I1268:J1268"/>
    <mergeCell ref="I1257:J1257"/>
    <mergeCell ref="I1258:J1258"/>
    <mergeCell ref="I1259:J1259"/>
    <mergeCell ref="I1260:J1260"/>
    <mergeCell ref="I1261:J1261"/>
    <mergeCell ref="I1262:J1262"/>
    <mergeCell ref="I1287:J1287"/>
    <mergeCell ref="I1288:J1288"/>
    <mergeCell ref="C1289:C1311"/>
    <mergeCell ref="I1289:J1289"/>
    <mergeCell ref="I1290:J1290"/>
    <mergeCell ref="I1291:J1291"/>
    <mergeCell ref="I1292:J1292"/>
    <mergeCell ref="I1293:J1293"/>
    <mergeCell ref="I1294:J1294"/>
    <mergeCell ref="I1295:J1295"/>
    <mergeCell ref="I1281:J1281"/>
    <mergeCell ref="I1282:J1282"/>
    <mergeCell ref="I1283:J1283"/>
    <mergeCell ref="I1284:J1284"/>
    <mergeCell ref="I1285:J1285"/>
    <mergeCell ref="I1286:J1286"/>
    <mergeCell ref="I1275:J1275"/>
    <mergeCell ref="I1276:J1276"/>
    <mergeCell ref="I1277:J1277"/>
    <mergeCell ref="I1278:J1278"/>
    <mergeCell ref="I1279:J1279"/>
    <mergeCell ref="I1280:J1280"/>
    <mergeCell ref="I1308:J1308"/>
    <mergeCell ref="I1309:J1309"/>
    <mergeCell ref="I1251:J1251"/>
    <mergeCell ref="I1252:J1252"/>
    <mergeCell ref="I1253:J1253"/>
    <mergeCell ref="I1254:J1254"/>
    <mergeCell ref="I1255:J1255"/>
    <mergeCell ref="I1256:J1256"/>
    <mergeCell ref="I1245:J1245"/>
    <mergeCell ref="I1246:J1246"/>
    <mergeCell ref="I1247:J1247"/>
    <mergeCell ref="I1248:J1248"/>
    <mergeCell ref="I1249:J1249"/>
    <mergeCell ref="I1250:J1250"/>
    <mergeCell ref="C1236:C1288"/>
    <mergeCell ref="I1236:J1236"/>
    <mergeCell ref="I1237:J1237"/>
    <mergeCell ref="I1238:J1238"/>
    <mergeCell ref="I1239:J1239"/>
    <mergeCell ref="I1240:J1240"/>
    <mergeCell ref="I1241:J1241"/>
    <mergeCell ref="I1242:J1242"/>
    <mergeCell ref="I1243:J1243"/>
    <mergeCell ref="I1244:J1244"/>
    <mergeCell ref="I1269:J1269"/>
    <mergeCell ref="I1270:J1270"/>
    <mergeCell ref="I1271:J1271"/>
    <mergeCell ref="I1272:J1272"/>
    <mergeCell ref="I1273:J1273"/>
    <mergeCell ref="I1274:J1274"/>
    <mergeCell ref="I1263:J1263"/>
    <mergeCell ref="I1264:J1264"/>
    <mergeCell ref="I1265:J1265"/>
    <mergeCell ref="I1266:J1266"/>
    <mergeCell ref="I1231:J1231"/>
    <mergeCell ref="C1232:C1235"/>
    <mergeCell ref="I1232:J1232"/>
    <mergeCell ref="I1233:J1233"/>
    <mergeCell ref="I1234:J1234"/>
    <mergeCell ref="I1235:J1235"/>
    <mergeCell ref="I1222:J1222"/>
    <mergeCell ref="I1223:J1223"/>
    <mergeCell ref="I1224:J1224"/>
    <mergeCell ref="I1225:J1225"/>
    <mergeCell ref="I1226:J1226"/>
    <mergeCell ref="C1227:C1231"/>
    <mergeCell ref="I1227:J1227"/>
    <mergeCell ref="I1228:J1228"/>
    <mergeCell ref="I1229:J1229"/>
    <mergeCell ref="I1230:J1230"/>
    <mergeCell ref="I1216:J1216"/>
    <mergeCell ref="I1217:J1217"/>
    <mergeCell ref="I1218:J1218"/>
    <mergeCell ref="I1219:J1219"/>
    <mergeCell ref="I1220:J1220"/>
    <mergeCell ref="I1221:J1221"/>
    <mergeCell ref="I1207:J1207"/>
    <mergeCell ref="I1208:J1208"/>
    <mergeCell ref="I1209:J1209"/>
    <mergeCell ref="I1210:J1210"/>
    <mergeCell ref="I1211:J1211"/>
    <mergeCell ref="C1212:C1226"/>
    <mergeCell ref="I1212:J1212"/>
    <mergeCell ref="I1213:J1213"/>
    <mergeCell ref="I1214:J1214"/>
    <mergeCell ref="I1215:J1215"/>
    <mergeCell ref="C1199:C1200"/>
    <mergeCell ref="I1199:J1199"/>
    <mergeCell ref="I1200:J1200"/>
    <mergeCell ref="C1201:C1211"/>
    <mergeCell ref="I1201:J1201"/>
    <mergeCell ref="I1202:J1202"/>
    <mergeCell ref="I1203:J1203"/>
    <mergeCell ref="I1204:J1204"/>
    <mergeCell ref="I1205:J1205"/>
    <mergeCell ref="I1206:J1206"/>
    <mergeCell ref="I1193:J1193"/>
    <mergeCell ref="I1194:J1194"/>
    <mergeCell ref="I1195:J1195"/>
    <mergeCell ref="C1196:C1198"/>
    <mergeCell ref="I1196:J1196"/>
    <mergeCell ref="I1197:J1197"/>
    <mergeCell ref="I1198:J1198"/>
    <mergeCell ref="I1185:J1185"/>
    <mergeCell ref="I1186:J1186"/>
    <mergeCell ref="I1187:J1187"/>
    <mergeCell ref="C1188:C1192"/>
    <mergeCell ref="I1188:J1188"/>
    <mergeCell ref="I1189:J1189"/>
    <mergeCell ref="I1190:J1190"/>
    <mergeCell ref="I1191:J1191"/>
    <mergeCell ref="I1192:J1192"/>
    <mergeCell ref="I1179:J1179"/>
    <mergeCell ref="I1180:J1180"/>
    <mergeCell ref="I1181:J1181"/>
    <mergeCell ref="I1182:J1182"/>
    <mergeCell ref="I1183:J1183"/>
    <mergeCell ref="I1184:J1184"/>
    <mergeCell ref="I1170:J1170"/>
    <mergeCell ref="I1171:J1171"/>
    <mergeCell ref="I1172:J1172"/>
    <mergeCell ref="C1173:C1187"/>
    <mergeCell ref="I1173:J1173"/>
    <mergeCell ref="I1174:J1174"/>
    <mergeCell ref="I1175:J1175"/>
    <mergeCell ref="I1176:J1176"/>
    <mergeCell ref="I1177:J1177"/>
    <mergeCell ref="I1178:J1178"/>
    <mergeCell ref="I1164:J1164"/>
    <mergeCell ref="I1165:J1165"/>
    <mergeCell ref="I1166:J1166"/>
    <mergeCell ref="I1167:J1167"/>
    <mergeCell ref="I1168:J1168"/>
    <mergeCell ref="I1169:J1169"/>
    <mergeCell ref="I1155:J1155"/>
    <mergeCell ref="I1156:J1156"/>
    <mergeCell ref="I1157:J1157"/>
    <mergeCell ref="I1158:J1158"/>
    <mergeCell ref="C1159:C1172"/>
    <mergeCell ref="I1159:J1159"/>
    <mergeCell ref="I1160:J1160"/>
    <mergeCell ref="I1161:J1161"/>
    <mergeCell ref="I1162:J1162"/>
    <mergeCell ref="I1163:J1163"/>
    <mergeCell ref="C1146:C1158"/>
    <mergeCell ref="I1146:J1146"/>
    <mergeCell ref="I1147:J1147"/>
    <mergeCell ref="I1148:J1148"/>
    <mergeCell ref="I1149:J1149"/>
    <mergeCell ref="I1150:J1150"/>
    <mergeCell ref="I1151:J1151"/>
    <mergeCell ref="I1152:J1152"/>
    <mergeCell ref="I1153:J1153"/>
    <mergeCell ref="I1154:J1154"/>
    <mergeCell ref="I1140:J1140"/>
    <mergeCell ref="I1141:J1141"/>
    <mergeCell ref="I1142:J1142"/>
    <mergeCell ref="I1143:J1143"/>
    <mergeCell ref="I1144:J1144"/>
    <mergeCell ref="I1145:J1145"/>
    <mergeCell ref="C1131:C1145"/>
    <mergeCell ref="I1131:J1131"/>
    <mergeCell ref="I1132:J1132"/>
    <mergeCell ref="I1133:J1133"/>
    <mergeCell ref="I1134:J1134"/>
    <mergeCell ref="I1135:J1135"/>
    <mergeCell ref="I1136:J1136"/>
    <mergeCell ref="I1137:J1137"/>
    <mergeCell ref="I1138:J1138"/>
    <mergeCell ref="I1139:J1139"/>
    <mergeCell ref="I1126:J1126"/>
    <mergeCell ref="I1127:J1127"/>
    <mergeCell ref="C1128:C1130"/>
    <mergeCell ref="I1128:J1128"/>
    <mergeCell ref="I1129:J1129"/>
    <mergeCell ref="I1130:J1130"/>
    <mergeCell ref="I1101:J1101"/>
    <mergeCell ref="I1102:J1102"/>
    <mergeCell ref="I1103:J1103"/>
    <mergeCell ref="I1104:J1104"/>
    <mergeCell ref="I1105:J1105"/>
    <mergeCell ref="I1106:J1106"/>
    <mergeCell ref="I1095:J1095"/>
    <mergeCell ref="I1096:J1096"/>
    <mergeCell ref="I1097:J1097"/>
    <mergeCell ref="I1098:J1098"/>
    <mergeCell ref="I1099:J1099"/>
    <mergeCell ref="I1100:J1100"/>
    <mergeCell ref="I1121:J1121"/>
    <mergeCell ref="C1122:C1123"/>
    <mergeCell ref="I1122:J1122"/>
    <mergeCell ref="I1123:J1123"/>
    <mergeCell ref="C1124:C1125"/>
    <mergeCell ref="I1124:J1124"/>
    <mergeCell ref="I1125:J1125"/>
    <mergeCell ref="I1113:J1113"/>
    <mergeCell ref="C1114:C1116"/>
    <mergeCell ref="I1114:J1114"/>
    <mergeCell ref="I1115:J1115"/>
    <mergeCell ref="I1116:J1116"/>
    <mergeCell ref="C1117:C1121"/>
    <mergeCell ref="I1117:J1117"/>
    <mergeCell ref="I1118:J1118"/>
    <mergeCell ref="I1119:J1119"/>
    <mergeCell ref="I1120:J1120"/>
    <mergeCell ref="I1089:J1089"/>
    <mergeCell ref="I1090:J1090"/>
    <mergeCell ref="I1091:J1091"/>
    <mergeCell ref="I1092:J1092"/>
    <mergeCell ref="I1093:J1093"/>
    <mergeCell ref="I1094:J1094"/>
    <mergeCell ref="I1081:J1081"/>
    <mergeCell ref="I1082:J1082"/>
    <mergeCell ref="C1083:C1084"/>
    <mergeCell ref="I1083:J1083"/>
    <mergeCell ref="I1084:J1084"/>
    <mergeCell ref="C1085:C1113"/>
    <mergeCell ref="I1085:J1085"/>
    <mergeCell ref="I1086:J1086"/>
    <mergeCell ref="I1087:J1087"/>
    <mergeCell ref="I1088:J1088"/>
    <mergeCell ref="I1107:J1107"/>
    <mergeCell ref="I1108:J1108"/>
    <mergeCell ref="I1109:J1109"/>
    <mergeCell ref="I1110:J1110"/>
    <mergeCell ref="I1111:J1111"/>
    <mergeCell ref="I1112:J1112"/>
    <mergeCell ref="I1038:J1038"/>
    <mergeCell ref="I1039:J1039"/>
    <mergeCell ref="I1040:J1040"/>
    <mergeCell ref="I1041:J1041"/>
    <mergeCell ref="I1066:J1066"/>
    <mergeCell ref="I1067:J1067"/>
    <mergeCell ref="I1068:J1068"/>
    <mergeCell ref="I1069:J1069"/>
    <mergeCell ref="I1070:J1070"/>
    <mergeCell ref="I1071:J1071"/>
    <mergeCell ref="I1060:J1060"/>
    <mergeCell ref="I1061:J1061"/>
    <mergeCell ref="I1062:J1062"/>
    <mergeCell ref="I1063:J1063"/>
    <mergeCell ref="I1064:J1064"/>
    <mergeCell ref="C1030:C1074"/>
    <mergeCell ref="I1030:J1030"/>
    <mergeCell ref="I1031:J1031"/>
    <mergeCell ref="I1032:J1032"/>
    <mergeCell ref="I1033:J1033"/>
    <mergeCell ref="I1034:J1034"/>
    <mergeCell ref="I1035:J1035"/>
    <mergeCell ref="I1056:J1056"/>
    <mergeCell ref="I1057:J1057"/>
    <mergeCell ref="I1058:J1058"/>
    <mergeCell ref="I1059:J1059"/>
    <mergeCell ref="I1022:J1022"/>
    <mergeCell ref="I1023:J1023"/>
    <mergeCell ref="I1024:J1024"/>
    <mergeCell ref="I1025:J1025"/>
    <mergeCell ref="I1026:J1026"/>
    <mergeCell ref="I1072:J1072"/>
    <mergeCell ref="I1073:J1073"/>
    <mergeCell ref="I1074:J1074"/>
    <mergeCell ref="C1075:C1082"/>
    <mergeCell ref="I1075:J1075"/>
    <mergeCell ref="I1076:J1076"/>
    <mergeCell ref="I1077:J1077"/>
    <mergeCell ref="I1078:J1078"/>
    <mergeCell ref="I1079:J1079"/>
    <mergeCell ref="I1080:J1080"/>
    <mergeCell ref="I1048:J1048"/>
    <mergeCell ref="I1049:J1049"/>
    <mergeCell ref="I1050:J1050"/>
    <mergeCell ref="I1051:J1051"/>
    <mergeCell ref="I1052:J1052"/>
    <mergeCell ref="I1053:J1053"/>
    <mergeCell ref="I1042:J1042"/>
    <mergeCell ref="I1043:J1043"/>
    <mergeCell ref="I1044:J1044"/>
    <mergeCell ref="I1045:J1045"/>
    <mergeCell ref="I1046:J1046"/>
    <mergeCell ref="I1047:J1047"/>
    <mergeCell ref="I1036:J1036"/>
    <mergeCell ref="I1065:J1065"/>
    <mergeCell ref="I1054:J1054"/>
    <mergeCell ref="I1055:J1055"/>
    <mergeCell ref="I1037:J1037"/>
    <mergeCell ref="I1009:J1009"/>
    <mergeCell ref="I1010:J1010"/>
    <mergeCell ref="I1011:J1011"/>
    <mergeCell ref="I1012:J1012"/>
    <mergeCell ref="I1013:J1013"/>
    <mergeCell ref="I1014:J1014"/>
    <mergeCell ref="C1000:C1029"/>
    <mergeCell ref="I1000:J1000"/>
    <mergeCell ref="I1001:J1001"/>
    <mergeCell ref="I1002:J1002"/>
    <mergeCell ref="I1003:J1003"/>
    <mergeCell ref="I1004:J1004"/>
    <mergeCell ref="I1005:J1005"/>
    <mergeCell ref="I1006:J1006"/>
    <mergeCell ref="I1007:J1007"/>
    <mergeCell ref="I1008:J1008"/>
    <mergeCell ref="C995:C999"/>
    <mergeCell ref="I995:J995"/>
    <mergeCell ref="I996:J996"/>
    <mergeCell ref="I997:J997"/>
    <mergeCell ref="I998:J998"/>
    <mergeCell ref="I999:J999"/>
    <mergeCell ref="I1027:J1027"/>
    <mergeCell ref="I1028:J1028"/>
    <mergeCell ref="I1029:J1029"/>
    <mergeCell ref="I1015:J1015"/>
    <mergeCell ref="I1016:J1016"/>
    <mergeCell ref="I1017:J1017"/>
    <mergeCell ref="I1018:J1018"/>
    <mergeCell ref="I1019:J1019"/>
    <mergeCell ref="I1020:J1020"/>
    <mergeCell ref="I1021:J1021"/>
    <mergeCell ref="I990:J990"/>
    <mergeCell ref="I991:J991"/>
    <mergeCell ref="I992:J992"/>
    <mergeCell ref="C993:C994"/>
    <mergeCell ref="I993:J993"/>
    <mergeCell ref="I994:J994"/>
    <mergeCell ref="I984:J984"/>
    <mergeCell ref="I985:J985"/>
    <mergeCell ref="I986:J986"/>
    <mergeCell ref="I987:J987"/>
    <mergeCell ref="I988:J988"/>
    <mergeCell ref="I989:J989"/>
    <mergeCell ref="I978:J978"/>
    <mergeCell ref="I979:J979"/>
    <mergeCell ref="I980:J980"/>
    <mergeCell ref="I981:J981"/>
    <mergeCell ref="I982:J982"/>
    <mergeCell ref="I983:J983"/>
    <mergeCell ref="I972:J972"/>
    <mergeCell ref="I973:J973"/>
    <mergeCell ref="I974:J974"/>
    <mergeCell ref="I975:J975"/>
    <mergeCell ref="I976:J976"/>
    <mergeCell ref="I977:J977"/>
    <mergeCell ref="I966:J966"/>
    <mergeCell ref="I967:J967"/>
    <mergeCell ref="I968:J968"/>
    <mergeCell ref="I969:J969"/>
    <mergeCell ref="I970:J970"/>
    <mergeCell ref="I971:J971"/>
    <mergeCell ref="I960:J960"/>
    <mergeCell ref="I961:J961"/>
    <mergeCell ref="I962:J962"/>
    <mergeCell ref="I963:J963"/>
    <mergeCell ref="I964:J964"/>
    <mergeCell ref="I965:J965"/>
    <mergeCell ref="I934:J934"/>
    <mergeCell ref="I935:J935"/>
    <mergeCell ref="I924:J924"/>
    <mergeCell ref="I925:J925"/>
    <mergeCell ref="I926:J926"/>
    <mergeCell ref="I927:J927"/>
    <mergeCell ref="I928:J928"/>
    <mergeCell ref="I929:J929"/>
    <mergeCell ref="I954:J954"/>
    <mergeCell ref="I955:J955"/>
    <mergeCell ref="I956:J956"/>
    <mergeCell ref="I957:J957"/>
    <mergeCell ref="I958:J958"/>
    <mergeCell ref="I959:J959"/>
    <mergeCell ref="I948:J948"/>
    <mergeCell ref="I949:J949"/>
    <mergeCell ref="I950:J950"/>
    <mergeCell ref="I951:J951"/>
    <mergeCell ref="I952:J952"/>
    <mergeCell ref="I953:J953"/>
    <mergeCell ref="I942:J942"/>
    <mergeCell ref="I943:J943"/>
    <mergeCell ref="I944:J944"/>
    <mergeCell ref="I945:J945"/>
    <mergeCell ref="I946:J946"/>
    <mergeCell ref="I947:J947"/>
    <mergeCell ref="I918:J918"/>
    <mergeCell ref="I919:J919"/>
    <mergeCell ref="I920:J920"/>
    <mergeCell ref="I921:J921"/>
    <mergeCell ref="I922:J922"/>
    <mergeCell ref="I923:J923"/>
    <mergeCell ref="I912:J912"/>
    <mergeCell ref="I913:J913"/>
    <mergeCell ref="I914:J914"/>
    <mergeCell ref="I915:J915"/>
    <mergeCell ref="I916:J916"/>
    <mergeCell ref="I917:J917"/>
    <mergeCell ref="C903:C992"/>
    <mergeCell ref="I903:J903"/>
    <mergeCell ref="I904:J904"/>
    <mergeCell ref="I905:J905"/>
    <mergeCell ref="I906:J906"/>
    <mergeCell ref="I907:J907"/>
    <mergeCell ref="I908:J908"/>
    <mergeCell ref="I909:J909"/>
    <mergeCell ref="I910:J910"/>
    <mergeCell ref="I911:J911"/>
    <mergeCell ref="I936:J936"/>
    <mergeCell ref="I937:J937"/>
    <mergeCell ref="I938:J938"/>
    <mergeCell ref="I939:J939"/>
    <mergeCell ref="I940:J940"/>
    <mergeCell ref="I941:J941"/>
    <mergeCell ref="I930:J930"/>
    <mergeCell ref="I931:J931"/>
    <mergeCell ref="I932:J932"/>
    <mergeCell ref="I933:J933"/>
    <mergeCell ref="I898:J898"/>
    <mergeCell ref="I899:J899"/>
    <mergeCell ref="I900:J900"/>
    <mergeCell ref="I901:J901"/>
    <mergeCell ref="I902:J902"/>
    <mergeCell ref="I889:J889"/>
    <mergeCell ref="I890:J890"/>
    <mergeCell ref="I891:J891"/>
    <mergeCell ref="C892:C897"/>
    <mergeCell ref="I892:J892"/>
    <mergeCell ref="I893:J893"/>
    <mergeCell ref="I894:J894"/>
    <mergeCell ref="I895:J895"/>
    <mergeCell ref="I896:J896"/>
    <mergeCell ref="I897:J897"/>
    <mergeCell ref="I883:J883"/>
    <mergeCell ref="I884:J884"/>
    <mergeCell ref="I885:J885"/>
    <mergeCell ref="I886:J886"/>
    <mergeCell ref="I887:J887"/>
    <mergeCell ref="I888:J888"/>
    <mergeCell ref="C870:C891"/>
    <mergeCell ref="I877:J877"/>
    <mergeCell ref="I878:J878"/>
    <mergeCell ref="I879:J879"/>
    <mergeCell ref="I880:J880"/>
    <mergeCell ref="I881:J881"/>
    <mergeCell ref="I882:J882"/>
    <mergeCell ref="I868:J868"/>
    <mergeCell ref="I869:J869"/>
    <mergeCell ref="I870:J870"/>
    <mergeCell ref="I871:J871"/>
    <mergeCell ref="I872:J872"/>
    <mergeCell ref="I873:J873"/>
    <mergeCell ref="I874:J874"/>
    <mergeCell ref="I875:J875"/>
    <mergeCell ref="I876:J876"/>
    <mergeCell ref="I862:J862"/>
    <mergeCell ref="I863:J863"/>
    <mergeCell ref="I864:J864"/>
    <mergeCell ref="I865:J865"/>
    <mergeCell ref="I866:J866"/>
    <mergeCell ref="I867:J867"/>
    <mergeCell ref="I834:J834"/>
    <mergeCell ref="I835:J835"/>
    <mergeCell ref="I824:J824"/>
    <mergeCell ref="I825:J825"/>
    <mergeCell ref="I826:J826"/>
    <mergeCell ref="I827:J827"/>
    <mergeCell ref="I828:J828"/>
    <mergeCell ref="I829:J829"/>
    <mergeCell ref="I856:J856"/>
    <mergeCell ref="I857:J857"/>
    <mergeCell ref="I858:J858"/>
    <mergeCell ref="I859:J859"/>
    <mergeCell ref="I860:J860"/>
    <mergeCell ref="I861:J861"/>
    <mergeCell ref="I850:J850"/>
    <mergeCell ref="I851:J851"/>
    <mergeCell ref="I852:J852"/>
    <mergeCell ref="I853:J853"/>
    <mergeCell ref="I854:J854"/>
    <mergeCell ref="I855:J855"/>
    <mergeCell ref="I841:J841"/>
    <mergeCell ref="I842:J842"/>
    <mergeCell ref="I843:J843"/>
    <mergeCell ref="I844:J844"/>
    <mergeCell ref="I845:J845"/>
    <mergeCell ref="I846:J846"/>
    <mergeCell ref="I847:J847"/>
    <mergeCell ref="I848:J848"/>
    <mergeCell ref="I849:J849"/>
    <mergeCell ref="I818:J818"/>
    <mergeCell ref="I819:J819"/>
    <mergeCell ref="I820:J820"/>
    <mergeCell ref="I821:J821"/>
    <mergeCell ref="I822:J822"/>
    <mergeCell ref="I823:J823"/>
    <mergeCell ref="I810:J810"/>
    <mergeCell ref="B811:B1457"/>
    <mergeCell ref="C811:C838"/>
    <mergeCell ref="I811:J811"/>
    <mergeCell ref="I812:J812"/>
    <mergeCell ref="I813:J813"/>
    <mergeCell ref="I814:J814"/>
    <mergeCell ref="I815:J815"/>
    <mergeCell ref="I816:J816"/>
    <mergeCell ref="I817:J817"/>
    <mergeCell ref="C806:C807"/>
    <mergeCell ref="I806:J806"/>
    <mergeCell ref="I807:J807"/>
    <mergeCell ref="C808:C809"/>
    <mergeCell ref="I808:J808"/>
    <mergeCell ref="I809:J809"/>
    <mergeCell ref="I836:J836"/>
    <mergeCell ref="I837:J837"/>
    <mergeCell ref="I838:J838"/>
    <mergeCell ref="C839:C840"/>
    <mergeCell ref="I839:J839"/>
    <mergeCell ref="I840:J840"/>
    <mergeCell ref="I830:J830"/>
    <mergeCell ref="I831:J831"/>
    <mergeCell ref="I832:J832"/>
    <mergeCell ref="I833:J833"/>
    <mergeCell ref="I774:J774"/>
    <mergeCell ref="I775:J775"/>
    <mergeCell ref="I776:J776"/>
    <mergeCell ref="I802:J802"/>
    <mergeCell ref="I803:J803"/>
    <mergeCell ref="C804:C805"/>
    <mergeCell ref="I804:J804"/>
    <mergeCell ref="I805:J805"/>
    <mergeCell ref="C798:C799"/>
    <mergeCell ref="I798:J798"/>
    <mergeCell ref="I799:J799"/>
    <mergeCell ref="C800:C801"/>
    <mergeCell ref="I800:J800"/>
    <mergeCell ref="I801:J801"/>
    <mergeCell ref="C791:C793"/>
    <mergeCell ref="I791:J791"/>
    <mergeCell ref="I792:J792"/>
    <mergeCell ref="I793:J793"/>
    <mergeCell ref="C794:C797"/>
    <mergeCell ref="I794:J794"/>
    <mergeCell ref="I795:J795"/>
    <mergeCell ref="I796:J796"/>
    <mergeCell ref="I797:J797"/>
    <mergeCell ref="I756:J756"/>
    <mergeCell ref="I757:J757"/>
    <mergeCell ref="I758:J758"/>
    <mergeCell ref="I745:J745"/>
    <mergeCell ref="I746:J746"/>
    <mergeCell ref="I747:J747"/>
    <mergeCell ref="I748:J748"/>
    <mergeCell ref="I749:J749"/>
    <mergeCell ref="I787:J787"/>
    <mergeCell ref="I788:J788"/>
    <mergeCell ref="C789:C790"/>
    <mergeCell ref="I789:J789"/>
    <mergeCell ref="I790:J790"/>
    <mergeCell ref="C783:C784"/>
    <mergeCell ref="I783:J783"/>
    <mergeCell ref="I784:J784"/>
    <mergeCell ref="C785:C786"/>
    <mergeCell ref="I785:J785"/>
    <mergeCell ref="I786:J786"/>
    <mergeCell ref="I777:J777"/>
    <mergeCell ref="I778:J778"/>
    <mergeCell ref="I779:J779"/>
    <mergeCell ref="I780:J780"/>
    <mergeCell ref="I781:J781"/>
    <mergeCell ref="I782:J782"/>
    <mergeCell ref="C768:C782"/>
    <mergeCell ref="I768:J768"/>
    <mergeCell ref="I769:J769"/>
    <mergeCell ref="I770:J770"/>
    <mergeCell ref="I771:J771"/>
    <mergeCell ref="I772:J772"/>
    <mergeCell ref="I773:J773"/>
    <mergeCell ref="I713:J713"/>
    <mergeCell ref="I714:J714"/>
    <mergeCell ref="I715:J715"/>
    <mergeCell ref="I716:J716"/>
    <mergeCell ref="I717:J717"/>
    <mergeCell ref="I718:J718"/>
    <mergeCell ref="I719:J719"/>
    <mergeCell ref="I720:J720"/>
    <mergeCell ref="I743:J743"/>
    <mergeCell ref="I744:J744"/>
    <mergeCell ref="I733:J733"/>
    <mergeCell ref="I734:J734"/>
    <mergeCell ref="I735:J735"/>
    <mergeCell ref="I736:J736"/>
    <mergeCell ref="I737:J737"/>
    <mergeCell ref="I738:J738"/>
    <mergeCell ref="C759:C767"/>
    <mergeCell ref="I759:J759"/>
    <mergeCell ref="I760:J760"/>
    <mergeCell ref="I761:J761"/>
    <mergeCell ref="I762:J762"/>
    <mergeCell ref="I763:J763"/>
    <mergeCell ref="I764:J764"/>
    <mergeCell ref="I765:J765"/>
    <mergeCell ref="I766:J766"/>
    <mergeCell ref="I767:J767"/>
    <mergeCell ref="I751:J751"/>
    <mergeCell ref="I752:J752"/>
    <mergeCell ref="I753:J753"/>
    <mergeCell ref="I754:J754"/>
    <mergeCell ref="I755:J755"/>
    <mergeCell ref="C756:C758"/>
    <mergeCell ref="I750:J750"/>
    <mergeCell ref="I739:J739"/>
    <mergeCell ref="I740:J740"/>
    <mergeCell ref="I741:J741"/>
    <mergeCell ref="I742:J742"/>
    <mergeCell ref="I708:J708"/>
    <mergeCell ref="I709:J709"/>
    <mergeCell ref="I710:J710"/>
    <mergeCell ref="I711:J711"/>
    <mergeCell ref="I712:J712"/>
    <mergeCell ref="I698:J698"/>
    <mergeCell ref="I699:J699"/>
    <mergeCell ref="I700:J700"/>
    <mergeCell ref="I701:J701"/>
    <mergeCell ref="I702:J702"/>
    <mergeCell ref="I703:J703"/>
    <mergeCell ref="I704:J704"/>
    <mergeCell ref="I705:J705"/>
    <mergeCell ref="I706:J706"/>
    <mergeCell ref="I707:J707"/>
    <mergeCell ref="I727:J727"/>
    <mergeCell ref="I728:J728"/>
    <mergeCell ref="I729:J729"/>
    <mergeCell ref="I730:J730"/>
    <mergeCell ref="I731:J731"/>
    <mergeCell ref="I732:J732"/>
    <mergeCell ref="I721:J721"/>
    <mergeCell ref="I722:J722"/>
    <mergeCell ref="I723:J723"/>
    <mergeCell ref="I724:J724"/>
    <mergeCell ref="I725:J725"/>
    <mergeCell ref="I726:J726"/>
    <mergeCell ref="I651:J651"/>
    <mergeCell ref="I652:J652"/>
    <mergeCell ref="I653:J653"/>
    <mergeCell ref="I654:J654"/>
    <mergeCell ref="I655:J655"/>
    <mergeCell ref="I694:J694"/>
    <mergeCell ref="I695:J695"/>
    <mergeCell ref="I696:J696"/>
    <mergeCell ref="I697:J697"/>
    <mergeCell ref="I686:J686"/>
    <mergeCell ref="I687:J687"/>
    <mergeCell ref="I688:J688"/>
    <mergeCell ref="I689:J689"/>
    <mergeCell ref="I690:J690"/>
    <mergeCell ref="I691:J691"/>
    <mergeCell ref="I680:J680"/>
    <mergeCell ref="I681:J681"/>
    <mergeCell ref="I682:J682"/>
    <mergeCell ref="I683:J683"/>
    <mergeCell ref="I684:J684"/>
    <mergeCell ref="I685:J685"/>
    <mergeCell ref="I692:J692"/>
    <mergeCell ref="I693:J693"/>
    <mergeCell ref="I674:J674"/>
    <mergeCell ref="I675:J675"/>
    <mergeCell ref="I676:J676"/>
    <mergeCell ref="I677:J677"/>
    <mergeCell ref="I678:J678"/>
    <mergeCell ref="I679:J679"/>
    <mergeCell ref="I668:J668"/>
    <mergeCell ref="I669:J669"/>
    <mergeCell ref="I670:J670"/>
    <mergeCell ref="I671:J671"/>
    <mergeCell ref="I672:J672"/>
    <mergeCell ref="I673:J673"/>
    <mergeCell ref="I662:J662"/>
    <mergeCell ref="I663:J663"/>
    <mergeCell ref="I664:J664"/>
    <mergeCell ref="I665:J665"/>
    <mergeCell ref="I666:J666"/>
    <mergeCell ref="I667:J667"/>
    <mergeCell ref="I633:J633"/>
    <mergeCell ref="I634:J634"/>
    <mergeCell ref="I623:J623"/>
    <mergeCell ref="I624:J624"/>
    <mergeCell ref="I625:J625"/>
    <mergeCell ref="I626:J626"/>
    <mergeCell ref="I627:J627"/>
    <mergeCell ref="I628:J628"/>
    <mergeCell ref="I656:J656"/>
    <mergeCell ref="I657:J657"/>
    <mergeCell ref="I658:J658"/>
    <mergeCell ref="I659:J659"/>
    <mergeCell ref="I660:J660"/>
    <mergeCell ref="I661:J661"/>
    <mergeCell ref="I647:J647"/>
    <mergeCell ref="I648:J648"/>
    <mergeCell ref="I649:J649"/>
    <mergeCell ref="I650:J650"/>
    <mergeCell ref="I641:J641"/>
    <mergeCell ref="I642:J642"/>
    <mergeCell ref="I643:J643"/>
    <mergeCell ref="I644:J644"/>
    <mergeCell ref="I645:J645"/>
    <mergeCell ref="I646:J646"/>
    <mergeCell ref="I617:J617"/>
    <mergeCell ref="I618:J618"/>
    <mergeCell ref="I619:J619"/>
    <mergeCell ref="I620:J620"/>
    <mergeCell ref="I621:J621"/>
    <mergeCell ref="I622:J622"/>
    <mergeCell ref="I611:J611"/>
    <mergeCell ref="I612:J612"/>
    <mergeCell ref="I613:J613"/>
    <mergeCell ref="I614:J614"/>
    <mergeCell ref="I615:J615"/>
    <mergeCell ref="I616:J616"/>
    <mergeCell ref="I602:J602"/>
    <mergeCell ref="I603:J603"/>
    <mergeCell ref="I604:J604"/>
    <mergeCell ref="I605:J605"/>
    <mergeCell ref="I606:J606"/>
    <mergeCell ref="I607:J607"/>
    <mergeCell ref="I608:J608"/>
    <mergeCell ref="I609:J609"/>
    <mergeCell ref="I610:J610"/>
    <mergeCell ref="I635:J635"/>
    <mergeCell ref="I636:J636"/>
    <mergeCell ref="I637:J637"/>
    <mergeCell ref="I638:J638"/>
    <mergeCell ref="I639:J639"/>
    <mergeCell ref="I640:J640"/>
    <mergeCell ref="I629:J629"/>
    <mergeCell ref="I630:J630"/>
    <mergeCell ref="I631:J631"/>
    <mergeCell ref="I632:J632"/>
    <mergeCell ref="I600:J600"/>
    <mergeCell ref="I601:J601"/>
    <mergeCell ref="I590:J590"/>
    <mergeCell ref="I591:J591"/>
    <mergeCell ref="I592:J592"/>
    <mergeCell ref="I593:J593"/>
    <mergeCell ref="I594:J594"/>
    <mergeCell ref="I595:J595"/>
    <mergeCell ref="I584:J584"/>
    <mergeCell ref="I585:J585"/>
    <mergeCell ref="I586:J586"/>
    <mergeCell ref="I587:J587"/>
    <mergeCell ref="I588:J588"/>
    <mergeCell ref="I589:J589"/>
    <mergeCell ref="I578:J578"/>
    <mergeCell ref="I579:J579"/>
    <mergeCell ref="I580:J580"/>
    <mergeCell ref="I581:J581"/>
    <mergeCell ref="I582:J582"/>
    <mergeCell ref="I583:J583"/>
    <mergeCell ref="I549:J549"/>
    <mergeCell ref="I550:J550"/>
    <mergeCell ref="I551:J551"/>
    <mergeCell ref="I552:J552"/>
    <mergeCell ref="I553:J553"/>
    <mergeCell ref="I576:J576"/>
    <mergeCell ref="I577:J577"/>
    <mergeCell ref="I566:J566"/>
    <mergeCell ref="I567:J567"/>
    <mergeCell ref="I568:J568"/>
    <mergeCell ref="I569:J569"/>
    <mergeCell ref="I570:J570"/>
    <mergeCell ref="I571:J571"/>
    <mergeCell ref="I596:J596"/>
    <mergeCell ref="I597:J597"/>
    <mergeCell ref="I598:J598"/>
    <mergeCell ref="I599:J599"/>
    <mergeCell ref="I573:J573"/>
    <mergeCell ref="I574:J574"/>
    <mergeCell ref="I575:J575"/>
    <mergeCell ref="I560:J560"/>
    <mergeCell ref="I539:J539"/>
    <mergeCell ref="I540:J540"/>
    <mergeCell ref="I541:J541"/>
    <mergeCell ref="I542:J542"/>
    <mergeCell ref="I543:J543"/>
    <mergeCell ref="I544:J544"/>
    <mergeCell ref="I533:J533"/>
    <mergeCell ref="I534:J534"/>
    <mergeCell ref="I535:J535"/>
    <mergeCell ref="I536:J536"/>
    <mergeCell ref="I537:J537"/>
    <mergeCell ref="I538:J538"/>
    <mergeCell ref="I527:J527"/>
    <mergeCell ref="I528:J528"/>
    <mergeCell ref="I529:J529"/>
    <mergeCell ref="I530:J530"/>
    <mergeCell ref="I531:J531"/>
    <mergeCell ref="I532:J532"/>
    <mergeCell ref="I502:J502"/>
    <mergeCell ref="I489:J489"/>
    <mergeCell ref="I490:J490"/>
    <mergeCell ref="I491:J491"/>
    <mergeCell ref="I492:J492"/>
    <mergeCell ref="I493:J493"/>
    <mergeCell ref="I572:J572"/>
    <mergeCell ref="I561:J561"/>
    <mergeCell ref="I562:J562"/>
    <mergeCell ref="I563:J563"/>
    <mergeCell ref="I564:J564"/>
    <mergeCell ref="I565:J565"/>
    <mergeCell ref="I554:J554"/>
    <mergeCell ref="I555:J555"/>
    <mergeCell ref="I556:J556"/>
    <mergeCell ref="I557:J557"/>
    <mergeCell ref="I558:J558"/>
    <mergeCell ref="I559:J559"/>
    <mergeCell ref="I545:J545"/>
    <mergeCell ref="I546:J546"/>
    <mergeCell ref="I547:J547"/>
    <mergeCell ref="I548:J548"/>
    <mergeCell ref="I517:J517"/>
    <mergeCell ref="I518:J518"/>
    <mergeCell ref="I519:J519"/>
    <mergeCell ref="I520:J520"/>
    <mergeCell ref="I509:J509"/>
    <mergeCell ref="I510:J510"/>
    <mergeCell ref="I511:J511"/>
    <mergeCell ref="I512:J512"/>
    <mergeCell ref="I513:J513"/>
    <mergeCell ref="I514:J514"/>
    <mergeCell ref="I488:J488"/>
    <mergeCell ref="I521:J521"/>
    <mergeCell ref="I522:J522"/>
    <mergeCell ref="I523:J523"/>
    <mergeCell ref="I524:J524"/>
    <mergeCell ref="I525:J525"/>
    <mergeCell ref="I526:J526"/>
    <mergeCell ref="I515:J515"/>
    <mergeCell ref="I516:J516"/>
    <mergeCell ref="I483:J483"/>
    <mergeCell ref="I484:J484"/>
    <mergeCell ref="I485:J485"/>
    <mergeCell ref="I486:J486"/>
    <mergeCell ref="I475:J475"/>
    <mergeCell ref="I476:J476"/>
    <mergeCell ref="I477:J477"/>
    <mergeCell ref="I478:J478"/>
    <mergeCell ref="I479:J479"/>
    <mergeCell ref="I480:J480"/>
    <mergeCell ref="I504:J504"/>
    <mergeCell ref="I505:J505"/>
    <mergeCell ref="I506:J506"/>
    <mergeCell ref="I507:J507"/>
    <mergeCell ref="I508:J508"/>
    <mergeCell ref="I494:J494"/>
    <mergeCell ref="I495:J495"/>
    <mergeCell ref="I496:J496"/>
    <mergeCell ref="I497:J497"/>
    <mergeCell ref="I498:J498"/>
    <mergeCell ref="I499:J499"/>
    <mergeCell ref="I500:J500"/>
    <mergeCell ref="I501:J501"/>
    <mergeCell ref="I470:J470"/>
    <mergeCell ref="I471:J471"/>
    <mergeCell ref="I472:J472"/>
    <mergeCell ref="I473:J473"/>
    <mergeCell ref="I474:J474"/>
    <mergeCell ref="I503:J503"/>
    <mergeCell ref="I440:J440"/>
    <mergeCell ref="I441:J441"/>
    <mergeCell ref="I442:J442"/>
    <mergeCell ref="I443:J443"/>
    <mergeCell ref="I444:J444"/>
    <mergeCell ref="I430:J430"/>
    <mergeCell ref="I431:J431"/>
    <mergeCell ref="I432:J432"/>
    <mergeCell ref="I433:J433"/>
    <mergeCell ref="I434:J434"/>
    <mergeCell ref="I435:J435"/>
    <mergeCell ref="I463:J463"/>
    <mergeCell ref="I464:J464"/>
    <mergeCell ref="I465:J465"/>
    <mergeCell ref="I466:J466"/>
    <mergeCell ref="I467:J467"/>
    <mergeCell ref="I468:J468"/>
    <mergeCell ref="I457:J457"/>
    <mergeCell ref="I458:J458"/>
    <mergeCell ref="I459:J459"/>
    <mergeCell ref="I460:J460"/>
    <mergeCell ref="I461:J461"/>
    <mergeCell ref="I462:J462"/>
    <mergeCell ref="I451:J451"/>
    <mergeCell ref="I452:J452"/>
    <mergeCell ref="I487:J487"/>
    <mergeCell ref="I454:J454"/>
    <mergeCell ref="I455:J455"/>
    <mergeCell ref="I456:J456"/>
    <mergeCell ref="I481:J481"/>
    <mergeCell ref="I482:J482"/>
    <mergeCell ref="I422:J422"/>
    <mergeCell ref="I423:J423"/>
    <mergeCell ref="I412:J412"/>
    <mergeCell ref="I413:J413"/>
    <mergeCell ref="I414:J414"/>
    <mergeCell ref="I415:J415"/>
    <mergeCell ref="I416:J416"/>
    <mergeCell ref="I417:J417"/>
    <mergeCell ref="I445:J445"/>
    <mergeCell ref="I446:J446"/>
    <mergeCell ref="I447:J447"/>
    <mergeCell ref="I448:J448"/>
    <mergeCell ref="I449:J449"/>
    <mergeCell ref="I450:J450"/>
    <mergeCell ref="I436:J436"/>
    <mergeCell ref="I437:J437"/>
    <mergeCell ref="I438:J438"/>
    <mergeCell ref="I439:J439"/>
    <mergeCell ref="I424:J424"/>
    <mergeCell ref="I425:J425"/>
    <mergeCell ref="I426:J426"/>
    <mergeCell ref="I427:J427"/>
    <mergeCell ref="I428:J428"/>
    <mergeCell ref="I429:J429"/>
    <mergeCell ref="I418:J418"/>
    <mergeCell ref="I419:J419"/>
    <mergeCell ref="I469:J469"/>
    <mergeCell ref="I411:J411"/>
    <mergeCell ref="I397:J397"/>
    <mergeCell ref="I398:J398"/>
    <mergeCell ref="I399:J399"/>
    <mergeCell ref="I400:J400"/>
    <mergeCell ref="I401:J401"/>
    <mergeCell ref="I402:J402"/>
    <mergeCell ref="I403:J403"/>
    <mergeCell ref="I404:J404"/>
    <mergeCell ref="I405:J405"/>
    <mergeCell ref="I391:J391"/>
    <mergeCell ref="I392:J392"/>
    <mergeCell ref="I393:J393"/>
    <mergeCell ref="I394:J394"/>
    <mergeCell ref="I395:J395"/>
    <mergeCell ref="I396:J396"/>
    <mergeCell ref="I453:J453"/>
    <mergeCell ref="I349:J349"/>
    <mergeCell ref="I350:J350"/>
    <mergeCell ref="I351:J351"/>
    <mergeCell ref="I352:J352"/>
    <mergeCell ref="I353:J353"/>
    <mergeCell ref="I354:J354"/>
    <mergeCell ref="I347:J347"/>
    <mergeCell ref="I420:J420"/>
    <mergeCell ref="I421:J421"/>
    <mergeCell ref="I385:J385"/>
    <mergeCell ref="I386:J386"/>
    <mergeCell ref="I387:J387"/>
    <mergeCell ref="I388:J388"/>
    <mergeCell ref="I389:J389"/>
    <mergeCell ref="I390:J390"/>
    <mergeCell ref="I379:J379"/>
    <mergeCell ref="I380:J380"/>
    <mergeCell ref="I381:J381"/>
    <mergeCell ref="I382:J382"/>
    <mergeCell ref="I383:J383"/>
    <mergeCell ref="I384:J384"/>
    <mergeCell ref="I373:J373"/>
    <mergeCell ref="I374:J374"/>
    <mergeCell ref="I375:J375"/>
    <mergeCell ref="I376:J376"/>
    <mergeCell ref="I377:J377"/>
    <mergeCell ref="I378:J378"/>
    <mergeCell ref="I406:J406"/>
    <mergeCell ref="I407:J407"/>
    <mergeCell ref="I408:J408"/>
    <mergeCell ref="I409:J409"/>
    <mergeCell ref="I410:J410"/>
    <mergeCell ref="I367:J367"/>
    <mergeCell ref="I368:J368"/>
    <mergeCell ref="I369:J369"/>
    <mergeCell ref="I370:J370"/>
    <mergeCell ref="I371:J371"/>
    <mergeCell ref="I372:J372"/>
    <mergeCell ref="I361:J361"/>
    <mergeCell ref="I362:J362"/>
    <mergeCell ref="I363:J363"/>
    <mergeCell ref="I364:J364"/>
    <mergeCell ref="I365:J365"/>
    <mergeCell ref="I366:J366"/>
    <mergeCell ref="I355:J355"/>
    <mergeCell ref="I356:J356"/>
    <mergeCell ref="I357:J357"/>
    <mergeCell ref="I358:J358"/>
    <mergeCell ref="I359:J359"/>
    <mergeCell ref="I360:J360"/>
    <mergeCell ref="I307:J307"/>
    <mergeCell ref="I308:J308"/>
    <mergeCell ref="I309:J309"/>
    <mergeCell ref="I348:J348"/>
    <mergeCell ref="I337:J337"/>
    <mergeCell ref="I338:J338"/>
    <mergeCell ref="I339:J339"/>
    <mergeCell ref="I340:J340"/>
    <mergeCell ref="I341:J341"/>
    <mergeCell ref="I342:J342"/>
    <mergeCell ref="I343:J343"/>
    <mergeCell ref="I344:J344"/>
    <mergeCell ref="I345:J345"/>
    <mergeCell ref="I346:J346"/>
    <mergeCell ref="I328:J328"/>
    <mergeCell ref="I329:J329"/>
    <mergeCell ref="I330:J330"/>
    <mergeCell ref="I331:J331"/>
    <mergeCell ref="I332:J332"/>
    <mergeCell ref="I333:J333"/>
    <mergeCell ref="I334:J334"/>
    <mergeCell ref="I335:J335"/>
    <mergeCell ref="I336:J336"/>
    <mergeCell ref="I300:J300"/>
    <mergeCell ref="I301:J301"/>
    <mergeCell ref="I302:J302"/>
    <mergeCell ref="I303:J303"/>
    <mergeCell ref="I323:J323"/>
    <mergeCell ref="I324:J324"/>
    <mergeCell ref="I325:J325"/>
    <mergeCell ref="I326:J326"/>
    <mergeCell ref="I327:J327"/>
    <mergeCell ref="I316:J316"/>
    <mergeCell ref="I317:J317"/>
    <mergeCell ref="I318:J318"/>
    <mergeCell ref="I319:J319"/>
    <mergeCell ref="I320:J320"/>
    <mergeCell ref="I321:J321"/>
    <mergeCell ref="I298:J298"/>
    <mergeCell ref="I292:J292"/>
    <mergeCell ref="I293:J293"/>
    <mergeCell ref="I294:J294"/>
    <mergeCell ref="I295:J295"/>
    <mergeCell ref="I296:J296"/>
    <mergeCell ref="I297:J297"/>
    <mergeCell ref="I322:J322"/>
    <mergeCell ref="I310:J310"/>
    <mergeCell ref="I311:J311"/>
    <mergeCell ref="I312:J312"/>
    <mergeCell ref="I313:J313"/>
    <mergeCell ref="I314:J314"/>
    <mergeCell ref="I315:J315"/>
    <mergeCell ref="I304:J304"/>
    <mergeCell ref="I305:J305"/>
    <mergeCell ref="I306:J306"/>
    <mergeCell ref="I273:J273"/>
    <mergeCell ref="I260:J260"/>
    <mergeCell ref="I261:J261"/>
    <mergeCell ref="I262:J262"/>
    <mergeCell ref="I263:J263"/>
    <mergeCell ref="I264:J264"/>
    <mergeCell ref="I265:J265"/>
    <mergeCell ref="I266:J266"/>
    <mergeCell ref="I267:J267"/>
    <mergeCell ref="I291:J291"/>
    <mergeCell ref="I280:J280"/>
    <mergeCell ref="I281:J281"/>
    <mergeCell ref="I282:J282"/>
    <mergeCell ref="I283:J283"/>
    <mergeCell ref="I284:J284"/>
    <mergeCell ref="I285:J285"/>
    <mergeCell ref="I299:J299"/>
    <mergeCell ref="I286:J286"/>
    <mergeCell ref="I287:J287"/>
    <mergeCell ref="I288:J288"/>
    <mergeCell ref="I289:J289"/>
    <mergeCell ref="I290:J290"/>
    <mergeCell ref="I274:J274"/>
    <mergeCell ref="I275:J275"/>
    <mergeCell ref="I276:J276"/>
    <mergeCell ref="I277:J277"/>
    <mergeCell ref="I278:J278"/>
    <mergeCell ref="I279:J279"/>
    <mergeCell ref="I268:J268"/>
    <mergeCell ref="I269:J269"/>
    <mergeCell ref="I270:J270"/>
    <mergeCell ref="I271:J271"/>
    <mergeCell ref="I254:J254"/>
    <mergeCell ref="I255:J255"/>
    <mergeCell ref="I256:J256"/>
    <mergeCell ref="I257:J257"/>
    <mergeCell ref="I258:J258"/>
    <mergeCell ref="I259:J259"/>
    <mergeCell ref="I248:J248"/>
    <mergeCell ref="I249:J249"/>
    <mergeCell ref="I250:J250"/>
    <mergeCell ref="I251:J251"/>
    <mergeCell ref="I252:J252"/>
    <mergeCell ref="I253:J253"/>
    <mergeCell ref="I242:J242"/>
    <mergeCell ref="I243:J243"/>
    <mergeCell ref="I244:J244"/>
    <mergeCell ref="I245:J245"/>
    <mergeCell ref="I246:J246"/>
    <mergeCell ref="I247:J247"/>
    <mergeCell ref="I272:J272"/>
    <mergeCell ref="C226:C227"/>
    <mergeCell ref="I226:J226"/>
    <mergeCell ref="I227:J227"/>
    <mergeCell ref="I228:J228"/>
    <mergeCell ref="I229:J229"/>
    <mergeCell ref="I230:J230"/>
    <mergeCell ref="I231:J231"/>
    <mergeCell ref="I232:J232"/>
    <mergeCell ref="C221:C222"/>
    <mergeCell ref="I221:J221"/>
    <mergeCell ref="I222:J222"/>
    <mergeCell ref="C223:C225"/>
    <mergeCell ref="I223:J223"/>
    <mergeCell ref="I224:J224"/>
    <mergeCell ref="I225:J225"/>
    <mergeCell ref="C216:C220"/>
    <mergeCell ref="I216:J216"/>
    <mergeCell ref="I217:J217"/>
    <mergeCell ref="I218:J218"/>
    <mergeCell ref="I219:J219"/>
    <mergeCell ref="I220:J220"/>
    <mergeCell ref="C228:C231"/>
    <mergeCell ref="C232:C260"/>
    <mergeCell ref="I233:J233"/>
    <mergeCell ref="I234:J234"/>
    <mergeCell ref="I235:J235"/>
    <mergeCell ref="I236:J236"/>
    <mergeCell ref="I237:J237"/>
    <mergeCell ref="I238:J238"/>
    <mergeCell ref="I239:J239"/>
    <mergeCell ref="I240:J240"/>
    <mergeCell ref="I241:J241"/>
    <mergeCell ref="I207:J207"/>
    <mergeCell ref="C208:C215"/>
    <mergeCell ref="I208:J208"/>
    <mergeCell ref="I209:J209"/>
    <mergeCell ref="I210:J210"/>
    <mergeCell ref="I211:J211"/>
    <mergeCell ref="I212:J212"/>
    <mergeCell ref="I213:J213"/>
    <mergeCell ref="I214:J214"/>
    <mergeCell ref="I215:J215"/>
    <mergeCell ref="I201:J201"/>
    <mergeCell ref="I202:J202"/>
    <mergeCell ref="I203:J203"/>
    <mergeCell ref="I204:J204"/>
    <mergeCell ref="I205:J205"/>
    <mergeCell ref="I206:J206"/>
    <mergeCell ref="I195:J195"/>
    <mergeCell ref="I196:J196"/>
    <mergeCell ref="I197:J197"/>
    <mergeCell ref="I198:J198"/>
    <mergeCell ref="I199:J199"/>
    <mergeCell ref="I200:J200"/>
    <mergeCell ref="I189:J189"/>
    <mergeCell ref="I190:J190"/>
    <mergeCell ref="I191:J191"/>
    <mergeCell ref="I192:J192"/>
    <mergeCell ref="I193:J193"/>
    <mergeCell ref="I194:J194"/>
    <mergeCell ref="I183:J183"/>
    <mergeCell ref="I184:J184"/>
    <mergeCell ref="I185:J185"/>
    <mergeCell ref="I186:J186"/>
    <mergeCell ref="I187:J187"/>
    <mergeCell ref="I188:J188"/>
    <mergeCell ref="I177:J177"/>
    <mergeCell ref="I178:J178"/>
    <mergeCell ref="I179:J179"/>
    <mergeCell ref="I180:J180"/>
    <mergeCell ref="I181:J181"/>
    <mergeCell ref="I182:J182"/>
    <mergeCell ref="I171:J171"/>
    <mergeCell ref="I172:J172"/>
    <mergeCell ref="I173:J173"/>
    <mergeCell ref="I174:J174"/>
    <mergeCell ref="I175:J175"/>
    <mergeCell ref="I176:J176"/>
    <mergeCell ref="I165:J165"/>
    <mergeCell ref="I166:J166"/>
    <mergeCell ref="I167:J167"/>
    <mergeCell ref="I168:J168"/>
    <mergeCell ref="I169:J169"/>
    <mergeCell ref="I170:J170"/>
    <mergeCell ref="I156:J156"/>
    <mergeCell ref="I157:J157"/>
    <mergeCell ref="I158:J158"/>
    <mergeCell ref="C159:C207"/>
    <mergeCell ref="I159:J159"/>
    <mergeCell ref="I160:J160"/>
    <mergeCell ref="I161:J161"/>
    <mergeCell ref="I162:J162"/>
    <mergeCell ref="I163:J163"/>
    <mergeCell ref="I164:J164"/>
    <mergeCell ref="C93:C158"/>
    <mergeCell ref="I93:J93"/>
    <mergeCell ref="I94:J94"/>
    <mergeCell ref="I95:J95"/>
    <mergeCell ref="I96:J96"/>
    <mergeCell ref="I97:J97"/>
    <mergeCell ref="I98:J98"/>
    <mergeCell ref="I99:J99"/>
    <mergeCell ref="I100:J100"/>
    <mergeCell ref="I101:J101"/>
    <mergeCell ref="I150:J150"/>
    <mergeCell ref="I151:J151"/>
    <mergeCell ref="I152:J152"/>
    <mergeCell ref="I153:J153"/>
    <mergeCell ref="I154:J154"/>
    <mergeCell ref="I155:J155"/>
    <mergeCell ref="I144:J144"/>
    <mergeCell ref="I145:J145"/>
    <mergeCell ref="I146:J146"/>
    <mergeCell ref="I147:J147"/>
    <mergeCell ref="I148:J148"/>
    <mergeCell ref="I149:J149"/>
    <mergeCell ref="I138:J138"/>
    <mergeCell ref="I139:J139"/>
    <mergeCell ref="I140:J140"/>
    <mergeCell ref="I141:J141"/>
    <mergeCell ref="I142:J142"/>
    <mergeCell ref="I143:J143"/>
    <mergeCell ref="I132:J132"/>
    <mergeCell ref="I133:J133"/>
    <mergeCell ref="I134:J134"/>
    <mergeCell ref="I135:J135"/>
    <mergeCell ref="I136:J136"/>
    <mergeCell ref="I137:J137"/>
    <mergeCell ref="I126:J126"/>
    <mergeCell ref="I127:J127"/>
    <mergeCell ref="I128:J128"/>
    <mergeCell ref="I129:J129"/>
    <mergeCell ref="I130:J130"/>
    <mergeCell ref="I131:J131"/>
    <mergeCell ref="I120:J120"/>
    <mergeCell ref="I121:J121"/>
    <mergeCell ref="I122:J122"/>
    <mergeCell ref="I123:J123"/>
    <mergeCell ref="I124:J124"/>
    <mergeCell ref="I125:J125"/>
    <mergeCell ref="I114:J114"/>
    <mergeCell ref="I115:J115"/>
    <mergeCell ref="I116:J116"/>
    <mergeCell ref="I117:J117"/>
    <mergeCell ref="I118:J118"/>
    <mergeCell ref="I119:J119"/>
    <mergeCell ref="I108:J108"/>
    <mergeCell ref="I109:J109"/>
    <mergeCell ref="I110:J110"/>
    <mergeCell ref="I111:J111"/>
    <mergeCell ref="I112:J112"/>
    <mergeCell ref="I113:J113"/>
    <mergeCell ref="I67:J67"/>
    <mergeCell ref="I68:J68"/>
    <mergeCell ref="I69:J69"/>
    <mergeCell ref="I70:J70"/>
    <mergeCell ref="I71:J71"/>
    <mergeCell ref="I72:J72"/>
    <mergeCell ref="I102:J102"/>
    <mergeCell ref="I103:J103"/>
    <mergeCell ref="I104:J104"/>
    <mergeCell ref="I105:J105"/>
    <mergeCell ref="I106:J106"/>
    <mergeCell ref="I107:J107"/>
    <mergeCell ref="C89:C90"/>
    <mergeCell ref="I89:J89"/>
    <mergeCell ref="I90:J90"/>
    <mergeCell ref="C91:C92"/>
    <mergeCell ref="I91:J91"/>
    <mergeCell ref="I92:J92"/>
    <mergeCell ref="C85:C86"/>
    <mergeCell ref="I85:J85"/>
    <mergeCell ref="I86:J86"/>
    <mergeCell ref="C87:C88"/>
    <mergeCell ref="I87:J87"/>
    <mergeCell ref="I88:J88"/>
    <mergeCell ref="I52:J52"/>
    <mergeCell ref="C53:C84"/>
    <mergeCell ref="I53:J53"/>
    <mergeCell ref="I54:J54"/>
    <mergeCell ref="I55:J55"/>
    <mergeCell ref="I56:J56"/>
    <mergeCell ref="I57:J57"/>
    <mergeCell ref="I58:J58"/>
    <mergeCell ref="I59:J59"/>
    <mergeCell ref="I60:J60"/>
    <mergeCell ref="I46:J46"/>
    <mergeCell ref="I47:J47"/>
    <mergeCell ref="I48:J48"/>
    <mergeCell ref="I49:J49"/>
    <mergeCell ref="I50:J50"/>
    <mergeCell ref="I51:J51"/>
    <mergeCell ref="C37:C52"/>
    <mergeCell ref="I37:J37"/>
    <mergeCell ref="I38:J38"/>
    <mergeCell ref="I39:J39"/>
    <mergeCell ref="I79:J79"/>
    <mergeCell ref="I80:J80"/>
    <mergeCell ref="I81:J81"/>
    <mergeCell ref="I82:J82"/>
    <mergeCell ref="I83:J83"/>
    <mergeCell ref="I84:J84"/>
    <mergeCell ref="I73:J73"/>
    <mergeCell ref="I74:J74"/>
    <mergeCell ref="I75:J75"/>
    <mergeCell ref="I76:J76"/>
    <mergeCell ref="I77:J77"/>
    <mergeCell ref="I78:J78"/>
    <mergeCell ref="A1:I1"/>
    <mergeCell ref="I3:J3"/>
    <mergeCell ref="B4:B810"/>
    <mergeCell ref="C4:C18"/>
    <mergeCell ref="I4:J4"/>
    <mergeCell ref="I5:J5"/>
    <mergeCell ref="I6:J6"/>
    <mergeCell ref="I7:J7"/>
    <mergeCell ref="I8:J8"/>
    <mergeCell ref="I9:J9"/>
    <mergeCell ref="I31:J31"/>
    <mergeCell ref="I32:J32"/>
    <mergeCell ref="I33:J33"/>
    <mergeCell ref="I34:J34"/>
    <mergeCell ref="I35:J35"/>
    <mergeCell ref="I36:J36"/>
    <mergeCell ref="I25:J25"/>
    <mergeCell ref="I26:J26"/>
    <mergeCell ref="I27:J27"/>
    <mergeCell ref="I28:J28"/>
    <mergeCell ref="I61:J61"/>
    <mergeCell ref="I62:J62"/>
    <mergeCell ref="I63:J63"/>
    <mergeCell ref="I64:J64"/>
    <mergeCell ref="I65:J65"/>
    <mergeCell ref="I66:J66"/>
    <mergeCell ref="I19:J19"/>
    <mergeCell ref="I20:J20"/>
    <mergeCell ref="I21:J21"/>
    <mergeCell ref="I22:J22"/>
    <mergeCell ref="I23:J23"/>
    <mergeCell ref="I24:J24"/>
    <mergeCell ref="I29:J29"/>
    <mergeCell ref="I30:J30"/>
    <mergeCell ref="I16:J16"/>
    <mergeCell ref="I17:J17"/>
    <mergeCell ref="I18:J18"/>
    <mergeCell ref="C19:C36"/>
    <mergeCell ref="I40:J40"/>
    <mergeCell ref="I41:J41"/>
    <mergeCell ref="I42:J42"/>
    <mergeCell ref="I43:J43"/>
    <mergeCell ref="I44:J44"/>
    <mergeCell ref="I45:J45"/>
    <mergeCell ref="I10:J10"/>
    <mergeCell ref="I11:J11"/>
    <mergeCell ref="I12:J12"/>
    <mergeCell ref="I13:J13"/>
    <mergeCell ref="I14:J14"/>
    <mergeCell ref="I15:J15"/>
  </mergeCells>
  <pageMargins left="0.7" right="0.7" top="0.75" bottom="0.75" header="0.3" footer="0.3"/>
  <pageSetup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59"/>
  <sheetViews>
    <sheetView topLeftCell="A55" workbookViewId="0">
      <selection activeCell="H70" activeCellId="7" sqref="H9 H23 H35 H54 H57 H60 H65 H70"/>
    </sheetView>
  </sheetViews>
  <sheetFormatPr defaultRowHeight="14.5" outlineLevelRow="1"/>
  <cols>
    <col min="1" max="1" width="30.81640625" style="310" bestFit="1" customWidth="1"/>
    <col min="2" max="2" width="45.81640625" style="310" bestFit="1" customWidth="1"/>
    <col min="3" max="3" width="16" style="311" bestFit="1" customWidth="1"/>
    <col min="4" max="4" width="0.7265625" style="310" customWidth="1"/>
    <col min="5" max="5" width="21.7265625" style="310" customWidth="1"/>
    <col min="6" max="6" width="0.54296875" style="310" customWidth="1"/>
    <col min="7" max="7" width="21.81640625" style="310" customWidth="1"/>
    <col min="8" max="8" width="17.26953125" style="310" customWidth="1"/>
    <col min="9" max="9" width="9.1796875" style="310"/>
    <col min="10" max="10" width="17.453125" style="323" customWidth="1"/>
    <col min="11" max="11" width="20.7265625" style="310" customWidth="1"/>
    <col min="12" max="12" width="9.1796875" style="310"/>
    <col min="13" max="13" width="11.54296875" style="310" bestFit="1" customWidth="1"/>
    <col min="14" max="256" width="9.1796875" style="310"/>
    <col min="257" max="257" width="30.81640625" style="310" bestFit="1" customWidth="1"/>
    <col min="258" max="258" width="45.81640625" style="310" bestFit="1" customWidth="1"/>
    <col min="259" max="259" width="16" style="310" bestFit="1" customWidth="1"/>
    <col min="260" max="260" width="0.7265625" style="310" customWidth="1"/>
    <col min="261" max="261" width="21.7265625" style="310" customWidth="1"/>
    <col min="262" max="262" width="0.54296875" style="310" customWidth="1"/>
    <col min="263" max="263" width="21.81640625" style="310" customWidth="1"/>
    <col min="264" max="264" width="17.26953125" style="310" customWidth="1"/>
    <col min="265" max="265" width="9.1796875" style="310"/>
    <col min="266" max="266" width="17.453125" style="310" customWidth="1"/>
    <col min="267" max="267" width="20.7265625" style="310" customWidth="1"/>
    <col min="268" max="512" width="9.1796875" style="310"/>
    <col min="513" max="513" width="30.81640625" style="310" bestFit="1" customWidth="1"/>
    <col min="514" max="514" width="45.81640625" style="310" bestFit="1" customWidth="1"/>
    <col min="515" max="515" width="16" style="310" bestFit="1" customWidth="1"/>
    <col min="516" max="516" width="0.7265625" style="310" customWidth="1"/>
    <col min="517" max="517" width="21.7265625" style="310" customWidth="1"/>
    <col min="518" max="518" width="0.54296875" style="310" customWidth="1"/>
    <col min="519" max="519" width="21.81640625" style="310" customWidth="1"/>
    <col min="520" max="520" width="17.26953125" style="310" customWidth="1"/>
    <col min="521" max="521" width="9.1796875" style="310"/>
    <col min="522" max="522" width="17.453125" style="310" customWidth="1"/>
    <col min="523" max="523" width="20.7265625" style="310" customWidth="1"/>
    <col min="524" max="768" width="9.1796875" style="310"/>
    <col min="769" max="769" width="30.81640625" style="310" bestFit="1" customWidth="1"/>
    <col min="770" max="770" width="45.81640625" style="310" bestFit="1" customWidth="1"/>
    <col min="771" max="771" width="16" style="310" bestFit="1" customWidth="1"/>
    <col min="772" max="772" width="0.7265625" style="310" customWidth="1"/>
    <col min="773" max="773" width="21.7265625" style="310" customWidth="1"/>
    <col min="774" max="774" width="0.54296875" style="310" customWidth="1"/>
    <col min="775" max="775" width="21.81640625" style="310" customWidth="1"/>
    <col min="776" max="776" width="17.26953125" style="310" customWidth="1"/>
    <col min="777" max="777" width="9.1796875" style="310"/>
    <col min="778" max="778" width="17.453125" style="310" customWidth="1"/>
    <col min="779" max="779" width="20.7265625" style="310" customWidth="1"/>
    <col min="780" max="1024" width="9.1796875" style="310"/>
    <col min="1025" max="1025" width="30.81640625" style="310" bestFit="1" customWidth="1"/>
    <col min="1026" max="1026" width="45.81640625" style="310" bestFit="1" customWidth="1"/>
    <col min="1027" max="1027" width="16" style="310" bestFit="1" customWidth="1"/>
    <col min="1028" max="1028" width="0.7265625" style="310" customWidth="1"/>
    <col min="1029" max="1029" width="21.7265625" style="310" customWidth="1"/>
    <col min="1030" max="1030" width="0.54296875" style="310" customWidth="1"/>
    <col min="1031" max="1031" width="21.81640625" style="310" customWidth="1"/>
    <col min="1032" max="1032" width="17.26953125" style="310" customWidth="1"/>
    <col min="1033" max="1033" width="9.1796875" style="310"/>
    <col min="1034" max="1034" width="17.453125" style="310" customWidth="1"/>
    <col min="1035" max="1035" width="20.7265625" style="310" customWidth="1"/>
    <col min="1036" max="1280" width="9.1796875" style="310"/>
    <col min="1281" max="1281" width="30.81640625" style="310" bestFit="1" customWidth="1"/>
    <col min="1282" max="1282" width="45.81640625" style="310" bestFit="1" customWidth="1"/>
    <col min="1283" max="1283" width="16" style="310" bestFit="1" customWidth="1"/>
    <col min="1284" max="1284" width="0.7265625" style="310" customWidth="1"/>
    <col min="1285" max="1285" width="21.7265625" style="310" customWidth="1"/>
    <col min="1286" max="1286" width="0.54296875" style="310" customWidth="1"/>
    <col min="1287" max="1287" width="21.81640625" style="310" customWidth="1"/>
    <col min="1288" max="1288" width="17.26953125" style="310" customWidth="1"/>
    <col min="1289" max="1289" width="9.1796875" style="310"/>
    <col min="1290" max="1290" width="17.453125" style="310" customWidth="1"/>
    <col min="1291" max="1291" width="20.7265625" style="310" customWidth="1"/>
    <col min="1292" max="1536" width="9.1796875" style="310"/>
    <col min="1537" max="1537" width="30.81640625" style="310" bestFit="1" customWidth="1"/>
    <col min="1538" max="1538" width="45.81640625" style="310" bestFit="1" customWidth="1"/>
    <col min="1539" max="1539" width="16" style="310" bestFit="1" customWidth="1"/>
    <col min="1540" max="1540" width="0.7265625" style="310" customWidth="1"/>
    <col min="1541" max="1541" width="21.7265625" style="310" customWidth="1"/>
    <col min="1542" max="1542" width="0.54296875" style="310" customWidth="1"/>
    <col min="1543" max="1543" width="21.81640625" style="310" customWidth="1"/>
    <col min="1544" max="1544" width="17.26953125" style="310" customWidth="1"/>
    <col min="1545" max="1545" width="9.1796875" style="310"/>
    <col min="1546" max="1546" width="17.453125" style="310" customWidth="1"/>
    <col min="1547" max="1547" width="20.7265625" style="310" customWidth="1"/>
    <col min="1548" max="1792" width="9.1796875" style="310"/>
    <col min="1793" max="1793" width="30.81640625" style="310" bestFit="1" customWidth="1"/>
    <col min="1794" max="1794" width="45.81640625" style="310" bestFit="1" customWidth="1"/>
    <col min="1795" max="1795" width="16" style="310" bestFit="1" customWidth="1"/>
    <col min="1796" max="1796" width="0.7265625" style="310" customWidth="1"/>
    <col min="1797" max="1797" width="21.7265625" style="310" customWidth="1"/>
    <col min="1798" max="1798" width="0.54296875" style="310" customWidth="1"/>
    <col min="1799" max="1799" width="21.81640625" style="310" customWidth="1"/>
    <col min="1800" max="1800" width="17.26953125" style="310" customWidth="1"/>
    <col min="1801" max="1801" width="9.1796875" style="310"/>
    <col min="1802" max="1802" width="17.453125" style="310" customWidth="1"/>
    <col min="1803" max="1803" width="20.7265625" style="310" customWidth="1"/>
    <col min="1804" max="2048" width="9.1796875" style="310"/>
    <col min="2049" max="2049" width="30.81640625" style="310" bestFit="1" customWidth="1"/>
    <col min="2050" max="2050" width="45.81640625" style="310" bestFit="1" customWidth="1"/>
    <col min="2051" max="2051" width="16" style="310" bestFit="1" customWidth="1"/>
    <col min="2052" max="2052" width="0.7265625" style="310" customWidth="1"/>
    <col min="2053" max="2053" width="21.7265625" style="310" customWidth="1"/>
    <col min="2054" max="2054" width="0.54296875" style="310" customWidth="1"/>
    <col min="2055" max="2055" width="21.81640625" style="310" customWidth="1"/>
    <col min="2056" max="2056" width="17.26953125" style="310" customWidth="1"/>
    <col min="2057" max="2057" width="9.1796875" style="310"/>
    <col min="2058" max="2058" width="17.453125" style="310" customWidth="1"/>
    <col min="2059" max="2059" width="20.7265625" style="310" customWidth="1"/>
    <col min="2060" max="2304" width="9.1796875" style="310"/>
    <col min="2305" max="2305" width="30.81640625" style="310" bestFit="1" customWidth="1"/>
    <col min="2306" max="2306" width="45.81640625" style="310" bestFit="1" customWidth="1"/>
    <col min="2307" max="2307" width="16" style="310" bestFit="1" customWidth="1"/>
    <col min="2308" max="2308" width="0.7265625" style="310" customWidth="1"/>
    <col min="2309" max="2309" width="21.7265625" style="310" customWidth="1"/>
    <col min="2310" max="2310" width="0.54296875" style="310" customWidth="1"/>
    <col min="2311" max="2311" width="21.81640625" style="310" customWidth="1"/>
    <col min="2312" max="2312" width="17.26953125" style="310" customWidth="1"/>
    <col min="2313" max="2313" width="9.1796875" style="310"/>
    <col min="2314" max="2314" width="17.453125" style="310" customWidth="1"/>
    <col min="2315" max="2315" width="20.7265625" style="310" customWidth="1"/>
    <col min="2316" max="2560" width="9.1796875" style="310"/>
    <col min="2561" max="2561" width="30.81640625" style="310" bestFit="1" customWidth="1"/>
    <col min="2562" max="2562" width="45.81640625" style="310" bestFit="1" customWidth="1"/>
    <col min="2563" max="2563" width="16" style="310" bestFit="1" customWidth="1"/>
    <col min="2564" max="2564" width="0.7265625" style="310" customWidth="1"/>
    <col min="2565" max="2565" width="21.7265625" style="310" customWidth="1"/>
    <col min="2566" max="2566" width="0.54296875" style="310" customWidth="1"/>
    <col min="2567" max="2567" width="21.81640625" style="310" customWidth="1"/>
    <col min="2568" max="2568" width="17.26953125" style="310" customWidth="1"/>
    <col min="2569" max="2569" width="9.1796875" style="310"/>
    <col min="2570" max="2570" width="17.453125" style="310" customWidth="1"/>
    <col min="2571" max="2571" width="20.7265625" style="310" customWidth="1"/>
    <col min="2572" max="2816" width="9.1796875" style="310"/>
    <col min="2817" max="2817" width="30.81640625" style="310" bestFit="1" customWidth="1"/>
    <col min="2818" max="2818" width="45.81640625" style="310" bestFit="1" customWidth="1"/>
    <col min="2819" max="2819" width="16" style="310" bestFit="1" customWidth="1"/>
    <col min="2820" max="2820" width="0.7265625" style="310" customWidth="1"/>
    <col min="2821" max="2821" width="21.7265625" style="310" customWidth="1"/>
    <col min="2822" max="2822" width="0.54296875" style="310" customWidth="1"/>
    <col min="2823" max="2823" width="21.81640625" style="310" customWidth="1"/>
    <col min="2824" max="2824" width="17.26953125" style="310" customWidth="1"/>
    <col min="2825" max="2825" width="9.1796875" style="310"/>
    <col min="2826" max="2826" width="17.453125" style="310" customWidth="1"/>
    <col min="2827" max="2827" width="20.7265625" style="310" customWidth="1"/>
    <col min="2828" max="3072" width="9.1796875" style="310"/>
    <col min="3073" max="3073" width="30.81640625" style="310" bestFit="1" customWidth="1"/>
    <col min="3074" max="3074" width="45.81640625" style="310" bestFit="1" customWidth="1"/>
    <col min="3075" max="3075" width="16" style="310" bestFit="1" customWidth="1"/>
    <col min="3076" max="3076" width="0.7265625" style="310" customWidth="1"/>
    <col min="3077" max="3077" width="21.7265625" style="310" customWidth="1"/>
    <col min="3078" max="3078" width="0.54296875" style="310" customWidth="1"/>
    <col min="3079" max="3079" width="21.81640625" style="310" customWidth="1"/>
    <col min="3080" max="3080" width="17.26953125" style="310" customWidth="1"/>
    <col min="3081" max="3081" width="9.1796875" style="310"/>
    <col min="3082" max="3082" width="17.453125" style="310" customWidth="1"/>
    <col min="3083" max="3083" width="20.7265625" style="310" customWidth="1"/>
    <col min="3084" max="3328" width="9.1796875" style="310"/>
    <col min="3329" max="3329" width="30.81640625" style="310" bestFit="1" customWidth="1"/>
    <col min="3330" max="3330" width="45.81640625" style="310" bestFit="1" customWidth="1"/>
    <col min="3331" max="3331" width="16" style="310" bestFit="1" customWidth="1"/>
    <col min="3332" max="3332" width="0.7265625" style="310" customWidth="1"/>
    <col min="3333" max="3333" width="21.7265625" style="310" customWidth="1"/>
    <col min="3334" max="3334" width="0.54296875" style="310" customWidth="1"/>
    <col min="3335" max="3335" width="21.81640625" style="310" customWidth="1"/>
    <col min="3336" max="3336" width="17.26953125" style="310" customWidth="1"/>
    <col min="3337" max="3337" width="9.1796875" style="310"/>
    <col min="3338" max="3338" width="17.453125" style="310" customWidth="1"/>
    <col min="3339" max="3339" width="20.7265625" style="310" customWidth="1"/>
    <col min="3340" max="3584" width="9.1796875" style="310"/>
    <col min="3585" max="3585" width="30.81640625" style="310" bestFit="1" customWidth="1"/>
    <col min="3586" max="3586" width="45.81640625" style="310" bestFit="1" customWidth="1"/>
    <col min="3587" max="3587" width="16" style="310" bestFit="1" customWidth="1"/>
    <col min="3588" max="3588" width="0.7265625" style="310" customWidth="1"/>
    <col min="3589" max="3589" width="21.7265625" style="310" customWidth="1"/>
    <col min="3590" max="3590" width="0.54296875" style="310" customWidth="1"/>
    <col min="3591" max="3591" width="21.81640625" style="310" customWidth="1"/>
    <col min="3592" max="3592" width="17.26953125" style="310" customWidth="1"/>
    <col min="3593" max="3593" width="9.1796875" style="310"/>
    <col min="3594" max="3594" width="17.453125" style="310" customWidth="1"/>
    <col min="3595" max="3595" width="20.7265625" style="310" customWidth="1"/>
    <col min="3596" max="3840" width="9.1796875" style="310"/>
    <col min="3841" max="3841" width="30.81640625" style="310" bestFit="1" customWidth="1"/>
    <col min="3842" max="3842" width="45.81640625" style="310" bestFit="1" customWidth="1"/>
    <col min="3843" max="3843" width="16" style="310" bestFit="1" customWidth="1"/>
    <col min="3844" max="3844" width="0.7265625" style="310" customWidth="1"/>
    <col min="3845" max="3845" width="21.7265625" style="310" customWidth="1"/>
    <col min="3846" max="3846" width="0.54296875" style="310" customWidth="1"/>
    <col min="3847" max="3847" width="21.81640625" style="310" customWidth="1"/>
    <col min="3848" max="3848" width="17.26953125" style="310" customWidth="1"/>
    <col min="3849" max="3849" width="9.1796875" style="310"/>
    <col min="3850" max="3850" width="17.453125" style="310" customWidth="1"/>
    <col min="3851" max="3851" width="20.7265625" style="310" customWidth="1"/>
    <col min="3852" max="4096" width="9.1796875" style="310"/>
    <col min="4097" max="4097" width="30.81640625" style="310" bestFit="1" customWidth="1"/>
    <col min="4098" max="4098" width="45.81640625" style="310" bestFit="1" customWidth="1"/>
    <col min="4099" max="4099" width="16" style="310" bestFit="1" customWidth="1"/>
    <col min="4100" max="4100" width="0.7265625" style="310" customWidth="1"/>
    <col min="4101" max="4101" width="21.7265625" style="310" customWidth="1"/>
    <col min="4102" max="4102" width="0.54296875" style="310" customWidth="1"/>
    <col min="4103" max="4103" width="21.81640625" style="310" customWidth="1"/>
    <col min="4104" max="4104" width="17.26953125" style="310" customWidth="1"/>
    <col min="4105" max="4105" width="9.1796875" style="310"/>
    <col min="4106" max="4106" width="17.453125" style="310" customWidth="1"/>
    <col min="4107" max="4107" width="20.7265625" style="310" customWidth="1"/>
    <col min="4108" max="4352" width="9.1796875" style="310"/>
    <col min="4353" max="4353" width="30.81640625" style="310" bestFit="1" customWidth="1"/>
    <col min="4354" max="4354" width="45.81640625" style="310" bestFit="1" customWidth="1"/>
    <col min="4355" max="4355" width="16" style="310" bestFit="1" customWidth="1"/>
    <col min="4356" max="4356" width="0.7265625" style="310" customWidth="1"/>
    <col min="4357" max="4357" width="21.7265625" style="310" customWidth="1"/>
    <col min="4358" max="4358" width="0.54296875" style="310" customWidth="1"/>
    <col min="4359" max="4359" width="21.81640625" style="310" customWidth="1"/>
    <col min="4360" max="4360" width="17.26953125" style="310" customWidth="1"/>
    <col min="4361" max="4361" width="9.1796875" style="310"/>
    <col min="4362" max="4362" width="17.453125" style="310" customWidth="1"/>
    <col min="4363" max="4363" width="20.7265625" style="310" customWidth="1"/>
    <col min="4364" max="4608" width="9.1796875" style="310"/>
    <col min="4609" max="4609" width="30.81640625" style="310" bestFit="1" customWidth="1"/>
    <col min="4610" max="4610" width="45.81640625" style="310" bestFit="1" customWidth="1"/>
    <col min="4611" max="4611" width="16" style="310" bestFit="1" customWidth="1"/>
    <col min="4612" max="4612" width="0.7265625" style="310" customWidth="1"/>
    <col min="4613" max="4613" width="21.7265625" style="310" customWidth="1"/>
    <col min="4614" max="4614" width="0.54296875" style="310" customWidth="1"/>
    <col min="4615" max="4615" width="21.81640625" style="310" customWidth="1"/>
    <col min="4616" max="4616" width="17.26953125" style="310" customWidth="1"/>
    <col min="4617" max="4617" width="9.1796875" style="310"/>
    <col min="4618" max="4618" width="17.453125" style="310" customWidth="1"/>
    <col min="4619" max="4619" width="20.7265625" style="310" customWidth="1"/>
    <col min="4620" max="4864" width="9.1796875" style="310"/>
    <col min="4865" max="4865" width="30.81640625" style="310" bestFit="1" customWidth="1"/>
    <col min="4866" max="4866" width="45.81640625" style="310" bestFit="1" customWidth="1"/>
    <col min="4867" max="4867" width="16" style="310" bestFit="1" customWidth="1"/>
    <col min="4868" max="4868" width="0.7265625" style="310" customWidth="1"/>
    <col min="4869" max="4869" width="21.7265625" style="310" customWidth="1"/>
    <col min="4870" max="4870" width="0.54296875" style="310" customWidth="1"/>
    <col min="4871" max="4871" width="21.81640625" style="310" customWidth="1"/>
    <col min="4872" max="4872" width="17.26953125" style="310" customWidth="1"/>
    <col min="4873" max="4873" width="9.1796875" style="310"/>
    <col min="4874" max="4874" width="17.453125" style="310" customWidth="1"/>
    <col min="4875" max="4875" width="20.7265625" style="310" customWidth="1"/>
    <col min="4876" max="5120" width="9.1796875" style="310"/>
    <col min="5121" max="5121" width="30.81640625" style="310" bestFit="1" customWidth="1"/>
    <col min="5122" max="5122" width="45.81640625" style="310" bestFit="1" customWidth="1"/>
    <col min="5123" max="5123" width="16" style="310" bestFit="1" customWidth="1"/>
    <col min="5124" max="5124" width="0.7265625" style="310" customWidth="1"/>
    <col min="5125" max="5125" width="21.7265625" style="310" customWidth="1"/>
    <col min="5126" max="5126" width="0.54296875" style="310" customWidth="1"/>
    <col min="5127" max="5127" width="21.81640625" style="310" customWidth="1"/>
    <col min="5128" max="5128" width="17.26953125" style="310" customWidth="1"/>
    <col min="5129" max="5129" width="9.1796875" style="310"/>
    <col min="5130" max="5130" width="17.453125" style="310" customWidth="1"/>
    <col min="5131" max="5131" width="20.7265625" style="310" customWidth="1"/>
    <col min="5132" max="5376" width="9.1796875" style="310"/>
    <col min="5377" max="5377" width="30.81640625" style="310" bestFit="1" customWidth="1"/>
    <col min="5378" max="5378" width="45.81640625" style="310" bestFit="1" customWidth="1"/>
    <col min="5379" max="5379" width="16" style="310" bestFit="1" customWidth="1"/>
    <col min="5380" max="5380" width="0.7265625" style="310" customWidth="1"/>
    <col min="5381" max="5381" width="21.7265625" style="310" customWidth="1"/>
    <col min="5382" max="5382" width="0.54296875" style="310" customWidth="1"/>
    <col min="5383" max="5383" width="21.81640625" style="310" customWidth="1"/>
    <col min="5384" max="5384" width="17.26953125" style="310" customWidth="1"/>
    <col min="5385" max="5385" width="9.1796875" style="310"/>
    <col min="5386" max="5386" width="17.453125" style="310" customWidth="1"/>
    <col min="5387" max="5387" width="20.7265625" style="310" customWidth="1"/>
    <col min="5388" max="5632" width="9.1796875" style="310"/>
    <col min="5633" max="5633" width="30.81640625" style="310" bestFit="1" customWidth="1"/>
    <col min="5634" max="5634" width="45.81640625" style="310" bestFit="1" customWidth="1"/>
    <col min="5635" max="5635" width="16" style="310" bestFit="1" customWidth="1"/>
    <col min="5636" max="5636" width="0.7265625" style="310" customWidth="1"/>
    <col min="5637" max="5637" width="21.7265625" style="310" customWidth="1"/>
    <col min="5638" max="5638" width="0.54296875" style="310" customWidth="1"/>
    <col min="5639" max="5639" width="21.81640625" style="310" customWidth="1"/>
    <col min="5640" max="5640" width="17.26953125" style="310" customWidth="1"/>
    <col min="5641" max="5641" width="9.1796875" style="310"/>
    <col min="5642" max="5642" width="17.453125" style="310" customWidth="1"/>
    <col min="5643" max="5643" width="20.7265625" style="310" customWidth="1"/>
    <col min="5644" max="5888" width="9.1796875" style="310"/>
    <col min="5889" max="5889" width="30.81640625" style="310" bestFit="1" customWidth="1"/>
    <col min="5890" max="5890" width="45.81640625" style="310" bestFit="1" customWidth="1"/>
    <col min="5891" max="5891" width="16" style="310" bestFit="1" customWidth="1"/>
    <col min="5892" max="5892" width="0.7265625" style="310" customWidth="1"/>
    <col min="5893" max="5893" width="21.7265625" style="310" customWidth="1"/>
    <col min="5894" max="5894" width="0.54296875" style="310" customWidth="1"/>
    <col min="5895" max="5895" width="21.81640625" style="310" customWidth="1"/>
    <col min="5896" max="5896" width="17.26953125" style="310" customWidth="1"/>
    <col min="5897" max="5897" width="9.1796875" style="310"/>
    <col min="5898" max="5898" width="17.453125" style="310" customWidth="1"/>
    <col min="5899" max="5899" width="20.7265625" style="310" customWidth="1"/>
    <col min="5900" max="6144" width="9.1796875" style="310"/>
    <col min="6145" max="6145" width="30.81640625" style="310" bestFit="1" customWidth="1"/>
    <col min="6146" max="6146" width="45.81640625" style="310" bestFit="1" customWidth="1"/>
    <col min="6147" max="6147" width="16" style="310" bestFit="1" customWidth="1"/>
    <col min="6148" max="6148" width="0.7265625" style="310" customWidth="1"/>
    <col min="6149" max="6149" width="21.7265625" style="310" customWidth="1"/>
    <col min="6150" max="6150" width="0.54296875" style="310" customWidth="1"/>
    <col min="6151" max="6151" width="21.81640625" style="310" customWidth="1"/>
    <col min="6152" max="6152" width="17.26953125" style="310" customWidth="1"/>
    <col min="6153" max="6153" width="9.1796875" style="310"/>
    <col min="6154" max="6154" width="17.453125" style="310" customWidth="1"/>
    <col min="6155" max="6155" width="20.7265625" style="310" customWidth="1"/>
    <col min="6156" max="6400" width="9.1796875" style="310"/>
    <col min="6401" max="6401" width="30.81640625" style="310" bestFit="1" customWidth="1"/>
    <col min="6402" max="6402" width="45.81640625" style="310" bestFit="1" customWidth="1"/>
    <col min="6403" max="6403" width="16" style="310" bestFit="1" customWidth="1"/>
    <col min="6404" max="6404" width="0.7265625" style="310" customWidth="1"/>
    <col min="6405" max="6405" width="21.7265625" style="310" customWidth="1"/>
    <col min="6406" max="6406" width="0.54296875" style="310" customWidth="1"/>
    <col min="6407" max="6407" width="21.81640625" style="310" customWidth="1"/>
    <col min="6408" max="6408" width="17.26953125" style="310" customWidth="1"/>
    <col min="6409" max="6409" width="9.1796875" style="310"/>
    <col min="6410" max="6410" width="17.453125" style="310" customWidth="1"/>
    <col min="6411" max="6411" width="20.7265625" style="310" customWidth="1"/>
    <col min="6412" max="6656" width="9.1796875" style="310"/>
    <col min="6657" max="6657" width="30.81640625" style="310" bestFit="1" customWidth="1"/>
    <col min="6658" max="6658" width="45.81640625" style="310" bestFit="1" customWidth="1"/>
    <col min="6659" max="6659" width="16" style="310" bestFit="1" customWidth="1"/>
    <col min="6660" max="6660" width="0.7265625" style="310" customWidth="1"/>
    <col min="6661" max="6661" width="21.7265625" style="310" customWidth="1"/>
    <col min="6662" max="6662" width="0.54296875" style="310" customWidth="1"/>
    <col min="6663" max="6663" width="21.81640625" style="310" customWidth="1"/>
    <col min="6664" max="6664" width="17.26953125" style="310" customWidth="1"/>
    <col min="6665" max="6665" width="9.1796875" style="310"/>
    <col min="6666" max="6666" width="17.453125" style="310" customWidth="1"/>
    <col min="6667" max="6667" width="20.7265625" style="310" customWidth="1"/>
    <col min="6668" max="6912" width="9.1796875" style="310"/>
    <col min="6913" max="6913" width="30.81640625" style="310" bestFit="1" customWidth="1"/>
    <col min="6914" max="6914" width="45.81640625" style="310" bestFit="1" customWidth="1"/>
    <col min="6915" max="6915" width="16" style="310" bestFit="1" customWidth="1"/>
    <col min="6916" max="6916" width="0.7265625" style="310" customWidth="1"/>
    <col min="6917" max="6917" width="21.7265625" style="310" customWidth="1"/>
    <col min="6918" max="6918" width="0.54296875" style="310" customWidth="1"/>
    <col min="6919" max="6919" width="21.81640625" style="310" customWidth="1"/>
    <col min="6920" max="6920" width="17.26953125" style="310" customWidth="1"/>
    <col min="6921" max="6921" width="9.1796875" style="310"/>
    <col min="6922" max="6922" width="17.453125" style="310" customWidth="1"/>
    <col min="6923" max="6923" width="20.7265625" style="310" customWidth="1"/>
    <col min="6924" max="7168" width="9.1796875" style="310"/>
    <col min="7169" max="7169" width="30.81640625" style="310" bestFit="1" customWidth="1"/>
    <col min="7170" max="7170" width="45.81640625" style="310" bestFit="1" customWidth="1"/>
    <col min="7171" max="7171" width="16" style="310" bestFit="1" customWidth="1"/>
    <col min="7172" max="7172" width="0.7265625" style="310" customWidth="1"/>
    <col min="7173" max="7173" width="21.7265625" style="310" customWidth="1"/>
    <col min="7174" max="7174" width="0.54296875" style="310" customWidth="1"/>
    <col min="7175" max="7175" width="21.81640625" style="310" customWidth="1"/>
    <col min="7176" max="7176" width="17.26953125" style="310" customWidth="1"/>
    <col min="7177" max="7177" width="9.1796875" style="310"/>
    <col min="7178" max="7178" width="17.453125" style="310" customWidth="1"/>
    <col min="7179" max="7179" width="20.7265625" style="310" customWidth="1"/>
    <col min="7180" max="7424" width="9.1796875" style="310"/>
    <col min="7425" max="7425" width="30.81640625" style="310" bestFit="1" customWidth="1"/>
    <col min="7426" max="7426" width="45.81640625" style="310" bestFit="1" customWidth="1"/>
    <col min="7427" max="7427" width="16" style="310" bestFit="1" customWidth="1"/>
    <col min="7428" max="7428" width="0.7265625" style="310" customWidth="1"/>
    <col min="7429" max="7429" width="21.7265625" style="310" customWidth="1"/>
    <col min="7430" max="7430" width="0.54296875" style="310" customWidth="1"/>
    <col min="7431" max="7431" width="21.81640625" style="310" customWidth="1"/>
    <col min="7432" max="7432" width="17.26953125" style="310" customWidth="1"/>
    <col min="7433" max="7433" width="9.1796875" style="310"/>
    <col min="7434" max="7434" width="17.453125" style="310" customWidth="1"/>
    <col min="7435" max="7435" width="20.7265625" style="310" customWidth="1"/>
    <col min="7436" max="7680" width="9.1796875" style="310"/>
    <col min="7681" max="7681" width="30.81640625" style="310" bestFit="1" customWidth="1"/>
    <col min="7682" max="7682" width="45.81640625" style="310" bestFit="1" customWidth="1"/>
    <col min="7683" max="7683" width="16" style="310" bestFit="1" customWidth="1"/>
    <col min="7684" max="7684" width="0.7265625" style="310" customWidth="1"/>
    <col min="7685" max="7685" width="21.7265625" style="310" customWidth="1"/>
    <col min="7686" max="7686" width="0.54296875" style="310" customWidth="1"/>
    <col min="7687" max="7687" width="21.81640625" style="310" customWidth="1"/>
    <col min="7688" max="7688" width="17.26953125" style="310" customWidth="1"/>
    <col min="7689" max="7689" width="9.1796875" style="310"/>
    <col min="7690" max="7690" width="17.453125" style="310" customWidth="1"/>
    <col min="7691" max="7691" width="20.7265625" style="310" customWidth="1"/>
    <col min="7692" max="7936" width="9.1796875" style="310"/>
    <col min="7937" max="7937" width="30.81640625" style="310" bestFit="1" customWidth="1"/>
    <col min="7938" max="7938" width="45.81640625" style="310" bestFit="1" customWidth="1"/>
    <col min="7939" max="7939" width="16" style="310" bestFit="1" customWidth="1"/>
    <col min="7940" max="7940" width="0.7265625" style="310" customWidth="1"/>
    <col min="7941" max="7941" width="21.7265625" style="310" customWidth="1"/>
    <col min="7942" max="7942" width="0.54296875" style="310" customWidth="1"/>
    <col min="7943" max="7943" width="21.81640625" style="310" customWidth="1"/>
    <col min="7944" max="7944" width="17.26953125" style="310" customWidth="1"/>
    <col min="7945" max="7945" width="9.1796875" style="310"/>
    <col min="7946" max="7946" width="17.453125" style="310" customWidth="1"/>
    <col min="7947" max="7947" width="20.7265625" style="310" customWidth="1"/>
    <col min="7948" max="8192" width="9.1796875" style="310"/>
    <col min="8193" max="8193" width="30.81640625" style="310" bestFit="1" customWidth="1"/>
    <col min="8194" max="8194" width="45.81640625" style="310" bestFit="1" customWidth="1"/>
    <col min="8195" max="8195" width="16" style="310" bestFit="1" customWidth="1"/>
    <col min="8196" max="8196" width="0.7265625" style="310" customWidth="1"/>
    <col min="8197" max="8197" width="21.7265625" style="310" customWidth="1"/>
    <col min="8198" max="8198" width="0.54296875" style="310" customWidth="1"/>
    <col min="8199" max="8199" width="21.81640625" style="310" customWidth="1"/>
    <col min="8200" max="8200" width="17.26953125" style="310" customWidth="1"/>
    <col min="8201" max="8201" width="9.1796875" style="310"/>
    <col min="8202" max="8202" width="17.453125" style="310" customWidth="1"/>
    <col min="8203" max="8203" width="20.7265625" style="310" customWidth="1"/>
    <col min="8204" max="8448" width="9.1796875" style="310"/>
    <col min="8449" max="8449" width="30.81640625" style="310" bestFit="1" customWidth="1"/>
    <col min="8450" max="8450" width="45.81640625" style="310" bestFit="1" customWidth="1"/>
    <col min="8451" max="8451" width="16" style="310" bestFit="1" customWidth="1"/>
    <col min="8452" max="8452" width="0.7265625" style="310" customWidth="1"/>
    <col min="8453" max="8453" width="21.7265625" style="310" customWidth="1"/>
    <col min="8454" max="8454" width="0.54296875" style="310" customWidth="1"/>
    <col min="8455" max="8455" width="21.81640625" style="310" customWidth="1"/>
    <col min="8456" max="8456" width="17.26953125" style="310" customWidth="1"/>
    <col min="8457" max="8457" width="9.1796875" style="310"/>
    <col min="8458" max="8458" width="17.453125" style="310" customWidth="1"/>
    <col min="8459" max="8459" width="20.7265625" style="310" customWidth="1"/>
    <col min="8460" max="8704" width="9.1796875" style="310"/>
    <col min="8705" max="8705" width="30.81640625" style="310" bestFit="1" customWidth="1"/>
    <col min="8706" max="8706" width="45.81640625" style="310" bestFit="1" customWidth="1"/>
    <col min="8707" max="8707" width="16" style="310" bestFit="1" customWidth="1"/>
    <col min="8708" max="8708" width="0.7265625" style="310" customWidth="1"/>
    <col min="8709" max="8709" width="21.7265625" style="310" customWidth="1"/>
    <col min="8710" max="8710" width="0.54296875" style="310" customWidth="1"/>
    <col min="8711" max="8711" width="21.81640625" style="310" customWidth="1"/>
    <col min="8712" max="8712" width="17.26953125" style="310" customWidth="1"/>
    <col min="8713" max="8713" width="9.1796875" style="310"/>
    <col min="8714" max="8714" width="17.453125" style="310" customWidth="1"/>
    <col min="8715" max="8715" width="20.7265625" style="310" customWidth="1"/>
    <col min="8716" max="8960" width="9.1796875" style="310"/>
    <col min="8961" max="8961" width="30.81640625" style="310" bestFit="1" customWidth="1"/>
    <col min="8962" max="8962" width="45.81640625" style="310" bestFit="1" customWidth="1"/>
    <col min="8963" max="8963" width="16" style="310" bestFit="1" customWidth="1"/>
    <col min="8964" max="8964" width="0.7265625" style="310" customWidth="1"/>
    <col min="8965" max="8965" width="21.7265625" style="310" customWidth="1"/>
    <col min="8966" max="8966" width="0.54296875" style="310" customWidth="1"/>
    <col min="8967" max="8967" width="21.81640625" style="310" customWidth="1"/>
    <col min="8968" max="8968" width="17.26953125" style="310" customWidth="1"/>
    <col min="8969" max="8969" width="9.1796875" style="310"/>
    <col min="8970" max="8970" width="17.453125" style="310" customWidth="1"/>
    <col min="8971" max="8971" width="20.7265625" style="310" customWidth="1"/>
    <col min="8972" max="9216" width="9.1796875" style="310"/>
    <col min="9217" max="9217" width="30.81640625" style="310" bestFit="1" customWidth="1"/>
    <col min="9218" max="9218" width="45.81640625" style="310" bestFit="1" customWidth="1"/>
    <col min="9219" max="9219" width="16" style="310" bestFit="1" customWidth="1"/>
    <col min="9220" max="9220" width="0.7265625" style="310" customWidth="1"/>
    <col min="9221" max="9221" width="21.7265625" style="310" customWidth="1"/>
    <col min="9222" max="9222" width="0.54296875" style="310" customWidth="1"/>
    <col min="9223" max="9223" width="21.81640625" style="310" customWidth="1"/>
    <col min="9224" max="9224" width="17.26953125" style="310" customWidth="1"/>
    <col min="9225" max="9225" width="9.1796875" style="310"/>
    <col min="9226" max="9226" width="17.453125" style="310" customWidth="1"/>
    <col min="9227" max="9227" width="20.7265625" style="310" customWidth="1"/>
    <col min="9228" max="9472" width="9.1796875" style="310"/>
    <col min="9473" max="9473" width="30.81640625" style="310" bestFit="1" customWidth="1"/>
    <col min="9474" max="9474" width="45.81640625" style="310" bestFit="1" customWidth="1"/>
    <col min="9475" max="9475" width="16" style="310" bestFit="1" customWidth="1"/>
    <col min="9476" max="9476" width="0.7265625" style="310" customWidth="1"/>
    <col min="9477" max="9477" width="21.7265625" style="310" customWidth="1"/>
    <col min="9478" max="9478" width="0.54296875" style="310" customWidth="1"/>
    <col min="9479" max="9479" width="21.81640625" style="310" customWidth="1"/>
    <col min="9480" max="9480" width="17.26953125" style="310" customWidth="1"/>
    <col min="9481" max="9481" width="9.1796875" style="310"/>
    <col min="9482" max="9482" width="17.453125" style="310" customWidth="1"/>
    <col min="9483" max="9483" width="20.7265625" style="310" customWidth="1"/>
    <col min="9484" max="9728" width="9.1796875" style="310"/>
    <col min="9729" max="9729" width="30.81640625" style="310" bestFit="1" customWidth="1"/>
    <col min="9730" max="9730" width="45.81640625" style="310" bestFit="1" customWidth="1"/>
    <col min="9731" max="9731" width="16" style="310" bestFit="1" customWidth="1"/>
    <col min="9732" max="9732" width="0.7265625" style="310" customWidth="1"/>
    <col min="9733" max="9733" width="21.7265625" style="310" customWidth="1"/>
    <col min="9734" max="9734" width="0.54296875" style="310" customWidth="1"/>
    <col min="9735" max="9735" width="21.81640625" style="310" customWidth="1"/>
    <col min="9736" max="9736" width="17.26953125" style="310" customWidth="1"/>
    <col min="9737" max="9737" width="9.1796875" style="310"/>
    <col min="9738" max="9738" width="17.453125" style="310" customWidth="1"/>
    <col min="9739" max="9739" width="20.7265625" style="310" customWidth="1"/>
    <col min="9740" max="9984" width="9.1796875" style="310"/>
    <col min="9985" max="9985" width="30.81640625" style="310" bestFit="1" customWidth="1"/>
    <col min="9986" max="9986" width="45.81640625" style="310" bestFit="1" customWidth="1"/>
    <col min="9987" max="9987" width="16" style="310" bestFit="1" customWidth="1"/>
    <col min="9988" max="9988" width="0.7265625" style="310" customWidth="1"/>
    <col min="9989" max="9989" width="21.7265625" style="310" customWidth="1"/>
    <col min="9990" max="9990" width="0.54296875" style="310" customWidth="1"/>
    <col min="9991" max="9991" width="21.81640625" style="310" customWidth="1"/>
    <col min="9992" max="9992" width="17.26953125" style="310" customWidth="1"/>
    <col min="9993" max="9993" width="9.1796875" style="310"/>
    <col min="9994" max="9994" width="17.453125" style="310" customWidth="1"/>
    <col min="9995" max="9995" width="20.7265625" style="310" customWidth="1"/>
    <col min="9996" max="10240" width="9.1796875" style="310"/>
    <col min="10241" max="10241" width="30.81640625" style="310" bestFit="1" customWidth="1"/>
    <col min="10242" max="10242" width="45.81640625" style="310" bestFit="1" customWidth="1"/>
    <col min="10243" max="10243" width="16" style="310" bestFit="1" customWidth="1"/>
    <col min="10244" max="10244" width="0.7265625" style="310" customWidth="1"/>
    <col min="10245" max="10245" width="21.7265625" style="310" customWidth="1"/>
    <col min="10246" max="10246" width="0.54296875" style="310" customWidth="1"/>
    <col min="10247" max="10247" width="21.81640625" style="310" customWidth="1"/>
    <col min="10248" max="10248" width="17.26953125" style="310" customWidth="1"/>
    <col min="10249" max="10249" width="9.1796875" style="310"/>
    <col min="10250" max="10250" width="17.453125" style="310" customWidth="1"/>
    <col min="10251" max="10251" width="20.7265625" style="310" customWidth="1"/>
    <col min="10252" max="10496" width="9.1796875" style="310"/>
    <col min="10497" max="10497" width="30.81640625" style="310" bestFit="1" customWidth="1"/>
    <col min="10498" max="10498" width="45.81640625" style="310" bestFit="1" customWidth="1"/>
    <col min="10499" max="10499" width="16" style="310" bestFit="1" customWidth="1"/>
    <col min="10500" max="10500" width="0.7265625" style="310" customWidth="1"/>
    <col min="10501" max="10501" width="21.7265625" style="310" customWidth="1"/>
    <col min="10502" max="10502" width="0.54296875" style="310" customWidth="1"/>
    <col min="10503" max="10503" width="21.81640625" style="310" customWidth="1"/>
    <col min="10504" max="10504" width="17.26953125" style="310" customWidth="1"/>
    <col min="10505" max="10505" width="9.1796875" style="310"/>
    <col min="10506" max="10506" width="17.453125" style="310" customWidth="1"/>
    <col min="10507" max="10507" width="20.7265625" style="310" customWidth="1"/>
    <col min="10508" max="10752" width="9.1796875" style="310"/>
    <col min="10753" max="10753" width="30.81640625" style="310" bestFit="1" customWidth="1"/>
    <col min="10754" max="10754" width="45.81640625" style="310" bestFit="1" customWidth="1"/>
    <col min="10755" max="10755" width="16" style="310" bestFit="1" customWidth="1"/>
    <col min="10756" max="10756" width="0.7265625" style="310" customWidth="1"/>
    <col min="10757" max="10757" width="21.7265625" style="310" customWidth="1"/>
    <col min="10758" max="10758" width="0.54296875" style="310" customWidth="1"/>
    <col min="10759" max="10759" width="21.81640625" style="310" customWidth="1"/>
    <col min="10760" max="10760" width="17.26953125" style="310" customWidth="1"/>
    <col min="10761" max="10761" width="9.1796875" style="310"/>
    <col min="10762" max="10762" width="17.453125" style="310" customWidth="1"/>
    <col min="10763" max="10763" width="20.7265625" style="310" customWidth="1"/>
    <col min="10764" max="11008" width="9.1796875" style="310"/>
    <col min="11009" max="11009" width="30.81640625" style="310" bestFit="1" customWidth="1"/>
    <col min="11010" max="11010" width="45.81640625" style="310" bestFit="1" customWidth="1"/>
    <col min="11011" max="11011" width="16" style="310" bestFit="1" customWidth="1"/>
    <col min="11012" max="11012" width="0.7265625" style="310" customWidth="1"/>
    <col min="11013" max="11013" width="21.7265625" style="310" customWidth="1"/>
    <col min="11014" max="11014" width="0.54296875" style="310" customWidth="1"/>
    <col min="11015" max="11015" width="21.81640625" style="310" customWidth="1"/>
    <col min="11016" max="11016" width="17.26953125" style="310" customWidth="1"/>
    <col min="11017" max="11017" width="9.1796875" style="310"/>
    <col min="11018" max="11018" width="17.453125" style="310" customWidth="1"/>
    <col min="11019" max="11019" width="20.7265625" style="310" customWidth="1"/>
    <col min="11020" max="11264" width="9.1796875" style="310"/>
    <col min="11265" max="11265" width="30.81640625" style="310" bestFit="1" customWidth="1"/>
    <col min="11266" max="11266" width="45.81640625" style="310" bestFit="1" customWidth="1"/>
    <col min="11267" max="11267" width="16" style="310" bestFit="1" customWidth="1"/>
    <col min="11268" max="11268" width="0.7265625" style="310" customWidth="1"/>
    <col min="11269" max="11269" width="21.7265625" style="310" customWidth="1"/>
    <col min="11270" max="11270" width="0.54296875" style="310" customWidth="1"/>
    <col min="11271" max="11271" width="21.81640625" style="310" customWidth="1"/>
    <col min="11272" max="11272" width="17.26953125" style="310" customWidth="1"/>
    <col min="11273" max="11273" width="9.1796875" style="310"/>
    <col min="11274" max="11274" width="17.453125" style="310" customWidth="1"/>
    <col min="11275" max="11275" width="20.7265625" style="310" customWidth="1"/>
    <col min="11276" max="11520" width="9.1796875" style="310"/>
    <col min="11521" max="11521" width="30.81640625" style="310" bestFit="1" customWidth="1"/>
    <col min="11522" max="11522" width="45.81640625" style="310" bestFit="1" customWidth="1"/>
    <col min="11523" max="11523" width="16" style="310" bestFit="1" customWidth="1"/>
    <col min="11524" max="11524" width="0.7265625" style="310" customWidth="1"/>
    <col min="11525" max="11525" width="21.7265625" style="310" customWidth="1"/>
    <col min="11526" max="11526" width="0.54296875" style="310" customWidth="1"/>
    <col min="11527" max="11527" width="21.81640625" style="310" customWidth="1"/>
    <col min="11528" max="11528" width="17.26953125" style="310" customWidth="1"/>
    <col min="11529" max="11529" width="9.1796875" style="310"/>
    <col min="11530" max="11530" width="17.453125" style="310" customWidth="1"/>
    <col min="11531" max="11531" width="20.7265625" style="310" customWidth="1"/>
    <col min="11532" max="11776" width="9.1796875" style="310"/>
    <col min="11777" max="11777" width="30.81640625" style="310" bestFit="1" customWidth="1"/>
    <col min="11778" max="11778" width="45.81640625" style="310" bestFit="1" customWidth="1"/>
    <col min="11779" max="11779" width="16" style="310" bestFit="1" customWidth="1"/>
    <col min="11780" max="11780" width="0.7265625" style="310" customWidth="1"/>
    <col min="11781" max="11781" width="21.7265625" style="310" customWidth="1"/>
    <col min="11782" max="11782" width="0.54296875" style="310" customWidth="1"/>
    <col min="11783" max="11783" width="21.81640625" style="310" customWidth="1"/>
    <col min="11784" max="11784" width="17.26953125" style="310" customWidth="1"/>
    <col min="11785" max="11785" width="9.1796875" style="310"/>
    <col min="11786" max="11786" width="17.453125" style="310" customWidth="1"/>
    <col min="11787" max="11787" width="20.7265625" style="310" customWidth="1"/>
    <col min="11788" max="12032" width="9.1796875" style="310"/>
    <col min="12033" max="12033" width="30.81640625" style="310" bestFit="1" customWidth="1"/>
    <col min="12034" max="12034" width="45.81640625" style="310" bestFit="1" customWidth="1"/>
    <col min="12035" max="12035" width="16" style="310" bestFit="1" customWidth="1"/>
    <col min="12036" max="12036" width="0.7265625" style="310" customWidth="1"/>
    <col min="12037" max="12037" width="21.7265625" style="310" customWidth="1"/>
    <col min="12038" max="12038" width="0.54296875" style="310" customWidth="1"/>
    <col min="12039" max="12039" width="21.81640625" style="310" customWidth="1"/>
    <col min="12040" max="12040" width="17.26953125" style="310" customWidth="1"/>
    <col min="12041" max="12041" width="9.1796875" style="310"/>
    <col min="12042" max="12042" width="17.453125" style="310" customWidth="1"/>
    <col min="12043" max="12043" width="20.7265625" style="310" customWidth="1"/>
    <col min="12044" max="12288" width="9.1796875" style="310"/>
    <col min="12289" max="12289" width="30.81640625" style="310" bestFit="1" customWidth="1"/>
    <col min="12290" max="12290" width="45.81640625" style="310" bestFit="1" customWidth="1"/>
    <col min="12291" max="12291" width="16" style="310" bestFit="1" customWidth="1"/>
    <col min="12292" max="12292" width="0.7265625" style="310" customWidth="1"/>
    <col min="12293" max="12293" width="21.7265625" style="310" customWidth="1"/>
    <col min="12294" max="12294" width="0.54296875" style="310" customWidth="1"/>
    <col min="12295" max="12295" width="21.81640625" style="310" customWidth="1"/>
    <col min="12296" max="12296" width="17.26953125" style="310" customWidth="1"/>
    <col min="12297" max="12297" width="9.1796875" style="310"/>
    <col min="12298" max="12298" width="17.453125" style="310" customWidth="1"/>
    <col min="12299" max="12299" width="20.7265625" style="310" customWidth="1"/>
    <col min="12300" max="12544" width="9.1796875" style="310"/>
    <col min="12545" max="12545" width="30.81640625" style="310" bestFit="1" customWidth="1"/>
    <col min="12546" max="12546" width="45.81640625" style="310" bestFit="1" customWidth="1"/>
    <col min="12547" max="12547" width="16" style="310" bestFit="1" customWidth="1"/>
    <col min="12548" max="12548" width="0.7265625" style="310" customWidth="1"/>
    <col min="12549" max="12549" width="21.7265625" style="310" customWidth="1"/>
    <col min="12550" max="12550" width="0.54296875" style="310" customWidth="1"/>
    <col min="12551" max="12551" width="21.81640625" style="310" customWidth="1"/>
    <col min="12552" max="12552" width="17.26953125" style="310" customWidth="1"/>
    <col min="12553" max="12553" width="9.1796875" style="310"/>
    <col min="12554" max="12554" width="17.453125" style="310" customWidth="1"/>
    <col min="12555" max="12555" width="20.7265625" style="310" customWidth="1"/>
    <col min="12556" max="12800" width="9.1796875" style="310"/>
    <col min="12801" max="12801" width="30.81640625" style="310" bestFit="1" customWidth="1"/>
    <col min="12802" max="12802" width="45.81640625" style="310" bestFit="1" customWidth="1"/>
    <col min="12803" max="12803" width="16" style="310" bestFit="1" customWidth="1"/>
    <col min="12804" max="12804" width="0.7265625" style="310" customWidth="1"/>
    <col min="12805" max="12805" width="21.7265625" style="310" customWidth="1"/>
    <col min="12806" max="12806" width="0.54296875" style="310" customWidth="1"/>
    <col min="12807" max="12807" width="21.81640625" style="310" customWidth="1"/>
    <col min="12808" max="12808" width="17.26953125" style="310" customWidth="1"/>
    <col min="12809" max="12809" width="9.1796875" style="310"/>
    <col min="12810" max="12810" width="17.453125" style="310" customWidth="1"/>
    <col min="12811" max="12811" width="20.7265625" style="310" customWidth="1"/>
    <col min="12812" max="13056" width="9.1796875" style="310"/>
    <col min="13057" max="13057" width="30.81640625" style="310" bestFit="1" customWidth="1"/>
    <col min="13058" max="13058" width="45.81640625" style="310" bestFit="1" customWidth="1"/>
    <col min="13059" max="13059" width="16" style="310" bestFit="1" customWidth="1"/>
    <col min="13060" max="13060" width="0.7265625" style="310" customWidth="1"/>
    <col min="13061" max="13061" width="21.7265625" style="310" customWidth="1"/>
    <col min="13062" max="13062" width="0.54296875" style="310" customWidth="1"/>
    <col min="13063" max="13063" width="21.81640625" style="310" customWidth="1"/>
    <col min="13064" max="13064" width="17.26953125" style="310" customWidth="1"/>
    <col min="13065" max="13065" width="9.1796875" style="310"/>
    <col min="13066" max="13066" width="17.453125" style="310" customWidth="1"/>
    <col min="13067" max="13067" width="20.7265625" style="310" customWidth="1"/>
    <col min="13068" max="13312" width="9.1796875" style="310"/>
    <col min="13313" max="13313" width="30.81640625" style="310" bestFit="1" customWidth="1"/>
    <col min="13314" max="13314" width="45.81640625" style="310" bestFit="1" customWidth="1"/>
    <col min="13315" max="13315" width="16" style="310" bestFit="1" customWidth="1"/>
    <col min="13316" max="13316" width="0.7265625" style="310" customWidth="1"/>
    <col min="13317" max="13317" width="21.7265625" style="310" customWidth="1"/>
    <col min="13318" max="13318" width="0.54296875" style="310" customWidth="1"/>
    <col min="13319" max="13319" width="21.81640625" style="310" customWidth="1"/>
    <col min="13320" max="13320" width="17.26953125" style="310" customWidth="1"/>
    <col min="13321" max="13321" width="9.1796875" style="310"/>
    <col min="13322" max="13322" width="17.453125" style="310" customWidth="1"/>
    <col min="13323" max="13323" width="20.7265625" style="310" customWidth="1"/>
    <col min="13324" max="13568" width="9.1796875" style="310"/>
    <col min="13569" max="13569" width="30.81640625" style="310" bestFit="1" customWidth="1"/>
    <col min="13570" max="13570" width="45.81640625" style="310" bestFit="1" customWidth="1"/>
    <col min="13571" max="13571" width="16" style="310" bestFit="1" customWidth="1"/>
    <col min="13572" max="13572" width="0.7265625" style="310" customWidth="1"/>
    <col min="13573" max="13573" width="21.7265625" style="310" customWidth="1"/>
    <col min="13574" max="13574" width="0.54296875" style="310" customWidth="1"/>
    <col min="13575" max="13575" width="21.81640625" style="310" customWidth="1"/>
    <col min="13576" max="13576" width="17.26953125" style="310" customWidth="1"/>
    <col min="13577" max="13577" width="9.1796875" style="310"/>
    <col min="13578" max="13578" width="17.453125" style="310" customWidth="1"/>
    <col min="13579" max="13579" width="20.7265625" style="310" customWidth="1"/>
    <col min="13580" max="13824" width="9.1796875" style="310"/>
    <col min="13825" max="13825" width="30.81640625" style="310" bestFit="1" customWidth="1"/>
    <col min="13826" max="13826" width="45.81640625" style="310" bestFit="1" customWidth="1"/>
    <col min="13827" max="13827" width="16" style="310" bestFit="1" customWidth="1"/>
    <col min="13828" max="13828" width="0.7265625" style="310" customWidth="1"/>
    <col min="13829" max="13829" width="21.7265625" style="310" customWidth="1"/>
    <col min="13830" max="13830" width="0.54296875" style="310" customWidth="1"/>
    <col min="13831" max="13831" width="21.81640625" style="310" customWidth="1"/>
    <col min="13832" max="13832" width="17.26953125" style="310" customWidth="1"/>
    <col min="13833" max="13833" width="9.1796875" style="310"/>
    <col min="13834" max="13834" width="17.453125" style="310" customWidth="1"/>
    <col min="13835" max="13835" width="20.7265625" style="310" customWidth="1"/>
    <col min="13836" max="14080" width="9.1796875" style="310"/>
    <col min="14081" max="14081" width="30.81640625" style="310" bestFit="1" customWidth="1"/>
    <col min="14082" max="14082" width="45.81640625" style="310" bestFit="1" customWidth="1"/>
    <col min="14083" max="14083" width="16" style="310" bestFit="1" customWidth="1"/>
    <col min="14084" max="14084" width="0.7265625" style="310" customWidth="1"/>
    <col min="14085" max="14085" width="21.7265625" style="310" customWidth="1"/>
    <col min="14086" max="14086" width="0.54296875" style="310" customWidth="1"/>
    <col min="14087" max="14087" width="21.81640625" style="310" customWidth="1"/>
    <col min="14088" max="14088" width="17.26953125" style="310" customWidth="1"/>
    <col min="14089" max="14089" width="9.1796875" style="310"/>
    <col min="14090" max="14090" width="17.453125" style="310" customWidth="1"/>
    <col min="14091" max="14091" width="20.7265625" style="310" customWidth="1"/>
    <col min="14092" max="14336" width="9.1796875" style="310"/>
    <col min="14337" max="14337" width="30.81640625" style="310" bestFit="1" customWidth="1"/>
    <col min="14338" max="14338" width="45.81640625" style="310" bestFit="1" customWidth="1"/>
    <col min="14339" max="14339" width="16" style="310" bestFit="1" customWidth="1"/>
    <col min="14340" max="14340" width="0.7265625" style="310" customWidth="1"/>
    <col min="14341" max="14341" width="21.7265625" style="310" customWidth="1"/>
    <col min="14342" max="14342" width="0.54296875" style="310" customWidth="1"/>
    <col min="14343" max="14343" width="21.81640625" style="310" customWidth="1"/>
    <col min="14344" max="14344" width="17.26953125" style="310" customWidth="1"/>
    <col min="14345" max="14345" width="9.1796875" style="310"/>
    <col min="14346" max="14346" width="17.453125" style="310" customWidth="1"/>
    <col min="14347" max="14347" width="20.7265625" style="310" customWidth="1"/>
    <col min="14348" max="14592" width="9.1796875" style="310"/>
    <col min="14593" max="14593" width="30.81640625" style="310" bestFit="1" customWidth="1"/>
    <col min="14594" max="14594" width="45.81640625" style="310" bestFit="1" customWidth="1"/>
    <col min="14595" max="14595" width="16" style="310" bestFit="1" customWidth="1"/>
    <col min="14596" max="14596" width="0.7265625" style="310" customWidth="1"/>
    <col min="14597" max="14597" width="21.7265625" style="310" customWidth="1"/>
    <col min="14598" max="14598" width="0.54296875" style="310" customWidth="1"/>
    <col min="14599" max="14599" width="21.81640625" style="310" customWidth="1"/>
    <col min="14600" max="14600" width="17.26953125" style="310" customWidth="1"/>
    <col min="14601" max="14601" width="9.1796875" style="310"/>
    <col min="14602" max="14602" width="17.453125" style="310" customWidth="1"/>
    <col min="14603" max="14603" width="20.7265625" style="310" customWidth="1"/>
    <col min="14604" max="14848" width="9.1796875" style="310"/>
    <col min="14849" max="14849" width="30.81640625" style="310" bestFit="1" customWidth="1"/>
    <col min="14850" max="14850" width="45.81640625" style="310" bestFit="1" customWidth="1"/>
    <col min="14851" max="14851" width="16" style="310" bestFit="1" customWidth="1"/>
    <col min="14852" max="14852" width="0.7265625" style="310" customWidth="1"/>
    <col min="14853" max="14853" width="21.7265625" style="310" customWidth="1"/>
    <col min="14854" max="14854" width="0.54296875" style="310" customWidth="1"/>
    <col min="14855" max="14855" width="21.81640625" style="310" customWidth="1"/>
    <col min="14856" max="14856" width="17.26953125" style="310" customWidth="1"/>
    <col min="14857" max="14857" width="9.1796875" style="310"/>
    <col min="14858" max="14858" width="17.453125" style="310" customWidth="1"/>
    <col min="14859" max="14859" width="20.7265625" style="310" customWidth="1"/>
    <col min="14860" max="15104" width="9.1796875" style="310"/>
    <col min="15105" max="15105" width="30.81640625" style="310" bestFit="1" customWidth="1"/>
    <col min="15106" max="15106" width="45.81640625" style="310" bestFit="1" customWidth="1"/>
    <col min="15107" max="15107" width="16" style="310" bestFit="1" customWidth="1"/>
    <col min="15108" max="15108" width="0.7265625" style="310" customWidth="1"/>
    <col min="15109" max="15109" width="21.7265625" style="310" customWidth="1"/>
    <col min="15110" max="15110" width="0.54296875" style="310" customWidth="1"/>
    <col min="15111" max="15111" width="21.81640625" style="310" customWidth="1"/>
    <col min="15112" max="15112" width="17.26953125" style="310" customWidth="1"/>
    <col min="15113" max="15113" width="9.1796875" style="310"/>
    <col min="15114" max="15114" width="17.453125" style="310" customWidth="1"/>
    <col min="15115" max="15115" width="20.7265625" style="310" customWidth="1"/>
    <col min="15116" max="15360" width="9.1796875" style="310"/>
    <col min="15361" max="15361" width="30.81640625" style="310" bestFit="1" customWidth="1"/>
    <col min="15362" max="15362" width="45.81640625" style="310" bestFit="1" customWidth="1"/>
    <col min="15363" max="15363" width="16" style="310" bestFit="1" customWidth="1"/>
    <col min="15364" max="15364" width="0.7265625" style="310" customWidth="1"/>
    <col min="15365" max="15365" width="21.7265625" style="310" customWidth="1"/>
    <col min="15366" max="15366" width="0.54296875" style="310" customWidth="1"/>
    <col min="15367" max="15367" width="21.81640625" style="310" customWidth="1"/>
    <col min="15368" max="15368" width="17.26953125" style="310" customWidth="1"/>
    <col min="15369" max="15369" width="9.1796875" style="310"/>
    <col min="15370" max="15370" width="17.453125" style="310" customWidth="1"/>
    <col min="15371" max="15371" width="20.7265625" style="310" customWidth="1"/>
    <col min="15372" max="15616" width="9.1796875" style="310"/>
    <col min="15617" max="15617" width="30.81640625" style="310" bestFit="1" customWidth="1"/>
    <col min="15618" max="15618" width="45.81640625" style="310" bestFit="1" customWidth="1"/>
    <col min="15619" max="15619" width="16" style="310" bestFit="1" customWidth="1"/>
    <col min="15620" max="15620" width="0.7265625" style="310" customWidth="1"/>
    <col min="15621" max="15621" width="21.7265625" style="310" customWidth="1"/>
    <col min="15622" max="15622" width="0.54296875" style="310" customWidth="1"/>
    <col min="15623" max="15623" width="21.81640625" style="310" customWidth="1"/>
    <col min="15624" max="15624" width="17.26953125" style="310" customWidth="1"/>
    <col min="15625" max="15625" width="9.1796875" style="310"/>
    <col min="15626" max="15626" width="17.453125" style="310" customWidth="1"/>
    <col min="15627" max="15627" width="20.7265625" style="310" customWidth="1"/>
    <col min="15628" max="15872" width="9.1796875" style="310"/>
    <col min="15873" max="15873" width="30.81640625" style="310" bestFit="1" customWidth="1"/>
    <col min="15874" max="15874" width="45.81640625" style="310" bestFit="1" customWidth="1"/>
    <col min="15875" max="15875" width="16" style="310" bestFit="1" customWidth="1"/>
    <col min="15876" max="15876" width="0.7265625" style="310" customWidth="1"/>
    <col min="15877" max="15877" width="21.7265625" style="310" customWidth="1"/>
    <col min="15878" max="15878" width="0.54296875" style="310" customWidth="1"/>
    <col min="15879" max="15879" width="21.81640625" style="310" customWidth="1"/>
    <col min="15880" max="15880" width="17.26953125" style="310" customWidth="1"/>
    <col min="15881" max="15881" width="9.1796875" style="310"/>
    <col min="15882" max="15882" width="17.453125" style="310" customWidth="1"/>
    <col min="15883" max="15883" width="20.7265625" style="310" customWidth="1"/>
    <col min="15884" max="16128" width="9.1796875" style="310"/>
    <col min="16129" max="16129" width="30.81640625" style="310" bestFit="1" customWidth="1"/>
    <col min="16130" max="16130" width="45.81640625" style="310" bestFit="1" customWidth="1"/>
    <col min="16131" max="16131" width="16" style="310" bestFit="1" customWidth="1"/>
    <col min="16132" max="16132" width="0.7265625" style="310" customWidth="1"/>
    <col min="16133" max="16133" width="21.7265625" style="310" customWidth="1"/>
    <col min="16134" max="16134" width="0.54296875" style="310" customWidth="1"/>
    <col min="16135" max="16135" width="21.81640625" style="310" customWidth="1"/>
    <col min="16136" max="16136" width="17.26953125" style="310" customWidth="1"/>
    <col min="16137" max="16137" width="9.1796875" style="310"/>
    <col min="16138" max="16138" width="17.453125" style="310" customWidth="1"/>
    <col min="16139" max="16139" width="20.7265625" style="310" customWidth="1"/>
    <col min="16140" max="16384" width="9.1796875" style="310"/>
  </cols>
  <sheetData>
    <row r="1" spans="1:11">
      <c r="A1" s="309" t="s">
        <v>479</v>
      </c>
    </row>
    <row r="2" spans="1:11">
      <c r="A2" s="309" t="s">
        <v>480</v>
      </c>
    </row>
    <row r="4" spans="1:11">
      <c r="B4" s="312"/>
      <c r="E4" s="313" t="s">
        <v>481</v>
      </c>
      <c r="F4" s="313"/>
      <c r="G4" s="313" t="s">
        <v>481</v>
      </c>
    </row>
    <row r="5" spans="1:11">
      <c r="A5" s="309" t="s">
        <v>482</v>
      </c>
      <c r="B5" s="309" t="s">
        <v>483</v>
      </c>
      <c r="C5" s="314" t="s">
        <v>484</v>
      </c>
      <c r="E5" s="313" t="s">
        <v>115</v>
      </c>
      <c r="F5" s="313"/>
      <c r="G5" s="313" t="s">
        <v>116</v>
      </c>
      <c r="H5" s="313" t="s">
        <v>328</v>
      </c>
    </row>
    <row r="6" spans="1:11">
      <c r="B6" s="315">
        <v>-3661.2399999350309</v>
      </c>
      <c r="C6" s="316"/>
      <c r="J6" s="324">
        <f>H7-111865189.8</f>
        <v>0</v>
      </c>
    </row>
    <row r="7" spans="1:11">
      <c r="A7" s="317">
        <v>1</v>
      </c>
      <c r="B7" s="317" t="s">
        <v>485</v>
      </c>
      <c r="C7" s="318">
        <f>C8+C65+C70+C73+C77+C87+C92+C105+C112+C115+C138+C149+C157</f>
        <v>112969159.10999997</v>
      </c>
      <c r="D7" s="319"/>
      <c r="E7" s="318">
        <f>E8+E65+E70+E73+E77+E87+E92+E105+E112+E115+E138+E149+E157</f>
        <v>66867.290000000095</v>
      </c>
      <c r="F7" s="319"/>
      <c r="G7" s="318">
        <f>G8+G65+G70+G73+G77+G87+G92+G105+G112+G115+G138+G149+G157</f>
        <v>1170836.6000000015</v>
      </c>
      <c r="H7" s="320">
        <f>C7+E7-G7</f>
        <v>111865189.79999998</v>
      </c>
      <c r="J7" s="324">
        <f>G7-E7</f>
        <v>1103969.3100000015</v>
      </c>
    </row>
    <row r="8" spans="1:11">
      <c r="A8" s="321" t="s">
        <v>486</v>
      </c>
      <c r="B8" s="321" t="s">
        <v>487</v>
      </c>
      <c r="C8" s="322">
        <f>C9+C23+C35+C54+C57+C60</f>
        <v>11409683.819999998</v>
      </c>
      <c r="D8" s="323"/>
      <c r="E8" s="322">
        <f>E9+E23+E35+E54+E57+E60</f>
        <v>42505.350000000093</v>
      </c>
      <c r="F8" s="323"/>
      <c r="G8" s="322">
        <f>G9+G23+G35+G54+G57+G60</f>
        <v>515347.45000000153</v>
      </c>
      <c r="H8" s="324">
        <f t="shared" ref="H8:H71" si="0">C8+E8-G8</f>
        <v>10936841.719999997</v>
      </c>
    </row>
    <row r="9" spans="1:11">
      <c r="A9" s="325" t="s">
        <v>488</v>
      </c>
      <c r="B9" s="325" t="s">
        <v>489</v>
      </c>
      <c r="C9" s="326">
        <f>SUM(C10:C22)</f>
        <v>41230.9</v>
      </c>
      <c r="D9" s="327"/>
      <c r="E9" s="326">
        <f>SUM(E10:E22)</f>
        <v>0</v>
      </c>
      <c r="F9" s="327"/>
      <c r="G9" s="326">
        <f>SUM(G10:G22)</f>
        <v>0</v>
      </c>
      <c r="H9" s="328">
        <f t="shared" si="0"/>
        <v>41230.9</v>
      </c>
      <c r="J9" s="322">
        <v>41230.9</v>
      </c>
    </row>
    <row r="10" spans="1:11">
      <c r="A10" s="329" t="s">
        <v>490</v>
      </c>
      <c r="B10" s="329" t="s">
        <v>491</v>
      </c>
      <c r="C10" s="330">
        <v>5941.0000000000018</v>
      </c>
      <c r="D10" s="331"/>
      <c r="E10" s="331"/>
      <c r="F10" s="331"/>
      <c r="G10" s="331"/>
      <c r="H10" s="332">
        <f t="shared" si="0"/>
        <v>5941.0000000000018</v>
      </c>
      <c r="K10" s="312">
        <f>SUM(H10:H22)+SUM(H24:H34)+SUM(H36:H53)+SUM(H55:H56)+SUM(H58:H59)+SUM(H61:H64)+SUM(H67:H69)</f>
        <v>11025842.159999998</v>
      </c>
    </row>
    <row r="11" spans="1:11">
      <c r="A11" s="329" t="s">
        <v>492</v>
      </c>
      <c r="B11" s="329" t="s">
        <v>493</v>
      </c>
      <c r="C11" s="330">
        <v>20</v>
      </c>
      <c r="D11" s="331"/>
      <c r="E11" s="331"/>
      <c r="F11" s="331"/>
      <c r="G11" s="331"/>
      <c r="H11" s="332">
        <f t="shared" si="0"/>
        <v>20</v>
      </c>
      <c r="J11" s="333">
        <v>-1209137.6220000237</v>
      </c>
    </row>
    <row r="12" spans="1:11">
      <c r="A12" s="329" t="s">
        <v>494</v>
      </c>
      <c r="B12" s="329" t="s">
        <v>495</v>
      </c>
      <c r="C12" s="330">
        <v>1500</v>
      </c>
      <c r="D12" s="331"/>
      <c r="E12" s="331"/>
      <c r="F12" s="331"/>
      <c r="G12" s="331"/>
      <c r="H12" s="332">
        <f t="shared" si="0"/>
        <v>1500</v>
      </c>
    </row>
    <row r="13" spans="1:11">
      <c r="A13" s="329" t="s">
        <v>496</v>
      </c>
      <c r="B13" s="329" t="s">
        <v>497</v>
      </c>
      <c r="C13" s="330">
        <v>2757</v>
      </c>
      <c r="D13" s="331"/>
      <c r="E13" s="331"/>
      <c r="F13" s="331"/>
      <c r="G13" s="331"/>
      <c r="H13" s="332">
        <f t="shared" si="0"/>
        <v>2757</v>
      </c>
    </row>
    <row r="14" spans="1:11">
      <c r="A14" s="329" t="s">
        <v>498</v>
      </c>
      <c r="B14" s="329" t="s">
        <v>499</v>
      </c>
      <c r="C14" s="330">
        <v>2220</v>
      </c>
      <c r="D14" s="331"/>
      <c r="E14" s="331"/>
      <c r="F14" s="331"/>
      <c r="G14" s="331"/>
      <c r="H14" s="332">
        <f t="shared" si="0"/>
        <v>2220</v>
      </c>
    </row>
    <row r="15" spans="1:11">
      <c r="A15" s="329" t="s">
        <v>500</v>
      </c>
      <c r="B15" s="329" t="s">
        <v>501</v>
      </c>
      <c r="C15" s="330">
        <v>1499.9999999999995</v>
      </c>
      <c r="D15" s="331"/>
      <c r="E15" s="331"/>
      <c r="F15" s="331"/>
      <c r="G15" s="331"/>
      <c r="H15" s="332">
        <f t="shared" si="0"/>
        <v>1499.9999999999995</v>
      </c>
    </row>
    <row r="16" spans="1:11">
      <c r="A16" s="329" t="s">
        <v>502</v>
      </c>
      <c r="B16" s="329" t="s">
        <v>503</v>
      </c>
      <c r="C16" s="330">
        <v>2994.9999999999995</v>
      </c>
      <c r="D16" s="331"/>
      <c r="E16" s="331"/>
      <c r="F16" s="331"/>
      <c r="G16" s="331"/>
      <c r="H16" s="332">
        <f t="shared" si="0"/>
        <v>2994.9999999999995</v>
      </c>
      <c r="J16" s="324">
        <f>H8+H65</f>
        <v>11025842.16</v>
      </c>
    </row>
    <row r="17" spans="1:8">
      <c r="A17" s="329" t="s">
        <v>504</v>
      </c>
      <c r="B17" s="329" t="s">
        <v>505</v>
      </c>
      <c r="C17" s="330">
        <v>4500</v>
      </c>
      <c r="D17" s="331"/>
      <c r="E17" s="331"/>
      <c r="F17" s="331"/>
      <c r="G17" s="331"/>
      <c r="H17" s="332">
        <f t="shared" si="0"/>
        <v>4500</v>
      </c>
    </row>
    <row r="18" spans="1:8">
      <c r="A18" s="329" t="s">
        <v>506</v>
      </c>
      <c r="B18" s="329" t="s">
        <v>507</v>
      </c>
      <c r="C18" s="330">
        <v>3000</v>
      </c>
      <c r="D18" s="331"/>
      <c r="E18" s="331"/>
      <c r="F18" s="331"/>
      <c r="G18" s="331"/>
      <c r="H18" s="332">
        <f t="shared" si="0"/>
        <v>3000</v>
      </c>
    </row>
    <row r="19" spans="1:8">
      <c r="A19" s="329" t="s">
        <v>508</v>
      </c>
      <c r="B19" s="329" t="s">
        <v>509</v>
      </c>
      <c r="C19" s="330">
        <v>1500</v>
      </c>
      <c r="D19" s="331"/>
      <c r="E19" s="331"/>
      <c r="F19" s="331"/>
      <c r="G19" s="331"/>
      <c r="H19" s="332">
        <f t="shared" si="0"/>
        <v>1500</v>
      </c>
    </row>
    <row r="20" spans="1:8">
      <c r="A20" s="329" t="s">
        <v>510</v>
      </c>
      <c r="B20" s="329" t="s">
        <v>511</v>
      </c>
      <c r="C20" s="330">
        <v>5724.8</v>
      </c>
      <c r="D20" s="331"/>
      <c r="E20" s="331"/>
      <c r="F20" s="331"/>
      <c r="G20" s="331"/>
      <c r="H20" s="332">
        <f t="shared" si="0"/>
        <v>5724.8</v>
      </c>
    </row>
    <row r="21" spans="1:8">
      <c r="A21" s="329" t="s">
        <v>512</v>
      </c>
      <c r="B21" s="329" t="s">
        <v>513</v>
      </c>
      <c r="C21" s="330">
        <v>1500</v>
      </c>
      <c r="D21" s="331"/>
      <c r="E21" s="331"/>
      <c r="F21" s="331"/>
      <c r="G21" s="331"/>
      <c r="H21" s="332">
        <f t="shared" si="0"/>
        <v>1500</v>
      </c>
    </row>
    <row r="22" spans="1:8">
      <c r="A22" s="329" t="s">
        <v>514</v>
      </c>
      <c r="B22" s="329" t="s">
        <v>515</v>
      </c>
      <c r="C22" s="330">
        <v>8073.1000000000013</v>
      </c>
      <c r="D22" s="331"/>
      <c r="E22" s="331"/>
      <c r="F22" s="331"/>
      <c r="G22" s="331"/>
      <c r="H22" s="332">
        <f t="shared" si="0"/>
        <v>8073.1000000000013</v>
      </c>
    </row>
    <row r="23" spans="1:8">
      <c r="A23" s="325" t="s">
        <v>516</v>
      </c>
      <c r="B23" s="325" t="s">
        <v>517</v>
      </c>
      <c r="C23" s="326">
        <f>SUM(C24:C34)</f>
        <v>787348.9399999961</v>
      </c>
      <c r="D23" s="327"/>
      <c r="E23" s="326">
        <f>SUM(E24:E34)</f>
        <v>0</v>
      </c>
      <c r="F23" s="327"/>
      <c r="G23" s="326">
        <f>SUM(G24:G34)</f>
        <v>0</v>
      </c>
      <c r="H23" s="328">
        <f t="shared" si="0"/>
        <v>787348.9399999961</v>
      </c>
    </row>
    <row r="24" spans="1:8">
      <c r="A24" s="329" t="s">
        <v>518</v>
      </c>
      <c r="B24" s="329" t="s">
        <v>519</v>
      </c>
      <c r="C24" s="330">
        <v>45023.150000000373</v>
      </c>
      <c r="D24" s="331"/>
      <c r="E24" s="331"/>
      <c r="F24" s="331"/>
      <c r="G24" s="331"/>
      <c r="H24" s="332">
        <f t="shared" si="0"/>
        <v>45023.150000000373</v>
      </c>
    </row>
    <row r="25" spans="1:8">
      <c r="A25" s="329" t="s">
        <v>520</v>
      </c>
      <c r="B25" s="329" t="s">
        <v>521</v>
      </c>
      <c r="C25" s="330">
        <v>78902.739999996964</v>
      </c>
      <c r="D25" s="331"/>
      <c r="E25" s="331"/>
      <c r="F25" s="331"/>
      <c r="G25" s="331"/>
      <c r="H25" s="332">
        <f t="shared" si="0"/>
        <v>78902.739999996964</v>
      </c>
    </row>
    <row r="26" spans="1:8">
      <c r="A26" s="329" t="s">
        <v>522</v>
      </c>
      <c r="B26" s="329" t="s">
        <v>523</v>
      </c>
      <c r="C26" s="330">
        <v>146148.30000000028</v>
      </c>
      <c r="D26" s="331"/>
      <c r="E26" s="331"/>
      <c r="F26" s="331"/>
      <c r="G26" s="331"/>
      <c r="H26" s="332">
        <f t="shared" si="0"/>
        <v>146148.30000000028</v>
      </c>
    </row>
    <row r="27" spans="1:8">
      <c r="A27" s="329" t="s">
        <v>524</v>
      </c>
      <c r="B27" s="329" t="s">
        <v>525</v>
      </c>
      <c r="C27" s="330">
        <v>57918.419999999925</v>
      </c>
      <c r="D27" s="331"/>
      <c r="E27" s="331"/>
      <c r="F27" s="331"/>
      <c r="G27" s="331"/>
      <c r="H27" s="332">
        <f t="shared" si="0"/>
        <v>57918.419999999925</v>
      </c>
    </row>
    <row r="28" spans="1:8">
      <c r="A28" s="329" t="s">
        <v>526</v>
      </c>
      <c r="B28" s="329" t="s">
        <v>527</v>
      </c>
      <c r="C28" s="330">
        <v>80276.600000000093</v>
      </c>
      <c r="D28" s="331"/>
      <c r="E28" s="331"/>
      <c r="F28" s="331"/>
      <c r="G28" s="331"/>
      <c r="H28" s="332">
        <f t="shared" si="0"/>
        <v>80276.600000000093</v>
      </c>
    </row>
    <row r="29" spans="1:8">
      <c r="A29" s="329" t="s">
        <v>528</v>
      </c>
      <c r="B29" s="329" t="s">
        <v>529</v>
      </c>
      <c r="C29" s="330">
        <v>46845.699999998324</v>
      </c>
      <c r="D29" s="331"/>
      <c r="E29" s="331"/>
      <c r="F29" s="331"/>
      <c r="G29" s="331"/>
      <c r="H29" s="332">
        <f t="shared" si="0"/>
        <v>46845.699999998324</v>
      </c>
    </row>
    <row r="30" spans="1:8">
      <c r="A30" s="329" t="s">
        <v>530</v>
      </c>
      <c r="B30" s="329" t="s">
        <v>531</v>
      </c>
      <c r="C30" s="330">
        <v>100446.00000000047</v>
      </c>
      <c r="D30" s="331"/>
      <c r="E30" s="331"/>
      <c r="F30" s="331"/>
      <c r="G30" s="331"/>
      <c r="H30" s="332">
        <f t="shared" si="0"/>
        <v>100446.00000000047</v>
      </c>
    </row>
    <row r="31" spans="1:8">
      <c r="A31" s="329" t="s">
        <v>532</v>
      </c>
      <c r="B31" s="329" t="s">
        <v>533</v>
      </c>
      <c r="C31" s="330">
        <v>74015.449999999721</v>
      </c>
      <c r="D31" s="331"/>
      <c r="E31" s="331"/>
      <c r="F31" s="331"/>
      <c r="G31" s="331"/>
      <c r="H31" s="332">
        <f t="shared" si="0"/>
        <v>74015.449999999721</v>
      </c>
    </row>
    <row r="32" spans="1:8">
      <c r="A32" s="329" t="s">
        <v>534</v>
      </c>
      <c r="B32" s="329" t="s">
        <v>535</v>
      </c>
      <c r="C32" s="330">
        <v>41494.080000000075</v>
      </c>
      <c r="D32" s="331"/>
      <c r="E32" s="331"/>
      <c r="F32" s="331"/>
      <c r="G32" s="331"/>
      <c r="H32" s="332">
        <f t="shared" si="0"/>
        <v>41494.080000000075</v>
      </c>
    </row>
    <row r="33" spans="1:8">
      <c r="A33" s="329" t="s">
        <v>536</v>
      </c>
      <c r="B33" s="329" t="s">
        <v>537</v>
      </c>
      <c r="C33" s="330">
        <v>64248.29999999993</v>
      </c>
      <c r="D33" s="331"/>
      <c r="E33" s="331"/>
      <c r="F33" s="331"/>
      <c r="G33" s="331"/>
      <c r="H33" s="332">
        <f t="shared" si="0"/>
        <v>64248.29999999993</v>
      </c>
    </row>
    <row r="34" spans="1:8">
      <c r="A34" s="329" t="s">
        <v>538</v>
      </c>
      <c r="B34" s="329" t="s">
        <v>539</v>
      </c>
      <c r="C34" s="330">
        <v>52030.199999999953</v>
      </c>
      <c r="D34" s="331"/>
      <c r="E34" s="331"/>
      <c r="F34" s="331"/>
      <c r="G34" s="331"/>
      <c r="H34" s="332">
        <f t="shared" si="0"/>
        <v>52030.199999999953</v>
      </c>
    </row>
    <row r="35" spans="1:8">
      <c r="A35" s="334" t="s">
        <v>540</v>
      </c>
      <c r="B35" s="334" t="s">
        <v>541</v>
      </c>
      <c r="C35" s="335">
        <f>SUM(C36:C53)</f>
        <v>2562382.6600000011</v>
      </c>
      <c r="D35" s="336"/>
      <c r="E35" s="335">
        <f>SUM(E36:E53)</f>
        <v>7406</v>
      </c>
      <c r="F35" s="336"/>
      <c r="G35" s="335">
        <f>SUM(G36:G53)</f>
        <v>515347.45000000153</v>
      </c>
      <c r="H35" s="337">
        <f t="shared" si="0"/>
        <v>2054441.2099999995</v>
      </c>
    </row>
    <row r="36" spans="1:8">
      <c r="A36" s="329" t="s">
        <v>542</v>
      </c>
      <c r="B36" s="329" t="s">
        <v>543</v>
      </c>
      <c r="C36" s="330">
        <v>0</v>
      </c>
      <c r="D36" s="331"/>
      <c r="E36" s="331"/>
      <c r="F36" s="331"/>
      <c r="G36" s="331"/>
      <c r="H36" s="332">
        <f t="shared" si="0"/>
        <v>0</v>
      </c>
    </row>
    <row r="37" spans="1:8">
      <c r="A37" s="329" t="s">
        <v>544</v>
      </c>
      <c r="B37" s="329" t="s">
        <v>545</v>
      </c>
      <c r="C37" s="330">
        <v>-458.16999999960535</v>
      </c>
      <c r="D37" s="331"/>
      <c r="E37" s="331"/>
      <c r="F37" s="331"/>
      <c r="G37" s="331"/>
      <c r="H37" s="332">
        <f t="shared" si="0"/>
        <v>-458.16999999960535</v>
      </c>
    </row>
    <row r="38" spans="1:8">
      <c r="A38" s="329" t="s">
        <v>546</v>
      </c>
      <c r="B38" s="329" t="s">
        <v>547</v>
      </c>
      <c r="C38" s="330">
        <v>478959.77999999677</v>
      </c>
      <c r="D38" s="331"/>
      <c r="E38" s="331"/>
      <c r="F38" s="331"/>
      <c r="G38" s="351">
        <v>106400</v>
      </c>
      <c r="H38" s="332">
        <f t="shared" si="0"/>
        <v>372559.77999999677</v>
      </c>
    </row>
    <row r="39" spans="1:8">
      <c r="A39" s="329" t="s">
        <v>548</v>
      </c>
      <c r="B39" s="329" t="s">
        <v>549</v>
      </c>
      <c r="C39" s="330">
        <v>-31058.92</v>
      </c>
      <c r="D39" s="331"/>
      <c r="E39" s="331"/>
      <c r="F39" s="331"/>
      <c r="G39" s="351">
        <v>43422</v>
      </c>
      <c r="H39" s="332">
        <f t="shared" si="0"/>
        <v>-74480.92</v>
      </c>
    </row>
    <row r="40" spans="1:8">
      <c r="A40" s="329" t="s">
        <v>550</v>
      </c>
      <c r="B40" s="329" t="s">
        <v>551</v>
      </c>
      <c r="C40" s="330">
        <v>293685.62999999983</v>
      </c>
      <c r="D40" s="331"/>
      <c r="E40" s="351">
        <v>7406</v>
      </c>
      <c r="F40" s="331"/>
      <c r="G40" s="351">
        <v>182297.36</v>
      </c>
      <c r="H40" s="332">
        <f t="shared" si="0"/>
        <v>118794.26999999984</v>
      </c>
    </row>
    <row r="41" spans="1:8">
      <c r="A41" s="329" t="s">
        <v>552</v>
      </c>
      <c r="B41" s="329" t="s">
        <v>553</v>
      </c>
      <c r="C41" s="330">
        <v>0</v>
      </c>
      <c r="D41" s="331"/>
      <c r="E41" s="331"/>
      <c r="F41" s="331"/>
      <c r="G41" s="331"/>
      <c r="H41" s="332">
        <f t="shared" si="0"/>
        <v>0</v>
      </c>
    </row>
    <row r="42" spans="1:8">
      <c r="A42" s="329" t="s">
        <v>554</v>
      </c>
      <c r="B42" s="329" t="s">
        <v>555</v>
      </c>
      <c r="C42" s="330">
        <v>29998.490000001548</v>
      </c>
      <c r="D42" s="331"/>
      <c r="E42" s="331"/>
      <c r="F42" s="331"/>
      <c r="G42" s="330">
        <v>29998.490000001548</v>
      </c>
      <c r="H42" s="332">
        <f t="shared" si="0"/>
        <v>0</v>
      </c>
    </row>
    <row r="43" spans="1:8">
      <c r="A43" s="329" t="s">
        <v>556</v>
      </c>
      <c r="B43" s="329" t="s">
        <v>557</v>
      </c>
      <c r="C43" s="330">
        <v>45193.599999999962</v>
      </c>
      <c r="D43" s="331"/>
      <c r="E43" s="331"/>
      <c r="F43" s="331"/>
      <c r="G43" s="351">
        <v>45193.599999999999</v>
      </c>
      <c r="H43" s="332">
        <f t="shared" si="0"/>
        <v>0</v>
      </c>
    </row>
    <row r="44" spans="1:8">
      <c r="A44" s="329" t="s">
        <v>558</v>
      </c>
      <c r="B44" s="329" t="s">
        <v>559</v>
      </c>
      <c r="C44" s="330">
        <v>322215.43999999994</v>
      </c>
      <c r="D44" s="331"/>
      <c r="E44" s="331"/>
      <c r="F44" s="331"/>
      <c r="G44" s="331">
        <v>236</v>
      </c>
      <c r="H44" s="332">
        <f t="shared" si="0"/>
        <v>321979.43999999994</v>
      </c>
    </row>
    <row r="45" spans="1:8">
      <c r="A45" s="329" t="s">
        <v>560</v>
      </c>
      <c r="B45" s="329" t="s">
        <v>561</v>
      </c>
      <c r="C45" s="330">
        <v>107800.00000000007</v>
      </c>
      <c r="D45" s="331"/>
      <c r="E45" s="331"/>
      <c r="F45" s="331"/>
      <c r="G45" s="351">
        <v>107800</v>
      </c>
      <c r="H45" s="332">
        <f t="shared" si="0"/>
        <v>0</v>
      </c>
    </row>
    <row r="46" spans="1:8">
      <c r="A46" s="329" t="s">
        <v>562</v>
      </c>
      <c r="B46" s="329" t="s">
        <v>563</v>
      </c>
      <c r="C46" s="330">
        <v>1.8334844753553625E-10</v>
      </c>
      <c r="D46" s="331"/>
      <c r="E46" s="331"/>
      <c r="F46" s="331"/>
      <c r="G46" s="331"/>
      <c r="H46" s="332">
        <f t="shared" si="0"/>
        <v>1.8334844753553625E-10</v>
      </c>
    </row>
    <row r="47" spans="1:8">
      <c r="A47" s="329" t="s">
        <v>564</v>
      </c>
      <c r="B47" s="329" t="s">
        <v>565</v>
      </c>
      <c r="C47" s="330">
        <v>239529.91000000003</v>
      </c>
      <c r="D47" s="331"/>
      <c r="E47" s="331"/>
      <c r="F47" s="331"/>
      <c r="G47" s="331"/>
      <c r="H47" s="332">
        <f t="shared" si="0"/>
        <v>239529.91000000003</v>
      </c>
    </row>
    <row r="48" spans="1:8">
      <c r="A48" s="329" t="s">
        <v>566</v>
      </c>
      <c r="B48" s="329" t="s">
        <v>567</v>
      </c>
      <c r="C48" s="330">
        <v>0</v>
      </c>
      <c r="D48" s="331"/>
      <c r="E48" s="331"/>
      <c r="F48" s="331"/>
      <c r="G48" s="331"/>
      <c r="H48" s="332">
        <f t="shared" si="0"/>
        <v>0</v>
      </c>
    </row>
    <row r="49" spans="1:8">
      <c r="A49" s="329" t="s">
        <v>568</v>
      </c>
      <c r="B49" s="329" t="s">
        <v>569</v>
      </c>
      <c r="C49" s="330">
        <v>165100.09000000014</v>
      </c>
      <c r="D49" s="331"/>
      <c r="E49" s="331"/>
      <c r="F49" s="331"/>
      <c r="G49" s="331"/>
      <c r="H49" s="332">
        <f t="shared" si="0"/>
        <v>165100.09000000014</v>
      </c>
    </row>
    <row r="50" spans="1:8">
      <c r="A50" s="329" t="s">
        <v>570</v>
      </c>
      <c r="B50" s="329" t="s">
        <v>571</v>
      </c>
      <c r="C50" s="330">
        <v>0</v>
      </c>
      <c r="D50" s="331"/>
      <c r="E50" s="331"/>
      <c r="F50" s="331"/>
      <c r="G50" s="331"/>
      <c r="H50" s="332">
        <f t="shared" si="0"/>
        <v>0</v>
      </c>
    </row>
    <row r="51" spans="1:8">
      <c r="A51" s="329" t="s">
        <v>572</v>
      </c>
      <c r="B51" s="329" t="s">
        <v>573</v>
      </c>
      <c r="C51" s="330">
        <v>0</v>
      </c>
      <c r="D51" s="331"/>
      <c r="E51" s="331"/>
      <c r="F51" s="331"/>
      <c r="G51" s="331"/>
      <c r="H51" s="332">
        <f t="shared" si="0"/>
        <v>0</v>
      </c>
    </row>
    <row r="52" spans="1:8">
      <c r="A52" s="329" t="s">
        <v>574</v>
      </c>
      <c r="B52" s="329" t="s">
        <v>575</v>
      </c>
      <c r="C52" s="330">
        <v>911416.81000000192</v>
      </c>
      <c r="D52" s="331"/>
      <c r="E52" s="331"/>
      <c r="F52" s="331"/>
      <c r="G52" s="331"/>
      <c r="H52" s="332">
        <f t="shared" si="0"/>
        <v>911416.81000000192</v>
      </c>
    </row>
    <row r="53" spans="1:8">
      <c r="A53" s="329" t="s">
        <v>576</v>
      </c>
      <c r="B53" s="329" t="s">
        <v>577</v>
      </c>
      <c r="C53" s="330">
        <v>0</v>
      </c>
      <c r="D53" s="331"/>
      <c r="E53" s="331"/>
      <c r="F53" s="331"/>
      <c r="G53" s="331"/>
      <c r="H53" s="332">
        <f t="shared" si="0"/>
        <v>0</v>
      </c>
    </row>
    <row r="54" spans="1:8">
      <c r="A54" s="334" t="s">
        <v>578</v>
      </c>
      <c r="B54" s="334" t="s">
        <v>579</v>
      </c>
      <c r="C54" s="335">
        <f>SUM(C55:C56)</f>
        <v>4409615.9199999971</v>
      </c>
      <c r="D54" s="336"/>
      <c r="E54" s="335">
        <f>SUM(E55:E56)</f>
        <v>0</v>
      </c>
      <c r="F54" s="336"/>
      <c r="G54" s="335">
        <f>SUM(G55:G56)</f>
        <v>0</v>
      </c>
      <c r="H54" s="337">
        <f t="shared" si="0"/>
        <v>4409615.9199999971</v>
      </c>
    </row>
    <row r="55" spans="1:8">
      <c r="A55" s="329" t="s">
        <v>580</v>
      </c>
      <c r="B55" s="329" t="s">
        <v>581</v>
      </c>
      <c r="C55" s="330">
        <v>4234598.9299999969</v>
      </c>
      <c r="D55" s="331"/>
      <c r="E55" s="331"/>
      <c r="F55" s="331"/>
      <c r="G55" s="331"/>
      <c r="H55" s="332">
        <f t="shared" si="0"/>
        <v>4234598.9299999969</v>
      </c>
    </row>
    <row r="56" spans="1:8">
      <c r="A56" s="329" t="s">
        <v>582</v>
      </c>
      <c r="B56" s="329" t="s">
        <v>583</v>
      </c>
      <c r="C56" s="330">
        <v>175016.9899999999</v>
      </c>
      <c r="D56" s="331"/>
      <c r="E56" s="331"/>
      <c r="F56" s="331"/>
      <c r="G56" s="331"/>
      <c r="H56" s="332">
        <f t="shared" si="0"/>
        <v>175016.9899999999</v>
      </c>
    </row>
    <row r="57" spans="1:8">
      <c r="A57" s="334" t="s">
        <v>584</v>
      </c>
      <c r="B57" s="334" t="s">
        <v>585</v>
      </c>
      <c r="C57" s="335">
        <f>SUM(C58:C59)</f>
        <v>3410711.06</v>
      </c>
      <c r="D57" s="336"/>
      <c r="E57" s="335">
        <f>SUM(E58:E59)</f>
        <v>35099.350000000093</v>
      </c>
      <c r="F57" s="336"/>
      <c r="G57" s="335">
        <f>SUM(G58:G59)</f>
        <v>0</v>
      </c>
      <c r="H57" s="337">
        <f t="shared" si="0"/>
        <v>3445810.41</v>
      </c>
    </row>
    <row r="58" spans="1:8">
      <c r="A58" s="329" t="s">
        <v>586</v>
      </c>
      <c r="B58" s="329" t="s">
        <v>587</v>
      </c>
      <c r="C58" s="330">
        <v>3410711.06</v>
      </c>
      <c r="D58" s="331"/>
      <c r="E58" s="331">
        <v>35099.350000000093</v>
      </c>
      <c r="F58" s="331"/>
      <c r="G58" s="331"/>
      <c r="H58" s="332">
        <f t="shared" si="0"/>
        <v>3445810.41</v>
      </c>
    </row>
    <row r="59" spans="1:8">
      <c r="A59" s="329" t="s">
        <v>588</v>
      </c>
      <c r="B59" s="329" t="s">
        <v>589</v>
      </c>
      <c r="C59" s="330">
        <v>-7.9580786405131221E-13</v>
      </c>
      <c r="D59" s="331"/>
      <c r="E59" s="331"/>
      <c r="F59" s="331"/>
      <c r="G59" s="331"/>
      <c r="H59" s="332">
        <f t="shared" si="0"/>
        <v>-7.9580786405131221E-13</v>
      </c>
    </row>
    <row r="60" spans="1:8">
      <c r="A60" s="334" t="s">
        <v>590</v>
      </c>
      <c r="B60" s="334" t="s">
        <v>591</v>
      </c>
      <c r="C60" s="335">
        <f>SUM(C61:C64)</f>
        <v>198394.34000000387</v>
      </c>
      <c r="D60" s="336"/>
      <c r="E60" s="335">
        <f>SUM(E61:E64)</f>
        <v>0</v>
      </c>
      <c r="F60" s="336"/>
      <c r="G60" s="335">
        <f>SUM(G61:G64)</f>
        <v>0</v>
      </c>
      <c r="H60" s="337">
        <f t="shared" si="0"/>
        <v>198394.34000000387</v>
      </c>
    </row>
    <row r="61" spans="1:8">
      <c r="A61" s="329" t="s">
        <v>592</v>
      </c>
      <c r="B61" s="329" t="s">
        <v>593</v>
      </c>
      <c r="C61" s="330">
        <v>-89</v>
      </c>
      <c r="D61" s="331"/>
      <c r="E61" s="331"/>
      <c r="F61" s="331"/>
      <c r="G61" s="331"/>
      <c r="H61" s="332">
        <f t="shared" si="0"/>
        <v>-89</v>
      </c>
    </row>
    <row r="62" spans="1:8">
      <c r="A62" s="329" t="s">
        <v>594</v>
      </c>
      <c r="B62" s="329" t="s">
        <v>595</v>
      </c>
      <c r="C62" s="330">
        <v>-87568.000000001863</v>
      </c>
      <c r="D62" s="331"/>
      <c r="E62" s="331"/>
      <c r="F62" s="331"/>
      <c r="G62" s="331"/>
      <c r="H62" s="332">
        <f t="shared" si="0"/>
        <v>-87568.000000001863</v>
      </c>
    </row>
    <row r="63" spans="1:8">
      <c r="A63" s="329" t="s">
        <v>596</v>
      </c>
      <c r="B63" s="329" t="s">
        <v>597</v>
      </c>
      <c r="C63" s="330">
        <v>271488.91000000574</v>
      </c>
      <c r="D63" s="331"/>
      <c r="E63" s="331"/>
      <c r="F63" s="331"/>
      <c r="G63" s="331"/>
      <c r="H63" s="332">
        <f t="shared" si="0"/>
        <v>271488.91000000574</v>
      </c>
    </row>
    <row r="64" spans="1:8">
      <c r="A64" s="329" t="s">
        <v>598</v>
      </c>
      <c r="B64" s="329" t="s">
        <v>599</v>
      </c>
      <c r="C64" s="330">
        <v>14562.429999999993</v>
      </c>
      <c r="D64" s="331"/>
      <c r="E64" s="331"/>
      <c r="F64" s="331"/>
      <c r="G64" s="331"/>
      <c r="H64" s="332">
        <f t="shared" si="0"/>
        <v>14562.429999999993</v>
      </c>
    </row>
    <row r="65" spans="1:10">
      <c r="A65" s="321" t="s">
        <v>600</v>
      </c>
      <c r="B65" s="321" t="s">
        <v>601</v>
      </c>
      <c r="C65" s="322">
        <f>C66</f>
        <v>517646.92000000284</v>
      </c>
      <c r="D65" s="323"/>
      <c r="E65" s="322">
        <f>E66</f>
        <v>0</v>
      </c>
      <c r="F65" s="323"/>
      <c r="G65" s="322">
        <f>G66</f>
        <v>428646.48</v>
      </c>
      <c r="H65" s="324">
        <f t="shared" si="0"/>
        <v>89000.440000002855</v>
      </c>
      <c r="J65" s="322">
        <v>517646.92000000295</v>
      </c>
    </row>
    <row r="66" spans="1:10">
      <c r="A66" s="334" t="s">
        <v>602</v>
      </c>
      <c r="B66" s="334" t="s">
        <v>603</v>
      </c>
      <c r="C66" s="335">
        <f>SUM(C67:C69)</f>
        <v>517646.92000000284</v>
      </c>
      <c r="D66" s="336"/>
      <c r="E66" s="335">
        <f>SUM(E67:E69)</f>
        <v>0</v>
      </c>
      <c r="F66" s="336"/>
      <c r="G66" s="335">
        <f>SUM(G67:G69)</f>
        <v>428646.48</v>
      </c>
      <c r="H66" s="337">
        <f t="shared" si="0"/>
        <v>89000.440000002855</v>
      </c>
    </row>
    <row r="67" spans="1:10">
      <c r="A67" s="329" t="s">
        <v>604</v>
      </c>
      <c r="B67" s="329" t="s">
        <v>605</v>
      </c>
      <c r="C67" s="330">
        <v>514497.79000000283</v>
      </c>
      <c r="D67" s="331"/>
      <c r="E67" s="331"/>
      <c r="F67" s="331"/>
      <c r="G67" s="351">
        <v>428646.48</v>
      </c>
      <c r="H67" s="332">
        <f t="shared" si="0"/>
        <v>85851.31000000285</v>
      </c>
    </row>
    <row r="68" spans="1:10">
      <c r="A68" s="329" t="s">
        <v>606</v>
      </c>
      <c r="B68" s="329" t="s">
        <v>607</v>
      </c>
      <c r="C68" s="330">
        <v>0</v>
      </c>
      <c r="D68" s="331"/>
      <c r="E68" s="331"/>
      <c r="F68" s="331"/>
      <c r="G68" s="331"/>
      <c r="H68" s="332">
        <f t="shared" si="0"/>
        <v>0</v>
      </c>
    </row>
    <row r="69" spans="1:10">
      <c r="A69" s="329" t="s">
        <v>608</v>
      </c>
      <c r="B69" s="329" t="s">
        <v>609</v>
      </c>
      <c r="C69" s="330">
        <v>3149.1300000000019</v>
      </c>
      <c r="D69" s="331"/>
      <c r="E69" s="331"/>
      <c r="F69" s="331"/>
      <c r="G69" s="331"/>
      <c r="H69" s="332">
        <f t="shared" si="0"/>
        <v>3149.1300000000019</v>
      </c>
    </row>
    <row r="70" spans="1:10">
      <c r="A70" s="321" t="s">
        <v>610</v>
      </c>
      <c r="B70" s="321" t="s">
        <v>611</v>
      </c>
      <c r="C70" s="322">
        <f>C71</f>
        <v>3360446.5000000005</v>
      </c>
      <c r="D70" s="323"/>
      <c r="E70" s="322">
        <f>E71</f>
        <v>0</v>
      </c>
      <c r="F70" s="323"/>
      <c r="G70" s="322">
        <f>G71</f>
        <v>0</v>
      </c>
      <c r="H70" s="324">
        <f t="shared" si="0"/>
        <v>3360446.5000000005</v>
      </c>
    </row>
    <row r="71" spans="1:10">
      <c r="A71" s="325" t="s">
        <v>612</v>
      </c>
      <c r="B71" s="325" t="s">
        <v>613</v>
      </c>
      <c r="C71" s="326">
        <f>SUM(C72)</f>
        <v>3360446.5000000005</v>
      </c>
      <c r="D71" s="327"/>
      <c r="E71" s="327"/>
      <c r="F71" s="327"/>
      <c r="G71" s="327"/>
      <c r="H71" s="328">
        <f t="shared" si="0"/>
        <v>3360446.5000000005</v>
      </c>
    </row>
    <row r="72" spans="1:10">
      <c r="A72" s="329" t="s">
        <v>614</v>
      </c>
      <c r="B72" s="329" t="s">
        <v>615</v>
      </c>
      <c r="C72" s="330">
        <v>3360446.5000000005</v>
      </c>
      <c r="D72" s="331"/>
      <c r="E72" s="331"/>
      <c r="F72" s="331"/>
      <c r="G72" s="331"/>
      <c r="H72" s="332">
        <f t="shared" ref="H72:H135" si="1">C72+E72-G72</f>
        <v>3360446.5000000005</v>
      </c>
    </row>
    <row r="73" spans="1:10">
      <c r="A73" s="321" t="s">
        <v>616</v>
      </c>
      <c r="B73" s="321" t="s">
        <v>617</v>
      </c>
      <c r="C73" s="322">
        <f>C74</f>
        <v>-241654.90000000002</v>
      </c>
      <c r="D73" s="323"/>
      <c r="E73" s="322">
        <f>E74</f>
        <v>0</v>
      </c>
      <c r="F73" s="323"/>
      <c r="G73" s="322">
        <f>G74</f>
        <v>0</v>
      </c>
      <c r="H73" s="324">
        <f t="shared" si="1"/>
        <v>-241654.90000000002</v>
      </c>
    </row>
    <row r="74" spans="1:10">
      <c r="A74" s="334" t="s">
        <v>618</v>
      </c>
      <c r="B74" s="334" t="s">
        <v>619</v>
      </c>
      <c r="C74" s="335">
        <f>SUM(C75:C76)</f>
        <v>-241654.90000000002</v>
      </c>
      <c r="D74" s="336"/>
      <c r="E74" s="335">
        <f>SUM(E75:E76)</f>
        <v>0</v>
      </c>
      <c r="F74" s="336"/>
      <c r="G74" s="335">
        <f>SUM(G75:G76)</f>
        <v>0</v>
      </c>
      <c r="H74" s="337">
        <f t="shared" si="1"/>
        <v>-241654.90000000002</v>
      </c>
    </row>
    <row r="75" spans="1:10">
      <c r="A75" s="329" t="s">
        <v>620</v>
      </c>
      <c r="B75" s="329" t="s">
        <v>621</v>
      </c>
      <c r="C75" s="330">
        <v>42344.699999999953</v>
      </c>
      <c r="D75" s="331"/>
      <c r="E75" s="331"/>
      <c r="F75" s="331"/>
      <c r="G75" s="331"/>
      <c r="H75" s="332">
        <f t="shared" si="1"/>
        <v>42344.699999999953</v>
      </c>
    </row>
    <row r="76" spans="1:10">
      <c r="A76" s="329" t="s">
        <v>622</v>
      </c>
      <c r="B76" s="329" t="s">
        <v>623</v>
      </c>
      <c r="C76" s="330">
        <v>-283999.59999999998</v>
      </c>
      <c r="D76" s="331"/>
      <c r="E76" s="331"/>
      <c r="F76" s="331"/>
      <c r="G76" s="331"/>
      <c r="H76" s="332">
        <f t="shared" si="1"/>
        <v>-283999.59999999998</v>
      </c>
    </row>
    <row r="77" spans="1:10">
      <c r="A77" s="321" t="s">
        <v>624</v>
      </c>
      <c r="B77" s="321" t="s">
        <v>625</v>
      </c>
      <c r="C77" s="322">
        <f>C78+C85</f>
        <v>90136812.729999974</v>
      </c>
      <c r="D77" s="323"/>
      <c r="E77" s="322">
        <f>E78+E85</f>
        <v>0</v>
      </c>
      <c r="F77" s="323"/>
      <c r="G77" s="322">
        <f>G78+G85</f>
        <v>0</v>
      </c>
      <c r="H77" s="324">
        <f t="shared" si="1"/>
        <v>90136812.729999974</v>
      </c>
    </row>
    <row r="78" spans="1:10">
      <c r="A78" s="334" t="s">
        <v>626</v>
      </c>
      <c r="B78" s="334" t="s">
        <v>627</v>
      </c>
      <c r="C78" s="335">
        <f>SUM(C79:C84)</f>
        <v>90136826.119999975</v>
      </c>
      <c r="D78" s="336"/>
      <c r="E78" s="335">
        <f>SUM(E79:E84)</f>
        <v>0</v>
      </c>
      <c r="F78" s="323"/>
      <c r="G78" s="335">
        <f>SUM(G79:G84)</f>
        <v>0</v>
      </c>
      <c r="H78" s="337">
        <f t="shared" si="1"/>
        <v>90136826.119999975</v>
      </c>
    </row>
    <row r="79" spans="1:10">
      <c r="A79" s="329" t="s">
        <v>628</v>
      </c>
      <c r="B79" s="329" t="s">
        <v>629</v>
      </c>
      <c r="C79" s="330">
        <v>23079069.739999998</v>
      </c>
      <c r="D79" s="331"/>
      <c r="E79" s="331"/>
      <c r="F79" s="331"/>
      <c r="G79" s="351">
        <v>0</v>
      </c>
      <c r="H79" s="332">
        <f t="shared" si="1"/>
        <v>23079069.739999998</v>
      </c>
      <c r="J79" s="324">
        <f>H79-23079069.74</f>
        <v>0</v>
      </c>
    </row>
    <row r="80" spans="1:10">
      <c r="A80" s="329" t="s">
        <v>630</v>
      </c>
      <c r="B80" s="329" t="s">
        <v>631</v>
      </c>
      <c r="C80" s="330">
        <v>45836839.239999995</v>
      </c>
      <c r="D80" s="331"/>
      <c r="E80" s="331"/>
      <c r="F80" s="331"/>
      <c r="G80" s="331"/>
      <c r="H80" s="332">
        <f t="shared" si="1"/>
        <v>45836839.239999995</v>
      </c>
    </row>
    <row r="81" spans="1:11">
      <c r="A81" s="329" t="s">
        <v>632</v>
      </c>
      <c r="B81" s="329" t="s">
        <v>633</v>
      </c>
      <c r="C81" s="330">
        <v>1057230.7500000002</v>
      </c>
      <c r="D81" s="331"/>
      <c r="E81" s="331"/>
      <c r="F81" s="331"/>
      <c r="G81" s="331"/>
      <c r="H81" s="332">
        <f t="shared" si="1"/>
        <v>1057230.7500000002</v>
      </c>
    </row>
    <row r="82" spans="1:11">
      <c r="A82" s="329" t="s">
        <v>634</v>
      </c>
      <c r="B82" s="329" t="s">
        <v>635</v>
      </c>
      <c r="C82" s="330">
        <v>-0.08</v>
      </c>
      <c r="D82" s="331"/>
      <c r="E82" s="331"/>
      <c r="F82" s="331"/>
      <c r="G82" s="331"/>
      <c r="H82" s="332">
        <f t="shared" si="1"/>
        <v>-0.08</v>
      </c>
    </row>
    <row r="83" spans="1:11">
      <c r="A83" s="329" t="s">
        <v>636</v>
      </c>
      <c r="B83" s="329" t="s">
        <v>637</v>
      </c>
      <c r="C83" s="330">
        <v>-0.03</v>
      </c>
      <c r="D83" s="331"/>
      <c r="E83" s="331"/>
      <c r="F83" s="331"/>
      <c r="G83" s="331"/>
      <c r="H83" s="332">
        <f t="shared" si="1"/>
        <v>-0.03</v>
      </c>
    </row>
    <row r="84" spans="1:11">
      <c r="A84" s="329" t="s">
        <v>638</v>
      </c>
      <c r="B84" s="329" t="s">
        <v>639</v>
      </c>
      <c r="C84" s="330">
        <v>20163686.499999993</v>
      </c>
      <c r="D84" s="331"/>
      <c r="E84" s="331"/>
      <c r="F84" s="331"/>
      <c r="G84" s="331"/>
      <c r="H84" s="332">
        <f t="shared" si="1"/>
        <v>20163686.499999993</v>
      </c>
    </row>
    <row r="85" spans="1:11">
      <c r="A85" s="334" t="s">
        <v>640</v>
      </c>
      <c r="B85" s="334" t="s">
        <v>641</v>
      </c>
      <c r="C85" s="335">
        <f>SUM(C86)</f>
        <v>-13.39</v>
      </c>
      <c r="D85" s="336"/>
      <c r="E85" s="335">
        <f>SUM(E86)</f>
        <v>0</v>
      </c>
      <c r="F85" s="336"/>
      <c r="G85" s="335">
        <f>SUM(G86)</f>
        <v>0</v>
      </c>
      <c r="H85" s="337">
        <f t="shared" si="1"/>
        <v>-13.39</v>
      </c>
    </row>
    <row r="86" spans="1:11">
      <c r="A86" s="329" t="s">
        <v>642</v>
      </c>
      <c r="B86" s="329" t="s">
        <v>643</v>
      </c>
      <c r="C86" s="330">
        <v>-13.39</v>
      </c>
      <c r="D86" s="331"/>
      <c r="E86" s="331"/>
      <c r="F86" s="331"/>
      <c r="G86" s="331"/>
      <c r="H86" s="332">
        <f t="shared" si="1"/>
        <v>-13.39</v>
      </c>
    </row>
    <row r="87" spans="1:11">
      <c r="A87" s="321" t="s">
        <v>644</v>
      </c>
      <c r="B87" s="321" t="s">
        <v>645</v>
      </c>
      <c r="C87" s="322">
        <f>C88</f>
        <v>-1579002.25</v>
      </c>
      <c r="D87" s="323"/>
      <c r="E87" s="322">
        <f>E88</f>
        <v>24361.94</v>
      </c>
      <c r="F87" s="323"/>
      <c r="G87" s="322">
        <f>G88</f>
        <v>63538</v>
      </c>
      <c r="H87" s="324">
        <f t="shared" si="1"/>
        <v>-1618178.31</v>
      </c>
    </row>
    <row r="88" spans="1:11">
      <c r="A88" s="334" t="s">
        <v>646</v>
      </c>
      <c r="B88" s="334" t="s">
        <v>645</v>
      </c>
      <c r="C88" s="335">
        <f>SUM(C89:C91)</f>
        <v>-1579002.25</v>
      </c>
      <c r="D88" s="336"/>
      <c r="E88" s="335">
        <f>SUM(E89:E91)</f>
        <v>24361.94</v>
      </c>
      <c r="F88" s="336"/>
      <c r="G88" s="335">
        <f>SUM(G89:G91)</f>
        <v>63538</v>
      </c>
      <c r="H88" s="337">
        <f t="shared" si="1"/>
        <v>-1618178.31</v>
      </c>
      <c r="J88" s="324"/>
    </row>
    <row r="89" spans="1:11">
      <c r="A89" s="329" t="s">
        <v>647</v>
      </c>
      <c r="B89" s="329" t="s">
        <v>648</v>
      </c>
      <c r="C89" s="330">
        <v>-854838.53999999992</v>
      </c>
      <c r="D89" s="331"/>
      <c r="E89" s="351">
        <v>24361.94</v>
      </c>
      <c r="F89" s="331"/>
      <c r="G89" s="351">
        <v>63538</v>
      </c>
      <c r="H89" s="332">
        <f t="shared" si="1"/>
        <v>-894014.6</v>
      </c>
      <c r="K89" s="312"/>
    </row>
    <row r="90" spans="1:11">
      <c r="A90" s="329" t="s">
        <v>649</v>
      </c>
      <c r="B90" s="329" t="s">
        <v>650</v>
      </c>
      <c r="C90" s="330">
        <v>-100203.23000000005</v>
      </c>
      <c r="D90" s="331"/>
      <c r="E90" s="331"/>
      <c r="F90" s="331"/>
      <c r="G90" s="331"/>
      <c r="H90" s="332">
        <f t="shared" si="1"/>
        <v>-100203.23000000005</v>
      </c>
    </row>
    <row r="91" spans="1:11">
      <c r="A91" s="329" t="s">
        <v>651</v>
      </c>
      <c r="B91" s="329" t="s">
        <v>652</v>
      </c>
      <c r="C91" s="330">
        <v>-623960.4800000001</v>
      </c>
      <c r="D91" s="331"/>
      <c r="E91" s="331"/>
      <c r="F91" s="331"/>
      <c r="G91" s="331"/>
      <c r="H91" s="332">
        <f t="shared" si="1"/>
        <v>-623960.4800000001</v>
      </c>
    </row>
    <row r="92" spans="1:11">
      <c r="A92" s="321" t="s">
        <v>653</v>
      </c>
      <c r="B92" s="321" t="s">
        <v>654</v>
      </c>
      <c r="C92" s="322">
        <f>C93+C99+C103</f>
        <v>1756422.0600000005</v>
      </c>
      <c r="D92" s="323"/>
      <c r="E92" s="322">
        <f>E93+E99+E103</f>
        <v>0</v>
      </c>
      <c r="F92" s="323"/>
      <c r="G92" s="322">
        <f>G93+G99+G103</f>
        <v>163304.67000000001</v>
      </c>
      <c r="H92" s="324">
        <f t="shared" si="1"/>
        <v>1593117.3900000006</v>
      </c>
      <c r="J92" s="322">
        <f>J93</f>
        <v>1477534.4999999998</v>
      </c>
    </row>
    <row r="93" spans="1:11">
      <c r="A93" s="334" t="s">
        <v>655</v>
      </c>
      <c r="B93" s="334" t="s">
        <v>656</v>
      </c>
      <c r="C93" s="335">
        <f>SUM(C94:C98)</f>
        <v>1477534.5000000005</v>
      </c>
      <c r="D93" s="336"/>
      <c r="E93" s="335">
        <f>SUM(E94:E98)</f>
        <v>0</v>
      </c>
      <c r="F93" s="336"/>
      <c r="G93" s="335">
        <f>SUM(G94:G98)</f>
        <v>163304.67000000001</v>
      </c>
      <c r="H93" s="337">
        <f t="shared" si="1"/>
        <v>1314229.8300000005</v>
      </c>
      <c r="J93" s="322">
        <v>1477534.4999999998</v>
      </c>
    </row>
    <row r="94" spans="1:11">
      <c r="A94" s="329" t="s">
        <v>657</v>
      </c>
      <c r="B94" s="329" t="s">
        <v>656</v>
      </c>
      <c r="C94" s="330">
        <v>425316.7</v>
      </c>
      <c r="D94" s="331"/>
      <c r="E94" s="331"/>
      <c r="F94" s="331"/>
      <c r="G94" s="351">
        <v>122011.32</v>
      </c>
      <c r="H94" s="332">
        <f t="shared" si="1"/>
        <v>303305.38</v>
      </c>
    </row>
    <row r="95" spans="1:11">
      <c r="A95" s="329" t="s">
        <v>658</v>
      </c>
      <c r="B95" s="329" t="s">
        <v>659</v>
      </c>
      <c r="C95" s="330">
        <v>42875.089999999982</v>
      </c>
      <c r="D95" s="331"/>
      <c r="E95" s="331"/>
      <c r="F95" s="331"/>
      <c r="G95" s="331">
        <v>41293.35</v>
      </c>
      <c r="H95" s="332">
        <f t="shared" si="1"/>
        <v>1581.7399999999834</v>
      </c>
    </row>
    <row r="96" spans="1:11">
      <c r="A96" s="329" t="s">
        <v>660</v>
      </c>
      <c r="B96" s="329" t="s">
        <v>661</v>
      </c>
      <c r="C96" s="330">
        <v>-179840.97999999989</v>
      </c>
      <c r="D96" s="331"/>
      <c r="E96" s="331"/>
      <c r="F96" s="331"/>
      <c r="G96" s="331"/>
      <c r="H96" s="332">
        <f t="shared" si="1"/>
        <v>-179840.97999999989</v>
      </c>
    </row>
    <row r="97" spans="1:8">
      <c r="A97" s="329" t="s">
        <v>662</v>
      </c>
      <c r="B97" s="329" t="s">
        <v>663</v>
      </c>
      <c r="C97" s="330">
        <v>1173531.5000000005</v>
      </c>
      <c r="D97" s="331"/>
      <c r="E97" s="331"/>
      <c r="F97" s="331"/>
      <c r="G97" s="331"/>
      <c r="H97" s="332">
        <f t="shared" si="1"/>
        <v>1173531.5000000005</v>
      </c>
    </row>
    <row r="98" spans="1:8">
      <c r="A98" s="329" t="s">
        <v>664</v>
      </c>
      <c r="B98" s="329" t="s">
        <v>665</v>
      </c>
      <c r="C98" s="330">
        <v>15652.19</v>
      </c>
      <c r="D98" s="331"/>
      <c r="E98" s="331"/>
      <c r="F98" s="331"/>
      <c r="G98" s="331"/>
      <c r="H98" s="332">
        <f t="shared" si="1"/>
        <v>15652.19</v>
      </c>
    </row>
    <row r="99" spans="1:8">
      <c r="A99" s="334" t="s">
        <v>666</v>
      </c>
      <c r="B99" s="334" t="s">
        <v>667</v>
      </c>
      <c r="C99" s="335">
        <f>SUM(C100:C102)</f>
        <v>272925.44000000006</v>
      </c>
      <c r="D99" s="336"/>
      <c r="E99" s="335">
        <f>SUM(E100:E102)</f>
        <v>0</v>
      </c>
      <c r="F99" s="336"/>
      <c r="G99" s="335">
        <f>SUM(G100:G102)</f>
        <v>0</v>
      </c>
      <c r="H99" s="337">
        <f t="shared" si="1"/>
        <v>272925.44000000006</v>
      </c>
    </row>
    <row r="100" spans="1:8">
      <c r="A100" s="329" t="s">
        <v>668</v>
      </c>
      <c r="B100" s="329" t="s">
        <v>669</v>
      </c>
      <c r="C100" s="330">
        <v>1023.7200000000012</v>
      </c>
      <c r="D100" s="331"/>
      <c r="E100" s="331"/>
      <c r="F100" s="331"/>
      <c r="G100" s="331"/>
      <c r="H100" s="332">
        <f t="shared" si="1"/>
        <v>1023.7200000000012</v>
      </c>
    </row>
    <row r="101" spans="1:8">
      <c r="A101" s="329" t="s">
        <v>670</v>
      </c>
      <c r="B101" s="329" t="s">
        <v>671</v>
      </c>
      <c r="C101" s="330">
        <v>271901.72000000003</v>
      </c>
      <c r="D101" s="331"/>
      <c r="E101" s="331"/>
      <c r="F101" s="331"/>
      <c r="G101" s="331"/>
      <c r="H101" s="332">
        <f t="shared" si="1"/>
        <v>271901.72000000003</v>
      </c>
    </row>
    <row r="102" spans="1:8">
      <c r="A102" s="329" t="s">
        <v>672</v>
      </c>
      <c r="B102" s="329" t="s">
        <v>673</v>
      </c>
      <c r="C102" s="330">
        <v>0</v>
      </c>
      <c r="D102" s="331"/>
      <c r="E102" s="331"/>
      <c r="F102" s="331"/>
      <c r="G102" s="331"/>
      <c r="H102" s="332">
        <f t="shared" si="1"/>
        <v>0</v>
      </c>
    </row>
    <row r="103" spans="1:8">
      <c r="A103" s="334" t="s">
        <v>674</v>
      </c>
      <c r="B103" s="334" t="s">
        <v>675</v>
      </c>
      <c r="C103" s="335">
        <f>SUM(C104)</f>
        <v>5962.1200000000008</v>
      </c>
      <c r="D103" s="336"/>
      <c r="E103" s="335">
        <f>SUM(E104)</f>
        <v>0</v>
      </c>
      <c r="F103" s="336"/>
      <c r="G103" s="335">
        <f>SUM(G104)</f>
        <v>0</v>
      </c>
      <c r="H103" s="337">
        <f t="shared" si="1"/>
        <v>5962.1200000000008</v>
      </c>
    </row>
    <row r="104" spans="1:8">
      <c r="A104" s="329" t="s">
        <v>676</v>
      </c>
      <c r="B104" s="329" t="s">
        <v>677</v>
      </c>
      <c r="C104" s="330">
        <v>5962.1200000000008</v>
      </c>
      <c r="D104" s="331"/>
      <c r="E104" s="331"/>
      <c r="F104" s="331"/>
      <c r="G104" s="331"/>
      <c r="H104" s="332">
        <f t="shared" si="1"/>
        <v>5962.1200000000008</v>
      </c>
    </row>
    <row r="105" spans="1:8">
      <c r="A105" s="321" t="s">
        <v>678</v>
      </c>
      <c r="B105" s="321" t="s">
        <v>679</v>
      </c>
      <c r="C105" s="322">
        <f>C106</f>
        <v>-2.3283064365386963E-10</v>
      </c>
      <c r="D105" s="323"/>
      <c r="E105" s="322">
        <f>E106</f>
        <v>0</v>
      </c>
      <c r="F105" s="323"/>
      <c r="G105" s="322">
        <f>G106</f>
        <v>0</v>
      </c>
      <c r="H105" s="324">
        <f t="shared" si="1"/>
        <v>-2.3283064365386963E-10</v>
      </c>
    </row>
    <row r="106" spans="1:8">
      <c r="A106" s="334" t="s">
        <v>680</v>
      </c>
      <c r="B106" s="334" t="s">
        <v>681</v>
      </c>
      <c r="C106" s="335">
        <f>SUM(C107:C111)</f>
        <v>-2.3283064365386963E-10</v>
      </c>
      <c r="D106" s="336"/>
      <c r="E106" s="335">
        <f>SUM(E107:E111)</f>
        <v>0</v>
      </c>
      <c r="F106" s="336"/>
      <c r="G106" s="335">
        <f>SUM(G107:G111)</f>
        <v>0</v>
      </c>
      <c r="H106" s="337">
        <f t="shared" si="1"/>
        <v>-2.3283064365386963E-10</v>
      </c>
    </row>
    <row r="107" spans="1:8">
      <c r="A107" s="329" t="s">
        <v>682</v>
      </c>
      <c r="B107" s="329" t="s">
        <v>683</v>
      </c>
      <c r="C107" s="330">
        <v>4.6566128730773926E-10</v>
      </c>
      <c r="D107" s="331"/>
      <c r="E107" s="331"/>
      <c r="F107" s="331"/>
      <c r="G107" s="331"/>
      <c r="H107" s="332">
        <f t="shared" si="1"/>
        <v>4.6566128730773926E-10</v>
      </c>
    </row>
    <row r="108" spans="1:8">
      <c r="A108" s="329" t="s">
        <v>684</v>
      </c>
      <c r="B108" s="329" t="s">
        <v>685</v>
      </c>
      <c r="C108" s="330">
        <v>-5.2386894822120667E-10</v>
      </c>
      <c r="D108" s="331"/>
      <c r="E108" s="331"/>
      <c r="F108" s="331"/>
      <c r="G108" s="331"/>
      <c r="H108" s="332">
        <f t="shared" si="1"/>
        <v>-5.2386894822120667E-10</v>
      </c>
    </row>
    <row r="109" spans="1:8">
      <c r="A109" s="329" t="s">
        <v>686</v>
      </c>
      <c r="B109" s="329" t="s">
        <v>687</v>
      </c>
      <c r="C109" s="330">
        <v>-4.6566128730773926E-10</v>
      </c>
      <c r="D109" s="331"/>
      <c r="E109" s="331"/>
      <c r="F109" s="331"/>
      <c r="G109" s="331"/>
      <c r="H109" s="332">
        <f t="shared" si="1"/>
        <v>-4.6566128730773926E-10</v>
      </c>
    </row>
    <row r="110" spans="1:8">
      <c r="A110" s="329" t="s">
        <v>688</v>
      </c>
      <c r="B110" s="329" t="s">
        <v>689</v>
      </c>
      <c r="C110" s="330">
        <v>3.4924596548080444E-10</v>
      </c>
      <c r="D110" s="331"/>
      <c r="E110" s="331"/>
      <c r="F110" s="331"/>
      <c r="G110" s="331"/>
      <c r="H110" s="332">
        <f t="shared" si="1"/>
        <v>3.4924596548080444E-10</v>
      </c>
    </row>
    <row r="111" spans="1:8">
      <c r="A111" s="329" t="s">
        <v>690</v>
      </c>
      <c r="B111" s="329" t="s">
        <v>691</v>
      </c>
      <c r="C111" s="330">
        <v>-5.8207660913467407E-11</v>
      </c>
      <c r="D111" s="331"/>
      <c r="E111" s="331"/>
      <c r="F111" s="331"/>
      <c r="G111" s="331"/>
      <c r="H111" s="332">
        <f t="shared" si="1"/>
        <v>-5.8207660913467407E-11</v>
      </c>
    </row>
    <row r="112" spans="1:8">
      <c r="A112" s="321" t="s">
        <v>692</v>
      </c>
      <c r="B112" s="321" t="s">
        <v>693</v>
      </c>
      <c r="C112" s="322">
        <f>C113</f>
        <v>-3.7252902984619141E-9</v>
      </c>
      <c r="D112" s="323"/>
      <c r="E112" s="322">
        <f>E113</f>
        <v>0</v>
      </c>
      <c r="F112" s="323"/>
      <c r="G112" s="322">
        <f>G113</f>
        <v>0</v>
      </c>
      <c r="H112" s="324">
        <f t="shared" si="1"/>
        <v>-3.7252902984619141E-9</v>
      </c>
    </row>
    <row r="113" spans="1:10">
      <c r="A113" s="334" t="s">
        <v>694</v>
      </c>
      <c r="B113" s="334" t="s">
        <v>695</v>
      </c>
      <c r="C113" s="335">
        <f>SUM(C114)</f>
        <v>-3.7252902984619141E-9</v>
      </c>
      <c r="D113" s="336"/>
      <c r="E113" s="335">
        <f>SUM(E114)</f>
        <v>0</v>
      </c>
      <c r="F113" s="336"/>
      <c r="G113" s="335">
        <f>SUM(G114)</f>
        <v>0</v>
      </c>
      <c r="H113" s="337">
        <f t="shared" si="1"/>
        <v>-3.7252902984619141E-9</v>
      </c>
    </row>
    <row r="114" spans="1:10">
      <c r="A114" s="329" t="s">
        <v>696</v>
      </c>
      <c r="B114" s="329" t="s">
        <v>697</v>
      </c>
      <c r="C114" s="330">
        <v>-3.7252902984619141E-9</v>
      </c>
      <c r="D114" s="331"/>
      <c r="E114" s="331"/>
      <c r="F114" s="331"/>
      <c r="G114" s="331"/>
      <c r="H114" s="332">
        <f t="shared" si="1"/>
        <v>-3.7252902984619141E-9</v>
      </c>
    </row>
    <row r="115" spans="1:10">
      <c r="A115" s="321" t="s">
        <v>698</v>
      </c>
      <c r="B115" s="321" t="s">
        <v>699</v>
      </c>
      <c r="C115" s="322">
        <f>C116+C126+C129+C131</f>
        <v>2113315.58</v>
      </c>
      <c r="D115" s="323"/>
      <c r="E115" s="322">
        <f>E116+E126+E129+E131</f>
        <v>0</v>
      </c>
      <c r="F115" s="323"/>
      <c r="G115" s="322">
        <f>G116+G126+G129+G131</f>
        <v>0</v>
      </c>
      <c r="H115" s="324">
        <f t="shared" si="1"/>
        <v>2113315.58</v>
      </c>
      <c r="J115" s="322">
        <v>2113315.5799999996</v>
      </c>
    </row>
    <row r="116" spans="1:10">
      <c r="A116" s="334" t="s">
        <v>700</v>
      </c>
      <c r="B116" s="334" t="s">
        <v>701</v>
      </c>
      <c r="C116" s="335">
        <f>SUM(C117:C125)</f>
        <v>865533.58</v>
      </c>
      <c r="D116" s="336"/>
      <c r="E116" s="335">
        <f>SUM(E117:E125)</f>
        <v>0</v>
      </c>
      <c r="F116" s="336"/>
      <c r="G116" s="335">
        <f>SUM(G117:G125)</f>
        <v>0</v>
      </c>
      <c r="H116" s="337">
        <f t="shared" si="1"/>
        <v>865533.58</v>
      </c>
    </row>
    <row r="117" spans="1:10">
      <c r="A117" s="329" t="s">
        <v>702</v>
      </c>
      <c r="B117" s="329" t="s">
        <v>703</v>
      </c>
      <c r="C117" s="330">
        <v>2480.9099999999667</v>
      </c>
      <c r="D117" s="331"/>
      <c r="E117" s="331"/>
      <c r="F117" s="331"/>
      <c r="G117" s="331"/>
      <c r="H117" s="332">
        <f t="shared" si="1"/>
        <v>2480.9099999999667</v>
      </c>
    </row>
    <row r="118" spans="1:10">
      <c r="A118" s="329" t="s">
        <v>704</v>
      </c>
      <c r="B118" s="329" t="s">
        <v>705</v>
      </c>
      <c r="C118" s="330">
        <v>-6.8212102632969618E-13</v>
      </c>
      <c r="D118" s="331"/>
      <c r="E118" s="331"/>
      <c r="F118" s="331"/>
      <c r="G118" s="331"/>
      <c r="H118" s="332">
        <f t="shared" si="1"/>
        <v>-6.8212102632969618E-13</v>
      </c>
    </row>
    <row r="119" spans="1:10">
      <c r="A119" s="329" t="s">
        <v>706</v>
      </c>
      <c r="B119" s="329" t="s">
        <v>707</v>
      </c>
      <c r="C119" s="330">
        <v>-12658.750000000002</v>
      </c>
      <c r="D119" s="331"/>
      <c r="E119" s="331"/>
      <c r="F119" s="331"/>
      <c r="G119" s="331"/>
      <c r="H119" s="332">
        <f t="shared" si="1"/>
        <v>-12658.750000000002</v>
      </c>
    </row>
    <row r="120" spans="1:10">
      <c r="A120" s="329" t="s">
        <v>708</v>
      </c>
      <c r="B120" s="329" t="s">
        <v>709</v>
      </c>
      <c r="C120" s="330">
        <v>719201.42</v>
      </c>
      <c r="D120" s="331"/>
      <c r="E120" s="331"/>
      <c r="F120" s="331"/>
      <c r="G120" s="331"/>
      <c r="H120" s="332">
        <f t="shared" si="1"/>
        <v>719201.42</v>
      </c>
    </row>
    <row r="121" spans="1:10">
      <c r="A121" s="329" t="s">
        <v>710</v>
      </c>
      <c r="B121" s="329" t="s">
        <v>711</v>
      </c>
      <c r="C121" s="330">
        <v>154510</v>
      </c>
      <c r="D121" s="331"/>
      <c r="E121" s="331"/>
      <c r="F121" s="331"/>
      <c r="G121" s="331"/>
      <c r="H121" s="332">
        <f t="shared" si="1"/>
        <v>154510</v>
      </c>
    </row>
    <row r="122" spans="1:10">
      <c r="A122" s="329" t="s">
        <v>712</v>
      </c>
      <c r="B122" s="329" t="s">
        <v>713</v>
      </c>
      <c r="C122" s="330">
        <v>3.637978807091713E-12</v>
      </c>
      <c r="D122" s="331"/>
      <c r="E122" s="331"/>
      <c r="F122" s="331"/>
      <c r="G122" s="331"/>
      <c r="H122" s="332">
        <f t="shared" si="1"/>
        <v>3.637978807091713E-12</v>
      </c>
    </row>
    <row r="123" spans="1:10">
      <c r="A123" s="329" t="s">
        <v>714</v>
      </c>
      <c r="B123" s="329" t="s">
        <v>715</v>
      </c>
      <c r="C123" s="330">
        <v>-1.3500311979441904E-13</v>
      </c>
      <c r="D123" s="331"/>
      <c r="E123" s="331"/>
      <c r="F123" s="331"/>
      <c r="G123" s="331"/>
      <c r="H123" s="332">
        <f t="shared" si="1"/>
        <v>-1.3500311979441904E-13</v>
      </c>
    </row>
    <row r="124" spans="1:10">
      <c r="A124" s="329" t="s">
        <v>716</v>
      </c>
      <c r="B124" s="329" t="s">
        <v>717</v>
      </c>
      <c r="C124" s="330">
        <v>4.2632564145606011E-14</v>
      </c>
      <c r="D124" s="331"/>
      <c r="E124" s="331"/>
      <c r="F124" s="331"/>
      <c r="G124" s="331"/>
      <c r="H124" s="332">
        <f t="shared" si="1"/>
        <v>4.2632564145606011E-14</v>
      </c>
    </row>
    <row r="125" spans="1:10">
      <c r="A125" s="329" t="s">
        <v>718</v>
      </c>
      <c r="B125" s="329" t="s">
        <v>719</v>
      </c>
      <c r="C125" s="330">
        <v>2000</v>
      </c>
      <c r="D125" s="331"/>
      <c r="E125" s="331"/>
      <c r="F125" s="331"/>
      <c r="G125" s="331"/>
      <c r="H125" s="332">
        <f t="shared" si="1"/>
        <v>2000</v>
      </c>
    </row>
    <row r="126" spans="1:10">
      <c r="A126" s="334" t="s">
        <v>720</v>
      </c>
      <c r="B126" s="334" t="s">
        <v>721</v>
      </c>
      <c r="C126" s="335">
        <f>SUM(C127:C128)</f>
        <v>948026.39000000013</v>
      </c>
      <c r="D126" s="336"/>
      <c r="E126" s="335">
        <f>SUM(E127:E128)</f>
        <v>0</v>
      </c>
      <c r="F126" s="336"/>
      <c r="G126" s="335">
        <f>SUM(G127:G128)</f>
        <v>0</v>
      </c>
      <c r="H126" s="337">
        <f t="shared" si="1"/>
        <v>948026.39000000013</v>
      </c>
    </row>
    <row r="127" spans="1:10">
      <c r="A127" s="329" t="s">
        <v>722</v>
      </c>
      <c r="B127" s="329" t="s">
        <v>723</v>
      </c>
      <c r="C127" s="330">
        <v>638146.24</v>
      </c>
      <c r="D127" s="331"/>
      <c r="E127" s="331"/>
      <c r="F127" s="331"/>
      <c r="G127" s="331"/>
      <c r="H127" s="332">
        <f t="shared" si="1"/>
        <v>638146.24</v>
      </c>
    </row>
    <row r="128" spans="1:10">
      <c r="A128" s="329" t="s">
        <v>724</v>
      </c>
      <c r="B128" s="329" t="s">
        <v>725</v>
      </c>
      <c r="C128" s="330">
        <v>309880.15000000008</v>
      </c>
      <c r="D128" s="331"/>
      <c r="E128" s="331"/>
      <c r="F128" s="331"/>
      <c r="G128" s="331"/>
      <c r="H128" s="332">
        <f t="shared" si="1"/>
        <v>309880.15000000008</v>
      </c>
    </row>
    <row r="129" spans="1:11">
      <c r="A129" s="334" t="s">
        <v>726</v>
      </c>
      <c r="B129" s="334" t="s">
        <v>727</v>
      </c>
      <c r="C129" s="335">
        <f>C130</f>
        <v>0</v>
      </c>
      <c r="D129" s="336"/>
      <c r="E129" s="335">
        <f>E130</f>
        <v>0</v>
      </c>
      <c r="F129" s="336"/>
      <c r="G129" s="335">
        <f>G130</f>
        <v>0</v>
      </c>
      <c r="H129" s="337">
        <f t="shared" si="1"/>
        <v>0</v>
      </c>
    </row>
    <row r="130" spans="1:11">
      <c r="A130" s="329" t="s">
        <v>728</v>
      </c>
      <c r="B130" s="329" t="s">
        <v>729</v>
      </c>
      <c r="C130" s="330">
        <v>0</v>
      </c>
      <c r="D130" s="331"/>
      <c r="E130" s="331"/>
      <c r="F130" s="331"/>
      <c r="G130" s="331"/>
      <c r="H130" s="332">
        <f t="shared" si="1"/>
        <v>0</v>
      </c>
    </row>
    <row r="131" spans="1:11">
      <c r="A131" s="334" t="s">
        <v>730</v>
      </c>
      <c r="B131" s="334" t="s">
        <v>731</v>
      </c>
      <c r="C131" s="335">
        <f>SUM(C132:C137)</f>
        <v>299755.60999999993</v>
      </c>
      <c r="D131" s="336"/>
      <c r="E131" s="335">
        <f>SUM(E132:E137)</f>
        <v>0</v>
      </c>
      <c r="F131" s="336"/>
      <c r="G131" s="335">
        <f>SUM(G132:G137)</f>
        <v>0</v>
      </c>
      <c r="H131" s="337">
        <f t="shared" si="1"/>
        <v>299755.60999999993</v>
      </c>
    </row>
    <row r="132" spans="1:11">
      <c r="A132" s="329" t="s">
        <v>732</v>
      </c>
      <c r="B132" s="329" t="s">
        <v>733</v>
      </c>
      <c r="C132" s="330">
        <v>13250.039999999979</v>
      </c>
      <c r="D132" s="331"/>
      <c r="E132" s="331"/>
      <c r="F132" s="331"/>
      <c r="G132" s="331"/>
      <c r="H132" s="332">
        <f t="shared" si="1"/>
        <v>13250.039999999979</v>
      </c>
    </row>
    <row r="133" spans="1:11">
      <c r="A133" s="329" t="s">
        <v>734</v>
      </c>
      <c r="B133" s="329" t="s">
        <v>735</v>
      </c>
      <c r="C133" s="330">
        <v>25937.259999999995</v>
      </c>
      <c r="D133" s="331"/>
      <c r="E133" s="331"/>
      <c r="F133" s="331"/>
      <c r="G133" s="331"/>
      <c r="H133" s="332">
        <f t="shared" si="1"/>
        <v>25937.259999999995</v>
      </c>
    </row>
    <row r="134" spans="1:11">
      <c r="A134" s="329" t="s">
        <v>736</v>
      </c>
      <c r="B134" s="329" t="s">
        <v>737</v>
      </c>
      <c r="C134" s="330">
        <v>156848.09999999998</v>
      </c>
      <c r="D134" s="331"/>
      <c r="E134" s="331"/>
      <c r="F134" s="331"/>
      <c r="G134" s="331"/>
      <c r="H134" s="332">
        <f t="shared" si="1"/>
        <v>156848.09999999998</v>
      </c>
    </row>
    <row r="135" spans="1:11">
      <c r="A135" s="329" t="s">
        <v>738</v>
      </c>
      <c r="B135" s="329" t="s">
        <v>739</v>
      </c>
      <c r="C135" s="330">
        <v>15452.409999999976</v>
      </c>
      <c r="D135" s="331"/>
      <c r="E135" s="331"/>
      <c r="F135" s="331"/>
      <c r="G135" s="331"/>
      <c r="H135" s="332">
        <f t="shared" si="1"/>
        <v>15452.409999999976</v>
      </c>
    </row>
    <row r="136" spans="1:11">
      <c r="A136" s="329" t="s">
        <v>740</v>
      </c>
      <c r="B136" s="329" t="s">
        <v>741</v>
      </c>
      <c r="C136" s="330">
        <v>34341.870000000003</v>
      </c>
      <c r="D136" s="331"/>
      <c r="E136" s="331"/>
      <c r="F136" s="331"/>
      <c r="G136" s="331"/>
      <c r="H136" s="332">
        <f t="shared" ref="H136:H199" si="2">C136+E136-G136</f>
        <v>34341.870000000003</v>
      </c>
    </row>
    <row r="137" spans="1:11">
      <c r="A137" s="329" t="s">
        <v>742</v>
      </c>
      <c r="B137" s="329" t="s">
        <v>743</v>
      </c>
      <c r="C137" s="330">
        <v>53925.93</v>
      </c>
      <c r="D137" s="331"/>
      <c r="E137" s="331"/>
      <c r="F137" s="331"/>
      <c r="G137" s="331"/>
      <c r="H137" s="332">
        <f t="shared" si="2"/>
        <v>53925.93</v>
      </c>
    </row>
    <row r="138" spans="1:11">
      <c r="A138" s="321" t="s">
        <v>744</v>
      </c>
      <c r="B138" s="321" t="s">
        <v>745</v>
      </c>
      <c r="C138" s="322">
        <f>C139+C141</f>
        <v>10132518.99</v>
      </c>
      <c r="D138" s="323"/>
      <c r="E138" s="322">
        <f>E139+E141</f>
        <v>0</v>
      </c>
      <c r="F138" s="323"/>
      <c r="G138" s="322">
        <f>G139+G141</f>
        <v>0</v>
      </c>
      <c r="H138" s="324">
        <f t="shared" si="2"/>
        <v>10132518.99</v>
      </c>
      <c r="J138" s="322">
        <v>10132518.99</v>
      </c>
      <c r="K138" s="312">
        <f>H138-H145+H149-H154</f>
        <v>5180615.24</v>
      </c>
    </row>
    <row r="139" spans="1:11">
      <c r="A139" s="334" t="s">
        <v>746</v>
      </c>
      <c r="B139" s="334" t="s">
        <v>747</v>
      </c>
      <c r="C139" s="335">
        <f>SUM(C140)</f>
        <v>2791777.65</v>
      </c>
      <c r="D139" s="336"/>
      <c r="E139" s="335">
        <f>SUM(E140)</f>
        <v>0</v>
      </c>
      <c r="F139" s="336"/>
      <c r="G139" s="335">
        <f>SUM(G140)</f>
        <v>0</v>
      </c>
      <c r="H139" s="337">
        <f t="shared" si="2"/>
        <v>2791777.65</v>
      </c>
    </row>
    <row r="140" spans="1:11">
      <c r="A140" s="329" t="s">
        <v>748</v>
      </c>
      <c r="B140" s="329" t="s">
        <v>749</v>
      </c>
      <c r="C140" s="330">
        <v>2791777.65</v>
      </c>
      <c r="D140" s="331"/>
      <c r="E140" s="331"/>
      <c r="F140" s="331"/>
      <c r="G140" s="331"/>
      <c r="H140" s="332">
        <f t="shared" si="2"/>
        <v>2791777.65</v>
      </c>
    </row>
    <row r="141" spans="1:11">
      <c r="A141" s="334" t="s">
        <v>750</v>
      </c>
      <c r="B141" s="334" t="s">
        <v>751</v>
      </c>
      <c r="C141" s="335">
        <f>SUM(C142:C148)</f>
        <v>7340741.3400000008</v>
      </c>
      <c r="D141" s="336"/>
      <c r="E141" s="335">
        <f>SUM(E142:E148)</f>
        <v>0</v>
      </c>
      <c r="F141" s="336"/>
      <c r="G141" s="335">
        <f>SUM(G142:G148)</f>
        <v>0</v>
      </c>
      <c r="H141" s="337">
        <f t="shared" si="2"/>
        <v>7340741.3400000008</v>
      </c>
    </row>
    <row r="142" spans="1:11">
      <c r="A142" s="329" t="s">
        <v>752</v>
      </c>
      <c r="B142" s="329" t="s">
        <v>753</v>
      </c>
      <c r="C142" s="330">
        <v>3685282.7200000007</v>
      </c>
      <c r="D142" s="331"/>
      <c r="E142" s="331"/>
      <c r="F142" s="331"/>
      <c r="G142" s="331"/>
      <c r="H142" s="332">
        <f t="shared" si="2"/>
        <v>3685282.7200000007</v>
      </c>
    </row>
    <row r="143" spans="1:11">
      <c r="A143" s="329" t="s">
        <v>754</v>
      </c>
      <c r="B143" s="329" t="s">
        <v>755</v>
      </c>
      <c r="C143" s="330">
        <v>1753999.6300000004</v>
      </c>
      <c r="D143" s="331"/>
      <c r="E143" s="331"/>
      <c r="F143" s="331"/>
      <c r="G143" s="331"/>
      <c r="H143" s="332">
        <f t="shared" si="2"/>
        <v>1753999.6300000004</v>
      </c>
    </row>
    <row r="144" spans="1:11">
      <c r="A144" s="329" t="s">
        <v>756</v>
      </c>
      <c r="B144" s="329" t="s">
        <v>757</v>
      </c>
      <c r="C144" s="330">
        <v>257185.1</v>
      </c>
      <c r="D144" s="331"/>
      <c r="E144" s="331"/>
      <c r="F144" s="331"/>
      <c r="G144" s="331"/>
      <c r="H144" s="332">
        <f t="shared" si="2"/>
        <v>257185.1</v>
      </c>
    </row>
    <row r="145" spans="1:10">
      <c r="A145" s="329" t="s">
        <v>758</v>
      </c>
      <c r="B145" s="329" t="s">
        <v>759</v>
      </c>
      <c r="C145" s="330">
        <v>325391.19000000006</v>
      </c>
      <c r="D145" s="331"/>
      <c r="E145" s="331"/>
      <c r="F145" s="331"/>
      <c r="G145" s="331"/>
      <c r="H145" s="332">
        <f t="shared" si="2"/>
        <v>325391.19000000006</v>
      </c>
    </row>
    <row r="146" spans="1:10">
      <c r="A146" s="329" t="s">
        <v>760</v>
      </c>
      <c r="B146" s="329" t="s">
        <v>761</v>
      </c>
      <c r="C146" s="330">
        <v>770301.25</v>
      </c>
      <c r="D146" s="331"/>
      <c r="E146" s="331"/>
      <c r="F146" s="331"/>
      <c r="G146" s="331"/>
      <c r="H146" s="332">
        <f t="shared" si="2"/>
        <v>770301.25</v>
      </c>
    </row>
    <row r="147" spans="1:10">
      <c r="A147" s="329" t="s">
        <v>762</v>
      </c>
      <c r="B147" s="329" t="s">
        <v>763</v>
      </c>
      <c r="C147" s="330">
        <v>479340.85</v>
      </c>
      <c r="D147" s="331"/>
      <c r="E147" s="331"/>
      <c r="F147" s="331"/>
      <c r="G147" s="331"/>
      <c r="H147" s="332">
        <f t="shared" si="2"/>
        <v>479340.85</v>
      </c>
    </row>
    <row r="148" spans="1:10">
      <c r="A148" s="329" t="s">
        <v>764</v>
      </c>
      <c r="B148" s="329" t="s">
        <v>765</v>
      </c>
      <c r="C148" s="330">
        <v>69240.600000000006</v>
      </c>
      <c r="D148" s="331"/>
      <c r="E148" s="331"/>
      <c r="F148" s="331"/>
      <c r="G148" s="331"/>
      <c r="H148" s="332">
        <f t="shared" si="2"/>
        <v>69240.600000000006</v>
      </c>
    </row>
    <row r="149" spans="1:10">
      <c r="A149" s="321" t="s">
        <v>766</v>
      </c>
      <c r="B149" s="321" t="s">
        <v>767</v>
      </c>
      <c r="C149" s="322">
        <f>C150</f>
        <v>-4751387.3100000005</v>
      </c>
      <c r="D149" s="323"/>
      <c r="E149" s="322">
        <f>E150</f>
        <v>0</v>
      </c>
      <c r="F149" s="323"/>
      <c r="G149" s="322">
        <f>G150</f>
        <v>0</v>
      </c>
      <c r="H149" s="324">
        <f t="shared" si="2"/>
        <v>-4751387.3100000005</v>
      </c>
      <c r="J149" s="322">
        <v>-4751387.3099999987</v>
      </c>
    </row>
    <row r="150" spans="1:10">
      <c r="A150" s="334" t="s">
        <v>768</v>
      </c>
      <c r="B150" s="334" t="s">
        <v>769</v>
      </c>
      <c r="C150" s="335">
        <f>SUM(C151:C156)</f>
        <v>-4751387.3100000005</v>
      </c>
      <c r="D150" s="336"/>
      <c r="E150" s="335">
        <f>SUM(E151:E156)</f>
        <v>0</v>
      </c>
      <c r="F150" s="336"/>
      <c r="G150" s="335">
        <f>SUM(G151:G156)</f>
        <v>0</v>
      </c>
      <c r="H150" s="337">
        <f t="shared" si="2"/>
        <v>-4751387.3100000005</v>
      </c>
    </row>
    <row r="151" spans="1:10">
      <c r="A151" s="329" t="s">
        <v>770</v>
      </c>
      <c r="B151" s="329" t="s">
        <v>771</v>
      </c>
      <c r="C151" s="330">
        <v>-2042926.7500000002</v>
      </c>
      <c r="D151" s="331"/>
      <c r="E151" s="331"/>
      <c r="F151" s="331"/>
      <c r="G151" s="331"/>
      <c r="H151" s="332">
        <f t="shared" si="2"/>
        <v>-2042926.7500000002</v>
      </c>
    </row>
    <row r="152" spans="1:10">
      <c r="A152" s="329" t="s">
        <v>772</v>
      </c>
      <c r="B152" s="329" t="s">
        <v>773</v>
      </c>
      <c r="C152" s="330">
        <v>-1051111.6599999999</v>
      </c>
      <c r="D152" s="331"/>
      <c r="E152" s="331"/>
      <c r="F152" s="331"/>
      <c r="G152" s="331"/>
      <c r="H152" s="332">
        <f t="shared" si="2"/>
        <v>-1051111.6599999999</v>
      </c>
    </row>
    <row r="153" spans="1:10">
      <c r="A153" s="329" t="s">
        <v>774</v>
      </c>
      <c r="B153" s="329" t="s">
        <v>775</v>
      </c>
      <c r="C153" s="330">
        <v>-257185.1</v>
      </c>
      <c r="D153" s="331"/>
      <c r="E153" s="331"/>
      <c r="F153" s="331"/>
      <c r="G153" s="331"/>
      <c r="H153" s="332">
        <f t="shared" si="2"/>
        <v>-257185.1</v>
      </c>
    </row>
    <row r="154" spans="1:10">
      <c r="A154" s="329" t="s">
        <v>776</v>
      </c>
      <c r="B154" s="329" t="s">
        <v>777</v>
      </c>
      <c r="C154" s="330">
        <v>-124874.75000000001</v>
      </c>
      <c r="D154" s="331"/>
      <c r="E154" s="331"/>
      <c r="F154" s="331"/>
      <c r="G154" s="331"/>
      <c r="H154" s="332">
        <f t="shared" si="2"/>
        <v>-124874.75000000001</v>
      </c>
    </row>
    <row r="155" spans="1:10">
      <c r="A155" s="329" t="s">
        <v>778</v>
      </c>
      <c r="B155" s="329" t="s">
        <v>779</v>
      </c>
      <c r="C155" s="330">
        <v>-234754.14</v>
      </c>
      <c r="D155" s="331"/>
      <c r="E155" s="331"/>
      <c r="F155" s="331"/>
      <c r="G155" s="331"/>
      <c r="H155" s="332">
        <f t="shared" si="2"/>
        <v>-234754.14</v>
      </c>
    </row>
    <row r="156" spans="1:10">
      <c r="A156" s="329" t="s">
        <v>780</v>
      </c>
      <c r="B156" s="329" t="s">
        <v>781</v>
      </c>
      <c r="C156" s="330">
        <v>-1040534.9100000001</v>
      </c>
      <c r="D156" s="331"/>
      <c r="E156" s="331"/>
      <c r="F156" s="331"/>
      <c r="G156" s="331"/>
      <c r="H156" s="332">
        <f t="shared" si="2"/>
        <v>-1040534.9100000001</v>
      </c>
    </row>
    <row r="157" spans="1:10">
      <c r="A157" s="321" t="s">
        <v>782</v>
      </c>
      <c r="B157" s="321" t="s">
        <v>783</v>
      </c>
      <c r="C157" s="322">
        <f>C158</f>
        <v>114356.97000000002</v>
      </c>
      <c r="D157" s="323"/>
      <c r="E157" s="322">
        <f>E158</f>
        <v>0</v>
      </c>
      <c r="F157" s="323"/>
      <c r="G157" s="322">
        <f>G158</f>
        <v>0</v>
      </c>
      <c r="H157" s="324">
        <f t="shared" si="2"/>
        <v>114356.97000000002</v>
      </c>
    </row>
    <row r="158" spans="1:10">
      <c r="A158" s="334" t="s">
        <v>784</v>
      </c>
      <c r="B158" s="334" t="s">
        <v>785</v>
      </c>
      <c r="C158" s="335">
        <f>SUM(C159:C160)</f>
        <v>114356.97000000002</v>
      </c>
      <c r="D158" s="336"/>
      <c r="E158" s="335">
        <f>SUM(E159:E160)</f>
        <v>0</v>
      </c>
      <c r="F158" s="336"/>
      <c r="G158" s="335">
        <f>SUM(G159:G160)</f>
        <v>0</v>
      </c>
      <c r="H158" s="337">
        <f t="shared" si="2"/>
        <v>114356.97000000002</v>
      </c>
    </row>
    <row r="159" spans="1:10">
      <c r="A159" s="329" t="s">
        <v>786</v>
      </c>
      <c r="B159" s="329" t="s">
        <v>787</v>
      </c>
      <c r="C159" s="330">
        <v>11150</v>
      </c>
      <c r="D159" s="331"/>
      <c r="E159" s="331"/>
      <c r="F159" s="331"/>
      <c r="G159" s="331"/>
      <c r="H159" s="332">
        <f t="shared" si="2"/>
        <v>11150</v>
      </c>
    </row>
    <row r="160" spans="1:10">
      <c r="A160" s="329" t="s">
        <v>788</v>
      </c>
      <c r="B160" s="329" t="s">
        <v>789</v>
      </c>
      <c r="C160" s="330">
        <v>103206.97000000002</v>
      </c>
      <c r="D160" s="331"/>
      <c r="E160" s="331"/>
      <c r="F160" s="331"/>
      <c r="G160" s="331"/>
      <c r="H160" s="332">
        <f t="shared" si="2"/>
        <v>103206.97000000002</v>
      </c>
    </row>
    <row r="161" spans="1:10">
      <c r="A161" s="317">
        <v>2</v>
      </c>
      <c r="B161" s="317" t="s">
        <v>790</v>
      </c>
      <c r="C161" s="318">
        <f>C162+C167+C211+C236+C248+C271+C413+C425+C444+C452+C457+C487+C491+C494</f>
        <v>-100152309.33000001</v>
      </c>
      <c r="D161" s="319"/>
      <c r="E161" s="318">
        <f>E162+E167+E211+E236+E248+E271+E413+E425+E444+E452+E457+E487+E491+E494</f>
        <v>1672573.92</v>
      </c>
      <c r="F161" s="319"/>
      <c r="G161" s="318">
        <f>G162+G167+G211+G236+G248+G271+G413+G425+G444+G452+G457+G487+G491+G494</f>
        <v>552469.84</v>
      </c>
      <c r="H161" s="320">
        <f t="shared" si="2"/>
        <v>-99032205.250000015</v>
      </c>
      <c r="J161" s="324">
        <v>1278657.6999999732</v>
      </c>
    </row>
    <row r="162" spans="1:10">
      <c r="A162" s="321" t="s">
        <v>791</v>
      </c>
      <c r="B162" s="321" t="s">
        <v>792</v>
      </c>
      <c r="C162" s="322">
        <f>C163+C165</f>
        <v>-5.0000000046566129E-2</v>
      </c>
      <c r="D162" s="323"/>
      <c r="E162" s="322">
        <f>E163+E165</f>
        <v>0</v>
      </c>
      <c r="F162" s="323"/>
      <c r="G162" s="322">
        <f>G163+G165</f>
        <v>0</v>
      </c>
      <c r="H162" s="324">
        <f t="shared" si="2"/>
        <v>-5.0000000046566129E-2</v>
      </c>
      <c r="J162" s="352">
        <v>-100310862.94999999</v>
      </c>
    </row>
    <row r="163" spans="1:10">
      <c r="A163" s="334" t="s">
        <v>793</v>
      </c>
      <c r="B163" s="334" t="s">
        <v>794</v>
      </c>
      <c r="C163" s="335">
        <f>C164</f>
        <v>-5.0000000046566129E-2</v>
      </c>
      <c r="D163" s="336"/>
      <c r="E163" s="335">
        <f>E164</f>
        <v>0</v>
      </c>
      <c r="F163" s="336"/>
      <c r="G163" s="335">
        <f>G164</f>
        <v>0</v>
      </c>
      <c r="H163" s="337">
        <f t="shared" si="2"/>
        <v>-5.0000000046566129E-2</v>
      </c>
      <c r="J163" s="324">
        <f>100201814.49+H161</f>
        <v>1169609.2399999797</v>
      </c>
    </row>
    <row r="164" spans="1:10">
      <c r="A164" s="329" t="s">
        <v>795</v>
      </c>
      <c r="B164" s="329" t="s">
        <v>796</v>
      </c>
      <c r="C164" s="330">
        <v>-5.0000000046566129E-2</v>
      </c>
      <c r="D164" s="331"/>
      <c r="E164" s="331"/>
      <c r="F164" s="331"/>
      <c r="G164" s="331"/>
      <c r="H164" s="332">
        <f t="shared" si="2"/>
        <v>-5.0000000046566129E-2</v>
      </c>
    </row>
    <row r="165" spans="1:10">
      <c r="A165" s="334" t="s">
        <v>797</v>
      </c>
      <c r="B165" s="334" t="s">
        <v>798</v>
      </c>
      <c r="C165" s="335">
        <f>C166</f>
        <v>0</v>
      </c>
      <c r="D165" s="336"/>
      <c r="E165" s="335">
        <f>E166</f>
        <v>0</v>
      </c>
      <c r="F165" s="336"/>
      <c r="G165" s="335">
        <f>G166</f>
        <v>0</v>
      </c>
      <c r="H165" s="337">
        <f t="shared" si="2"/>
        <v>0</v>
      </c>
    </row>
    <row r="166" spans="1:10">
      <c r="A166" s="329" t="s">
        <v>799</v>
      </c>
      <c r="B166" s="329" t="s">
        <v>800</v>
      </c>
      <c r="C166" s="330">
        <v>0</v>
      </c>
      <c r="D166" s="331"/>
      <c r="E166" s="331"/>
      <c r="F166" s="331"/>
      <c r="G166" s="331"/>
      <c r="H166" s="332">
        <f t="shared" si="2"/>
        <v>0</v>
      </c>
    </row>
    <row r="167" spans="1:10">
      <c r="A167" s="321" t="s">
        <v>801</v>
      </c>
      <c r="B167" s="321" t="s">
        <v>802</v>
      </c>
      <c r="C167" s="322">
        <f>C168+C175+C187+C199</f>
        <v>-6604086.6100000022</v>
      </c>
      <c r="D167" s="323"/>
      <c r="E167" s="322">
        <f>E168+E175+E187+E199</f>
        <v>0</v>
      </c>
      <c r="F167" s="323"/>
      <c r="G167" s="322">
        <f>G168+G175+G187+G199</f>
        <v>0</v>
      </c>
      <c r="H167" s="324">
        <f t="shared" si="2"/>
        <v>-6604086.6100000022</v>
      </c>
    </row>
    <row r="168" spans="1:10">
      <c r="A168" s="334" t="s">
        <v>803</v>
      </c>
      <c r="B168" s="334" t="s">
        <v>804</v>
      </c>
      <c r="C168" s="335">
        <f>SUM(C169:C174)</f>
        <v>-159660.14000000124</v>
      </c>
      <c r="D168" s="336"/>
      <c r="E168" s="335">
        <f>SUM(E169:E174)</f>
        <v>0</v>
      </c>
      <c r="F168" s="336"/>
      <c r="G168" s="335">
        <f>SUM(G169:G174)</f>
        <v>0</v>
      </c>
      <c r="H168" s="337">
        <f t="shared" si="2"/>
        <v>-159660.14000000124</v>
      </c>
    </row>
    <row r="169" spans="1:10">
      <c r="A169" s="329" t="s">
        <v>805</v>
      </c>
      <c r="B169" s="329" t="s">
        <v>806</v>
      </c>
      <c r="C169" s="330">
        <v>-76780.48000000036</v>
      </c>
      <c r="D169" s="331"/>
      <c r="E169" s="331"/>
      <c r="F169" s="331"/>
      <c r="G169" s="331"/>
      <c r="H169" s="332">
        <f t="shared" si="2"/>
        <v>-76780.48000000036</v>
      </c>
    </row>
    <row r="170" spans="1:10">
      <c r="A170" s="329" t="s">
        <v>807</v>
      </c>
      <c r="B170" s="329" t="s">
        <v>808</v>
      </c>
      <c r="C170" s="330">
        <v>-52121.900000000431</v>
      </c>
      <c r="D170" s="331"/>
      <c r="E170" s="331"/>
      <c r="F170" s="331"/>
      <c r="G170" s="331"/>
      <c r="H170" s="332">
        <f t="shared" si="2"/>
        <v>-52121.900000000431</v>
      </c>
    </row>
    <row r="171" spans="1:10">
      <c r="A171" s="329" t="s">
        <v>809</v>
      </c>
      <c r="B171" s="329" t="s">
        <v>810</v>
      </c>
      <c r="C171" s="330">
        <v>-28236.610000000517</v>
      </c>
      <c r="D171" s="331"/>
      <c r="E171" s="331"/>
      <c r="F171" s="331"/>
      <c r="G171" s="331"/>
      <c r="H171" s="332">
        <f t="shared" si="2"/>
        <v>-28236.610000000517</v>
      </c>
    </row>
    <row r="172" spans="1:10">
      <c r="A172" s="329" t="s">
        <v>811</v>
      </c>
      <c r="B172" s="329" t="s">
        <v>812</v>
      </c>
      <c r="C172" s="330">
        <v>-1640.0699999999142</v>
      </c>
      <c r="D172" s="331"/>
      <c r="E172" s="331"/>
      <c r="F172" s="331"/>
      <c r="G172" s="331"/>
      <c r="H172" s="332">
        <f t="shared" si="2"/>
        <v>-1640.0699999999142</v>
      </c>
    </row>
    <row r="173" spans="1:10">
      <c r="A173" s="329" t="s">
        <v>813</v>
      </c>
      <c r="B173" s="329" t="s">
        <v>814</v>
      </c>
      <c r="C173" s="330">
        <v>-258.26000000000022</v>
      </c>
      <c r="D173" s="331"/>
      <c r="E173" s="331"/>
      <c r="F173" s="331"/>
      <c r="G173" s="331"/>
      <c r="H173" s="332">
        <f t="shared" si="2"/>
        <v>-258.26000000000022</v>
      </c>
    </row>
    <row r="174" spans="1:10">
      <c r="A174" s="329" t="s">
        <v>815</v>
      </c>
      <c r="B174" s="329" t="s">
        <v>816</v>
      </c>
      <c r="C174" s="330">
        <v>-622.81999999999653</v>
      </c>
      <c r="D174" s="331"/>
      <c r="E174" s="331"/>
      <c r="F174" s="331"/>
      <c r="G174" s="331"/>
      <c r="H174" s="332">
        <f t="shared" si="2"/>
        <v>-622.81999999999653</v>
      </c>
    </row>
    <row r="175" spans="1:10">
      <c r="A175" s="334" t="s">
        <v>817</v>
      </c>
      <c r="B175" s="334" t="s">
        <v>818</v>
      </c>
      <c r="C175" s="335">
        <f>SUM(C176:C186)</f>
        <v>-4332685.9399999995</v>
      </c>
      <c r="D175" s="336"/>
      <c r="E175" s="335">
        <f>SUM(E176:E186)</f>
        <v>0</v>
      </c>
      <c r="F175" s="336"/>
      <c r="G175" s="335">
        <f>SUM(G176:G186)</f>
        <v>0</v>
      </c>
      <c r="H175" s="337">
        <f t="shared" si="2"/>
        <v>-4332685.9399999995</v>
      </c>
    </row>
    <row r="176" spans="1:10">
      <c r="A176" s="329" t="s">
        <v>819</v>
      </c>
      <c r="B176" s="329" t="s">
        <v>820</v>
      </c>
      <c r="C176" s="330">
        <v>-2928241.71</v>
      </c>
      <c r="D176" s="331"/>
      <c r="E176" s="331"/>
      <c r="F176" s="331"/>
      <c r="G176" s="331"/>
      <c r="H176" s="332">
        <f t="shared" si="2"/>
        <v>-2928241.71</v>
      </c>
    </row>
    <row r="177" spans="1:8">
      <c r="A177" s="329" t="s">
        <v>821</v>
      </c>
      <c r="B177" s="329" t="s">
        <v>822</v>
      </c>
      <c r="C177" s="330">
        <v>-116825.36000000003</v>
      </c>
      <c r="D177" s="331"/>
      <c r="E177" s="331"/>
      <c r="F177" s="331"/>
      <c r="G177" s="331"/>
      <c r="H177" s="332">
        <f t="shared" si="2"/>
        <v>-116825.36000000003</v>
      </c>
    </row>
    <row r="178" spans="1:8">
      <c r="A178" s="329" t="s">
        <v>823</v>
      </c>
      <c r="B178" s="329" t="s">
        <v>824</v>
      </c>
      <c r="C178" s="330">
        <v>-205696.07000000004</v>
      </c>
      <c r="D178" s="331"/>
      <c r="E178" s="331"/>
      <c r="F178" s="331"/>
      <c r="G178" s="331"/>
      <c r="H178" s="332">
        <f t="shared" si="2"/>
        <v>-205696.07000000004</v>
      </c>
    </row>
    <row r="179" spans="1:8">
      <c r="A179" s="329" t="s">
        <v>825</v>
      </c>
      <c r="B179" s="329" t="s">
        <v>826</v>
      </c>
      <c r="C179" s="330">
        <v>-311892.09000000008</v>
      </c>
      <c r="D179" s="331"/>
      <c r="E179" s="331"/>
      <c r="F179" s="331"/>
      <c r="G179" s="331"/>
      <c r="H179" s="332">
        <f t="shared" si="2"/>
        <v>-311892.09000000008</v>
      </c>
    </row>
    <row r="180" spans="1:8">
      <c r="A180" s="329" t="s">
        <v>827</v>
      </c>
      <c r="B180" s="329" t="s">
        <v>828</v>
      </c>
      <c r="C180" s="330">
        <v>-143626.97000000003</v>
      </c>
      <c r="D180" s="331"/>
      <c r="E180" s="331"/>
      <c r="F180" s="331"/>
      <c r="G180" s="331"/>
      <c r="H180" s="332">
        <f t="shared" si="2"/>
        <v>-143626.97000000003</v>
      </c>
    </row>
    <row r="181" spans="1:8">
      <c r="A181" s="329" t="s">
        <v>829</v>
      </c>
      <c r="B181" s="329" t="s">
        <v>830</v>
      </c>
      <c r="C181" s="330">
        <v>-240224.88</v>
      </c>
      <c r="D181" s="331"/>
      <c r="E181" s="331"/>
      <c r="F181" s="331"/>
      <c r="G181" s="331"/>
      <c r="H181" s="332">
        <f t="shared" si="2"/>
        <v>-240224.88</v>
      </c>
    </row>
    <row r="182" spans="1:8">
      <c r="A182" s="329" t="s">
        <v>831</v>
      </c>
      <c r="B182" s="329" t="s">
        <v>832</v>
      </c>
      <c r="C182" s="330">
        <v>-132700.27000000005</v>
      </c>
      <c r="D182" s="331"/>
      <c r="E182" s="331"/>
      <c r="F182" s="331"/>
      <c r="G182" s="331"/>
      <c r="H182" s="332">
        <f t="shared" si="2"/>
        <v>-132700.27000000005</v>
      </c>
    </row>
    <row r="183" spans="1:8">
      <c r="A183" s="329" t="s">
        <v>833</v>
      </c>
      <c r="B183" s="329" t="s">
        <v>834</v>
      </c>
      <c r="C183" s="330">
        <v>-45877.000000000022</v>
      </c>
      <c r="D183" s="331"/>
      <c r="E183" s="331"/>
      <c r="F183" s="331"/>
      <c r="G183" s="331"/>
      <c r="H183" s="332">
        <f t="shared" si="2"/>
        <v>-45877.000000000022</v>
      </c>
    </row>
    <row r="184" spans="1:8">
      <c r="A184" s="329" t="s">
        <v>835</v>
      </c>
      <c r="B184" s="329" t="s">
        <v>836</v>
      </c>
      <c r="C184" s="330">
        <v>-109537.08</v>
      </c>
      <c r="D184" s="331"/>
      <c r="E184" s="331"/>
      <c r="F184" s="331"/>
      <c r="G184" s="331"/>
      <c r="H184" s="332">
        <f t="shared" si="2"/>
        <v>-109537.08</v>
      </c>
    </row>
    <row r="185" spans="1:8">
      <c r="A185" s="329" t="s">
        <v>837</v>
      </c>
      <c r="B185" s="329" t="s">
        <v>838</v>
      </c>
      <c r="C185" s="330">
        <v>-55526.460000000021</v>
      </c>
      <c r="D185" s="331"/>
      <c r="E185" s="331"/>
      <c r="F185" s="331"/>
      <c r="G185" s="331"/>
      <c r="H185" s="332">
        <f t="shared" si="2"/>
        <v>-55526.460000000021</v>
      </c>
    </row>
    <row r="186" spans="1:8">
      <c r="A186" s="329" t="s">
        <v>839</v>
      </c>
      <c r="B186" s="329" t="s">
        <v>840</v>
      </c>
      <c r="C186" s="330">
        <v>-42538.05000000001</v>
      </c>
      <c r="D186" s="331"/>
      <c r="E186" s="331"/>
      <c r="F186" s="331"/>
      <c r="G186" s="331"/>
      <c r="H186" s="332">
        <f t="shared" si="2"/>
        <v>-42538.05000000001</v>
      </c>
    </row>
    <row r="187" spans="1:8">
      <c r="A187" s="334" t="s">
        <v>841</v>
      </c>
      <c r="B187" s="334" t="s">
        <v>842</v>
      </c>
      <c r="C187" s="335">
        <f>SUM(C188:C198)</f>
        <v>-357437.32000000076</v>
      </c>
      <c r="D187" s="336"/>
      <c r="E187" s="335">
        <f>SUM(E188:E198)</f>
        <v>0</v>
      </c>
      <c r="F187" s="336"/>
      <c r="G187" s="335">
        <f>SUM(G188:G198)</f>
        <v>0</v>
      </c>
      <c r="H187" s="337">
        <f t="shared" si="2"/>
        <v>-357437.32000000076</v>
      </c>
    </row>
    <row r="188" spans="1:8">
      <c r="A188" s="329" t="s">
        <v>843</v>
      </c>
      <c r="B188" s="329" t="s">
        <v>844</v>
      </c>
      <c r="C188" s="330">
        <v>-42073.710000000079</v>
      </c>
      <c r="D188" s="331"/>
      <c r="E188" s="331"/>
      <c r="F188" s="331"/>
      <c r="G188" s="331"/>
      <c r="H188" s="332">
        <f t="shared" si="2"/>
        <v>-42073.710000000079</v>
      </c>
    </row>
    <row r="189" spans="1:8">
      <c r="A189" s="329" t="s">
        <v>845</v>
      </c>
      <c r="B189" s="329" t="s">
        <v>846</v>
      </c>
      <c r="C189" s="330">
        <v>-107300.53999999998</v>
      </c>
      <c r="D189" s="331"/>
      <c r="E189" s="331"/>
      <c r="F189" s="331"/>
      <c r="G189" s="331"/>
      <c r="H189" s="332">
        <f t="shared" si="2"/>
        <v>-107300.53999999998</v>
      </c>
    </row>
    <row r="190" spans="1:8">
      <c r="A190" s="329" t="s">
        <v>847</v>
      </c>
      <c r="B190" s="329" t="s">
        <v>848</v>
      </c>
      <c r="C190" s="330">
        <v>-34363.130000000005</v>
      </c>
      <c r="D190" s="331"/>
      <c r="E190" s="331"/>
      <c r="F190" s="331"/>
      <c r="G190" s="331"/>
      <c r="H190" s="332">
        <f t="shared" si="2"/>
        <v>-34363.130000000005</v>
      </c>
    </row>
    <row r="191" spans="1:8">
      <c r="A191" s="329" t="s">
        <v>849</v>
      </c>
      <c r="B191" s="329" t="s">
        <v>850</v>
      </c>
      <c r="C191" s="330">
        <v>-38489.630000000005</v>
      </c>
      <c r="D191" s="331"/>
      <c r="E191" s="331"/>
      <c r="F191" s="331"/>
      <c r="G191" s="331"/>
      <c r="H191" s="332">
        <f t="shared" si="2"/>
        <v>-38489.630000000005</v>
      </c>
    </row>
    <row r="192" spans="1:8">
      <c r="A192" s="329" t="s">
        <v>851</v>
      </c>
      <c r="B192" s="329" t="s">
        <v>852</v>
      </c>
      <c r="C192" s="330">
        <v>-15860.770000000251</v>
      </c>
      <c r="D192" s="331"/>
      <c r="E192" s="331"/>
      <c r="F192" s="331"/>
      <c r="G192" s="331"/>
      <c r="H192" s="332">
        <f t="shared" si="2"/>
        <v>-15860.770000000251</v>
      </c>
    </row>
    <row r="193" spans="1:8">
      <c r="A193" s="329" t="s">
        <v>853</v>
      </c>
      <c r="B193" s="329" t="s">
        <v>854</v>
      </c>
      <c r="C193" s="330">
        <v>-67708.020000000251</v>
      </c>
      <c r="D193" s="331"/>
      <c r="E193" s="331"/>
      <c r="F193" s="331"/>
      <c r="G193" s="331"/>
      <c r="H193" s="332">
        <f t="shared" si="2"/>
        <v>-67708.020000000251</v>
      </c>
    </row>
    <row r="194" spans="1:8">
      <c r="A194" s="329" t="s">
        <v>855</v>
      </c>
      <c r="B194" s="329" t="s">
        <v>856</v>
      </c>
      <c r="C194" s="330">
        <v>-5412.7800000000861</v>
      </c>
      <c r="D194" s="331"/>
      <c r="E194" s="331"/>
      <c r="F194" s="331"/>
      <c r="G194" s="331"/>
      <c r="H194" s="332">
        <f t="shared" si="2"/>
        <v>-5412.7800000000861</v>
      </c>
    </row>
    <row r="195" spans="1:8">
      <c r="A195" s="329" t="s">
        <v>857</v>
      </c>
      <c r="B195" s="329" t="s">
        <v>858</v>
      </c>
      <c r="C195" s="330">
        <v>-13403.49000000002</v>
      </c>
      <c r="D195" s="331"/>
      <c r="E195" s="331"/>
      <c r="F195" s="331"/>
      <c r="G195" s="331"/>
      <c r="H195" s="332">
        <f t="shared" si="2"/>
        <v>-13403.49000000002</v>
      </c>
    </row>
    <row r="196" spans="1:8">
      <c r="A196" s="329" t="s">
        <v>859</v>
      </c>
      <c r="B196" s="329" t="s">
        <v>860</v>
      </c>
      <c r="C196" s="330">
        <v>-19245.350000000151</v>
      </c>
      <c r="D196" s="331"/>
      <c r="E196" s="331"/>
      <c r="F196" s="331"/>
      <c r="G196" s="331"/>
      <c r="H196" s="332">
        <f t="shared" si="2"/>
        <v>-19245.350000000151</v>
      </c>
    </row>
    <row r="197" spans="1:8">
      <c r="A197" s="329" t="s">
        <v>861</v>
      </c>
      <c r="B197" s="329" t="s">
        <v>862</v>
      </c>
      <c r="C197" s="330">
        <v>-9777.5199999999604</v>
      </c>
      <c r="D197" s="331"/>
      <c r="E197" s="331"/>
      <c r="F197" s="331"/>
      <c r="G197" s="331"/>
      <c r="H197" s="332">
        <f t="shared" si="2"/>
        <v>-9777.5199999999604</v>
      </c>
    </row>
    <row r="198" spans="1:8">
      <c r="A198" s="329" t="s">
        <v>863</v>
      </c>
      <c r="B198" s="329" t="s">
        <v>864</v>
      </c>
      <c r="C198" s="330">
        <v>-3802.3800000000047</v>
      </c>
      <c r="D198" s="331"/>
      <c r="E198" s="331"/>
      <c r="F198" s="331"/>
      <c r="G198" s="331"/>
      <c r="H198" s="332">
        <f t="shared" si="2"/>
        <v>-3802.3800000000047</v>
      </c>
    </row>
    <row r="199" spans="1:8">
      <c r="A199" s="334" t="s">
        <v>865</v>
      </c>
      <c r="B199" s="334" t="s">
        <v>866</v>
      </c>
      <c r="C199" s="335">
        <f>SUM(C200:C210)</f>
        <v>-1754303.2099999997</v>
      </c>
      <c r="D199" s="336"/>
      <c r="E199" s="335">
        <f>SUM(E200:E210)</f>
        <v>0</v>
      </c>
      <c r="F199" s="336"/>
      <c r="G199" s="335">
        <f>SUM(G200:G210)</f>
        <v>0</v>
      </c>
      <c r="H199" s="337">
        <f t="shared" si="2"/>
        <v>-1754303.2099999997</v>
      </c>
    </row>
    <row r="200" spans="1:8">
      <c r="A200" s="329" t="s">
        <v>867</v>
      </c>
      <c r="B200" s="329" t="s">
        <v>868</v>
      </c>
      <c r="C200" s="330">
        <v>-427979.57999999984</v>
      </c>
      <c r="D200" s="331"/>
      <c r="E200" s="331"/>
      <c r="F200" s="331"/>
      <c r="G200" s="331"/>
      <c r="H200" s="332">
        <f t="shared" ref="H200:H263" si="3">C200+E200-G200</f>
        <v>-427979.57999999984</v>
      </c>
    </row>
    <row r="201" spans="1:8">
      <c r="A201" s="329" t="s">
        <v>869</v>
      </c>
      <c r="B201" s="329" t="s">
        <v>870</v>
      </c>
      <c r="C201" s="330">
        <v>-81508.489999999991</v>
      </c>
      <c r="D201" s="331"/>
      <c r="E201" s="331"/>
      <c r="F201" s="331"/>
      <c r="G201" s="331"/>
      <c r="H201" s="332">
        <f t="shared" si="3"/>
        <v>-81508.489999999991</v>
      </c>
    </row>
    <row r="202" spans="1:8">
      <c r="A202" s="329" t="s">
        <v>871</v>
      </c>
      <c r="B202" s="329" t="s">
        <v>872</v>
      </c>
      <c r="C202" s="330">
        <v>-228764.39999999991</v>
      </c>
      <c r="D202" s="331"/>
      <c r="E202" s="331"/>
      <c r="F202" s="331"/>
      <c r="G202" s="331"/>
      <c r="H202" s="332">
        <f t="shared" si="3"/>
        <v>-228764.39999999991</v>
      </c>
    </row>
    <row r="203" spans="1:8">
      <c r="A203" s="329" t="s">
        <v>873</v>
      </c>
      <c r="B203" s="329" t="s">
        <v>874</v>
      </c>
      <c r="C203" s="330">
        <v>-151153.46000000002</v>
      </c>
      <c r="D203" s="331"/>
      <c r="E203" s="331"/>
      <c r="F203" s="331"/>
      <c r="G203" s="331"/>
      <c r="H203" s="332">
        <f t="shared" si="3"/>
        <v>-151153.46000000002</v>
      </c>
    </row>
    <row r="204" spans="1:8">
      <c r="A204" s="329" t="s">
        <v>875</v>
      </c>
      <c r="B204" s="329" t="s">
        <v>876</v>
      </c>
      <c r="C204" s="330">
        <v>-179054.08999999985</v>
      </c>
      <c r="D204" s="331"/>
      <c r="E204" s="331"/>
      <c r="F204" s="331"/>
      <c r="G204" s="331"/>
      <c r="H204" s="332">
        <f t="shared" si="3"/>
        <v>-179054.08999999985</v>
      </c>
    </row>
    <row r="205" spans="1:8">
      <c r="A205" s="329" t="s">
        <v>877</v>
      </c>
      <c r="B205" s="329" t="s">
        <v>878</v>
      </c>
      <c r="C205" s="330">
        <v>-265783.31000000006</v>
      </c>
      <c r="D205" s="331"/>
      <c r="E205" s="331"/>
      <c r="F205" s="331"/>
      <c r="G205" s="331"/>
      <c r="H205" s="332">
        <f t="shared" si="3"/>
        <v>-265783.31000000006</v>
      </c>
    </row>
    <row r="206" spans="1:8">
      <c r="A206" s="329" t="s">
        <v>879</v>
      </c>
      <c r="B206" s="329" t="s">
        <v>880</v>
      </c>
      <c r="C206" s="330">
        <v>-133148.22000000009</v>
      </c>
      <c r="D206" s="331"/>
      <c r="E206" s="331"/>
      <c r="F206" s="331"/>
      <c r="G206" s="331"/>
      <c r="H206" s="332">
        <f t="shared" si="3"/>
        <v>-133148.22000000009</v>
      </c>
    </row>
    <row r="207" spans="1:8">
      <c r="A207" s="329" t="s">
        <v>881</v>
      </c>
      <c r="B207" s="329" t="s">
        <v>882</v>
      </c>
      <c r="C207" s="330">
        <v>-110632.88</v>
      </c>
      <c r="D207" s="331"/>
      <c r="E207" s="331"/>
      <c r="F207" s="331"/>
      <c r="G207" s="331"/>
      <c r="H207" s="332">
        <f t="shared" si="3"/>
        <v>-110632.88</v>
      </c>
    </row>
    <row r="208" spans="1:8">
      <c r="A208" s="329" t="s">
        <v>883</v>
      </c>
      <c r="B208" s="329" t="s">
        <v>884</v>
      </c>
      <c r="C208" s="330">
        <v>-87996.099999999977</v>
      </c>
      <c r="D208" s="331"/>
      <c r="E208" s="331"/>
      <c r="F208" s="331"/>
      <c r="G208" s="331"/>
      <c r="H208" s="332">
        <f t="shared" si="3"/>
        <v>-87996.099999999977</v>
      </c>
    </row>
    <row r="209" spans="1:8">
      <c r="A209" s="329" t="s">
        <v>885</v>
      </c>
      <c r="B209" s="329" t="s">
        <v>886</v>
      </c>
      <c r="C209" s="330">
        <v>-57887.659999999858</v>
      </c>
      <c r="D209" s="331"/>
      <c r="E209" s="331"/>
      <c r="F209" s="331"/>
      <c r="G209" s="331"/>
      <c r="H209" s="332">
        <f t="shared" si="3"/>
        <v>-57887.659999999858</v>
      </c>
    </row>
    <row r="210" spans="1:8">
      <c r="A210" s="329" t="s">
        <v>887</v>
      </c>
      <c r="B210" s="329" t="s">
        <v>888</v>
      </c>
      <c r="C210" s="330">
        <v>-30395.020000000019</v>
      </c>
      <c r="D210" s="331"/>
      <c r="E210" s="331"/>
      <c r="F210" s="331"/>
      <c r="G210" s="331"/>
      <c r="H210" s="332">
        <f t="shared" si="3"/>
        <v>-30395.020000000019</v>
      </c>
    </row>
    <row r="211" spans="1:8">
      <c r="A211" s="321" t="s">
        <v>889</v>
      </c>
      <c r="B211" s="321" t="s">
        <v>890</v>
      </c>
      <c r="C211" s="322">
        <f>C212+C224</f>
        <v>-5018312.6900000013</v>
      </c>
      <c r="D211" s="323"/>
      <c r="E211" s="322">
        <f>E212+E224</f>
        <v>0</v>
      </c>
      <c r="F211" s="323"/>
      <c r="G211" s="322">
        <f>G212+G224</f>
        <v>0</v>
      </c>
      <c r="H211" s="324">
        <f t="shared" si="3"/>
        <v>-5018312.6900000013</v>
      </c>
    </row>
    <row r="212" spans="1:8">
      <c r="A212" s="334" t="s">
        <v>891</v>
      </c>
      <c r="B212" s="334" t="s">
        <v>892</v>
      </c>
      <c r="C212" s="335">
        <f>SUM(C213:C223)</f>
        <v>-4677125.9600000009</v>
      </c>
      <c r="D212" s="336"/>
      <c r="E212" s="335">
        <f>SUM(E213:E223)</f>
        <v>0</v>
      </c>
      <c r="F212" s="336"/>
      <c r="G212" s="335">
        <f>SUM(G213:G223)</f>
        <v>0</v>
      </c>
      <c r="H212" s="337">
        <f t="shared" si="3"/>
        <v>-4677125.9600000009</v>
      </c>
    </row>
    <row r="213" spans="1:8">
      <c r="A213" s="329" t="s">
        <v>893</v>
      </c>
      <c r="B213" s="329" t="s">
        <v>894</v>
      </c>
      <c r="C213" s="330">
        <v>-622582.4</v>
      </c>
      <c r="D213" s="331"/>
      <c r="E213" s="331"/>
      <c r="F213" s="331"/>
      <c r="G213" s="331"/>
      <c r="H213" s="332">
        <f t="shared" si="3"/>
        <v>-622582.4</v>
      </c>
    </row>
    <row r="214" spans="1:8">
      <c r="A214" s="329" t="s">
        <v>895</v>
      </c>
      <c r="B214" s="329" t="s">
        <v>896</v>
      </c>
      <c r="C214" s="330">
        <v>-451764.02999999997</v>
      </c>
      <c r="D214" s="331"/>
      <c r="E214" s="331"/>
      <c r="F214" s="331"/>
      <c r="G214" s="331"/>
      <c r="H214" s="332">
        <f t="shared" si="3"/>
        <v>-451764.02999999997</v>
      </c>
    </row>
    <row r="215" spans="1:8">
      <c r="A215" s="329" t="s">
        <v>897</v>
      </c>
      <c r="B215" s="329" t="s">
        <v>898</v>
      </c>
      <c r="C215" s="330">
        <v>-835286.51000000013</v>
      </c>
      <c r="D215" s="331"/>
      <c r="E215" s="331"/>
      <c r="F215" s="331"/>
      <c r="G215" s="331"/>
      <c r="H215" s="332">
        <f t="shared" si="3"/>
        <v>-835286.51000000013</v>
      </c>
    </row>
    <row r="216" spans="1:8">
      <c r="A216" s="329" t="s">
        <v>899</v>
      </c>
      <c r="B216" s="329" t="s">
        <v>900</v>
      </c>
      <c r="C216" s="330">
        <v>-407989.11</v>
      </c>
      <c r="D216" s="331"/>
      <c r="E216" s="331"/>
      <c r="F216" s="331"/>
      <c r="G216" s="331"/>
      <c r="H216" s="332">
        <f t="shared" si="3"/>
        <v>-407989.11</v>
      </c>
    </row>
    <row r="217" spans="1:8">
      <c r="A217" s="329" t="s">
        <v>901</v>
      </c>
      <c r="B217" s="329" t="s">
        <v>902</v>
      </c>
      <c r="C217" s="330">
        <v>-497624.65000000014</v>
      </c>
      <c r="D217" s="331"/>
      <c r="E217" s="331"/>
      <c r="F217" s="331"/>
      <c r="G217" s="331"/>
      <c r="H217" s="332">
        <f t="shared" si="3"/>
        <v>-497624.65000000014</v>
      </c>
    </row>
    <row r="218" spans="1:8">
      <c r="A218" s="329" t="s">
        <v>903</v>
      </c>
      <c r="B218" s="329" t="s">
        <v>904</v>
      </c>
      <c r="C218" s="330">
        <v>-763719.50000000012</v>
      </c>
      <c r="D218" s="331"/>
      <c r="E218" s="331"/>
      <c r="F218" s="331"/>
      <c r="G218" s="331"/>
      <c r="H218" s="332">
        <f t="shared" si="3"/>
        <v>-763719.50000000012</v>
      </c>
    </row>
    <row r="219" spans="1:8">
      <c r="A219" s="329" t="s">
        <v>905</v>
      </c>
      <c r="B219" s="329" t="s">
        <v>906</v>
      </c>
      <c r="C219" s="330">
        <v>-296901.13000000006</v>
      </c>
      <c r="D219" s="331"/>
      <c r="E219" s="331"/>
      <c r="F219" s="331"/>
      <c r="G219" s="331"/>
      <c r="H219" s="332">
        <f t="shared" si="3"/>
        <v>-296901.13000000006</v>
      </c>
    </row>
    <row r="220" spans="1:8">
      <c r="A220" s="329" t="s">
        <v>907</v>
      </c>
      <c r="B220" s="329" t="s">
        <v>908</v>
      </c>
      <c r="C220" s="330">
        <v>-292285.81000000006</v>
      </c>
      <c r="D220" s="331"/>
      <c r="E220" s="331"/>
      <c r="F220" s="331"/>
      <c r="G220" s="331"/>
      <c r="H220" s="332">
        <f t="shared" si="3"/>
        <v>-292285.81000000006</v>
      </c>
    </row>
    <row r="221" spans="1:8">
      <c r="A221" s="329" t="s">
        <v>909</v>
      </c>
      <c r="B221" s="329" t="s">
        <v>910</v>
      </c>
      <c r="C221" s="330">
        <v>-291265.18999999994</v>
      </c>
      <c r="D221" s="331"/>
      <c r="E221" s="331"/>
      <c r="F221" s="331"/>
      <c r="G221" s="331"/>
      <c r="H221" s="332">
        <f t="shared" si="3"/>
        <v>-291265.18999999994</v>
      </c>
    </row>
    <row r="222" spans="1:8">
      <c r="A222" s="329" t="s">
        <v>911</v>
      </c>
      <c r="B222" s="329" t="s">
        <v>912</v>
      </c>
      <c r="C222" s="330">
        <v>-187576.19000000003</v>
      </c>
      <c r="D222" s="331"/>
      <c r="E222" s="331"/>
      <c r="F222" s="331"/>
      <c r="G222" s="331"/>
      <c r="H222" s="332">
        <f t="shared" si="3"/>
        <v>-187576.19000000003</v>
      </c>
    </row>
    <row r="223" spans="1:8">
      <c r="A223" s="329" t="s">
        <v>913</v>
      </c>
      <c r="B223" s="329" t="s">
        <v>914</v>
      </c>
      <c r="C223" s="330">
        <v>-30131.439999999999</v>
      </c>
      <c r="D223" s="331"/>
      <c r="E223" s="331"/>
      <c r="F223" s="331"/>
      <c r="G223" s="331"/>
      <c r="H223" s="332">
        <f t="shared" si="3"/>
        <v>-30131.439999999999</v>
      </c>
    </row>
    <row r="224" spans="1:8">
      <c r="A224" s="334" t="s">
        <v>915</v>
      </c>
      <c r="B224" s="334" t="s">
        <v>916</v>
      </c>
      <c r="C224" s="335">
        <f>SUM(C225:C235)</f>
        <v>-341186.73</v>
      </c>
      <c r="D224" s="336"/>
      <c r="E224" s="335">
        <f>SUM(E225:E235)</f>
        <v>0</v>
      </c>
      <c r="F224" s="336"/>
      <c r="G224" s="335">
        <f>SUM(G225:G235)</f>
        <v>0</v>
      </c>
      <c r="H224" s="337">
        <f t="shared" si="3"/>
        <v>-341186.73</v>
      </c>
    </row>
    <row r="225" spans="1:8">
      <c r="A225" s="329" t="s">
        <v>917</v>
      </c>
      <c r="B225" s="329" t="s">
        <v>918</v>
      </c>
      <c r="C225" s="330">
        <v>-9363.61</v>
      </c>
      <c r="D225" s="331"/>
      <c r="E225" s="331"/>
      <c r="F225" s="331"/>
      <c r="G225" s="331"/>
      <c r="H225" s="332">
        <f t="shared" si="3"/>
        <v>-9363.61</v>
      </c>
    </row>
    <row r="226" spans="1:8">
      <c r="A226" s="329" t="s">
        <v>919</v>
      </c>
      <c r="B226" s="329" t="s">
        <v>920</v>
      </c>
      <c r="C226" s="330">
        <v>-20550.300000000003</v>
      </c>
      <c r="D226" s="331"/>
      <c r="E226" s="331"/>
      <c r="F226" s="331"/>
      <c r="G226" s="331"/>
      <c r="H226" s="332">
        <f t="shared" si="3"/>
        <v>-20550.300000000003</v>
      </c>
    </row>
    <row r="227" spans="1:8">
      <c r="A227" s="329" t="s">
        <v>921</v>
      </c>
      <c r="B227" s="329" t="s">
        <v>922</v>
      </c>
      <c r="C227" s="330">
        <v>-11908.85</v>
      </c>
      <c r="D227" s="331"/>
      <c r="E227" s="331"/>
      <c r="F227" s="331"/>
      <c r="G227" s="331"/>
      <c r="H227" s="332">
        <f t="shared" si="3"/>
        <v>-11908.85</v>
      </c>
    </row>
    <row r="228" spans="1:8">
      <c r="A228" s="329" t="s">
        <v>923</v>
      </c>
      <c r="B228" s="329" t="s">
        <v>924</v>
      </c>
      <c r="C228" s="330">
        <v>-41071.33</v>
      </c>
      <c r="D228" s="331"/>
      <c r="E228" s="331"/>
      <c r="F228" s="331"/>
      <c r="G228" s="331"/>
      <c r="H228" s="332">
        <f t="shared" si="3"/>
        <v>-41071.33</v>
      </c>
    </row>
    <row r="229" spans="1:8">
      <c r="A229" s="329" t="s">
        <v>925</v>
      </c>
      <c r="B229" s="329" t="s">
        <v>926</v>
      </c>
      <c r="C229" s="330">
        <v>-43264.600000000006</v>
      </c>
      <c r="D229" s="331"/>
      <c r="E229" s="331"/>
      <c r="F229" s="331"/>
      <c r="G229" s="331"/>
      <c r="H229" s="332">
        <f t="shared" si="3"/>
        <v>-43264.600000000006</v>
      </c>
    </row>
    <row r="230" spans="1:8">
      <c r="A230" s="329" t="s">
        <v>927</v>
      </c>
      <c r="B230" s="329" t="s">
        <v>928</v>
      </c>
      <c r="C230" s="330">
        <v>-47726.490000000005</v>
      </c>
      <c r="D230" s="331"/>
      <c r="E230" s="331"/>
      <c r="F230" s="331"/>
      <c r="G230" s="331"/>
      <c r="H230" s="332">
        <f t="shared" si="3"/>
        <v>-47726.490000000005</v>
      </c>
    </row>
    <row r="231" spans="1:8">
      <c r="A231" s="329" t="s">
        <v>929</v>
      </c>
      <c r="B231" s="329" t="s">
        <v>930</v>
      </c>
      <c r="C231" s="330">
        <v>-40608.819999999992</v>
      </c>
      <c r="D231" s="331"/>
      <c r="E231" s="331"/>
      <c r="F231" s="331"/>
      <c r="G231" s="331"/>
      <c r="H231" s="332">
        <f t="shared" si="3"/>
        <v>-40608.819999999992</v>
      </c>
    </row>
    <row r="232" spans="1:8">
      <c r="A232" s="329" t="s">
        <v>931</v>
      </c>
      <c r="B232" s="329" t="s">
        <v>932</v>
      </c>
      <c r="C232" s="330">
        <v>-37203.31</v>
      </c>
      <c r="D232" s="331"/>
      <c r="E232" s="331"/>
      <c r="F232" s="331"/>
      <c r="G232" s="331"/>
      <c r="H232" s="332">
        <f t="shared" si="3"/>
        <v>-37203.31</v>
      </c>
    </row>
    <row r="233" spans="1:8">
      <c r="A233" s="329" t="s">
        <v>933</v>
      </c>
      <c r="B233" s="329" t="s">
        <v>934</v>
      </c>
      <c r="C233" s="330">
        <v>-31166.390000000014</v>
      </c>
      <c r="D233" s="331"/>
      <c r="E233" s="331"/>
      <c r="F233" s="331"/>
      <c r="G233" s="331"/>
      <c r="H233" s="332">
        <f t="shared" si="3"/>
        <v>-31166.390000000014</v>
      </c>
    </row>
    <row r="234" spans="1:8">
      <c r="A234" s="329" t="s">
        <v>935</v>
      </c>
      <c r="B234" s="329" t="s">
        <v>936</v>
      </c>
      <c r="C234" s="330">
        <v>-3200.4700000000003</v>
      </c>
      <c r="D234" s="331"/>
      <c r="E234" s="331"/>
      <c r="F234" s="331"/>
      <c r="G234" s="331"/>
      <c r="H234" s="332">
        <f t="shared" si="3"/>
        <v>-3200.4700000000003</v>
      </c>
    </row>
    <row r="235" spans="1:8">
      <c r="A235" s="329" t="s">
        <v>937</v>
      </c>
      <c r="B235" s="329" t="s">
        <v>938</v>
      </c>
      <c r="C235" s="330">
        <v>-55122.560000000005</v>
      </c>
      <c r="D235" s="331"/>
      <c r="E235" s="331"/>
      <c r="F235" s="331"/>
      <c r="G235" s="331"/>
      <c r="H235" s="332">
        <f t="shared" si="3"/>
        <v>-55122.560000000005</v>
      </c>
    </row>
    <row r="236" spans="1:8">
      <c r="A236" s="321" t="s">
        <v>939</v>
      </c>
      <c r="B236" s="321" t="s">
        <v>940</v>
      </c>
      <c r="C236" s="322">
        <f>C237</f>
        <v>-341200.61000000004</v>
      </c>
      <c r="D236" s="323"/>
      <c r="E236" s="322">
        <f>E237</f>
        <v>0</v>
      </c>
      <c r="F236" s="323"/>
      <c r="G236" s="322">
        <f>G237</f>
        <v>0</v>
      </c>
      <c r="H236" s="324">
        <f t="shared" si="3"/>
        <v>-341200.61000000004</v>
      </c>
    </row>
    <row r="237" spans="1:8">
      <c r="A237" s="334" t="s">
        <v>941</v>
      </c>
      <c r="B237" s="334" t="s">
        <v>942</v>
      </c>
      <c r="C237" s="335">
        <f>SUM(C238:C247)</f>
        <v>-341200.61000000004</v>
      </c>
      <c r="D237" s="336"/>
      <c r="E237" s="335">
        <f>SUM(E238:E247)</f>
        <v>0</v>
      </c>
      <c r="F237" s="336"/>
      <c r="G237" s="335">
        <f>SUM(G238:G247)</f>
        <v>0</v>
      </c>
      <c r="H237" s="337">
        <f t="shared" si="3"/>
        <v>-341200.61000000004</v>
      </c>
    </row>
    <row r="238" spans="1:8">
      <c r="A238" s="329" t="s">
        <v>943</v>
      </c>
      <c r="B238" s="329" t="s">
        <v>944</v>
      </c>
      <c r="C238" s="330">
        <v>-21690.320000000007</v>
      </c>
      <c r="D238" s="331"/>
      <c r="E238" s="331"/>
      <c r="F238" s="331"/>
      <c r="G238" s="331"/>
      <c r="H238" s="332">
        <f t="shared" si="3"/>
        <v>-21690.320000000007</v>
      </c>
    </row>
    <row r="239" spans="1:8">
      <c r="A239" s="329" t="s">
        <v>945</v>
      </c>
      <c r="B239" s="329" t="s">
        <v>946</v>
      </c>
      <c r="C239" s="330">
        <v>-14943.439999999995</v>
      </c>
      <c r="D239" s="331"/>
      <c r="E239" s="331"/>
      <c r="F239" s="331"/>
      <c r="G239" s="331"/>
      <c r="H239" s="332">
        <f t="shared" si="3"/>
        <v>-14943.439999999995</v>
      </c>
    </row>
    <row r="240" spans="1:8">
      <c r="A240" s="329" t="s">
        <v>947</v>
      </c>
      <c r="B240" s="329" t="s">
        <v>948</v>
      </c>
      <c r="C240" s="330">
        <v>-2698.2600000000039</v>
      </c>
      <c r="D240" s="331"/>
      <c r="E240" s="331"/>
      <c r="F240" s="331"/>
      <c r="G240" s="331"/>
      <c r="H240" s="332">
        <f t="shared" si="3"/>
        <v>-2698.2600000000039</v>
      </c>
    </row>
    <row r="241" spans="1:8">
      <c r="A241" s="329" t="s">
        <v>949</v>
      </c>
      <c r="B241" s="329" t="s">
        <v>950</v>
      </c>
      <c r="C241" s="330">
        <v>-133561.57999999999</v>
      </c>
      <c r="D241" s="331"/>
      <c r="E241" s="331"/>
      <c r="F241" s="331"/>
      <c r="G241" s="331"/>
      <c r="H241" s="332">
        <f t="shared" si="3"/>
        <v>-133561.57999999999</v>
      </c>
    </row>
    <row r="242" spans="1:8">
      <c r="A242" s="329" t="s">
        <v>951</v>
      </c>
      <c r="B242" s="329" t="s">
        <v>952</v>
      </c>
      <c r="C242" s="330">
        <v>-18835.590000000011</v>
      </c>
      <c r="D242" s="331"/>
      <c r="E242" s="331"/>
      <c r="F242" s="331"/>
      <c r="G242" s="331"/>
      <c r="H242" s="332">
        <f t="shared" si="3"/>
        <v>-18835.590000000011</v>
      </c>
    </row>
    <row r="243" spans="1:8">
      <c r="A243" s="329" t="s">
        <v>953</v>
      </c>
      <c r="B243" s="329" t="s">
        <v>954</v>
      </c>
      <c r="C243" s="330">
        <v>-27932.450000000012</v>
      </c>
      <c r="D243" s="331"/>
      <c r="E243" s="331"/>
      <c r="F243" s="331"/>
      <c r="G243" s="331"/>
      <c r="H243" s="332">
        <f t="shared" si="3"/>
        <v>-27932.450000000012</v>
      </c>
    </row>
    <row r="244" spans="1:8">
      <c r="A244" s="329" t="s">
        <v>955</v>
      </c>
      <c r="B244" s="329" t="s">
        <v>956</v>
      </c>
      <c r="C244" s="330">
        <v>-99695.680000000008</v>
      </c>
      <c r="D244" s="331"/>
      <c r="E244" s="331"/>
      <c r="F244" s="331"/>
      <c r="G244" s="331"/>
      <c r="H244" s="332">
        <f t="shared" si="3"/>
        <v>-99695.680000000008</v>
      </c>
    </row>
    <row r="245" spans="1:8">
      <c r="A245" s="329" t="s">
        <v>957</v>
      </c>
      <c r="B245" s="329" t="s">
        <v>958</v>
      </c>
      <c r="C245" s="330">
        <v>-11885.94000000001</v>
      </c>
      <c r="D245" s="331"/>
      <c r="E245" s="331"/>
      <c r="F245" s="331"/>
      <c r="G245" s="331"/>
      <c r="H245" s="332">
        <f t="shared" si="3"/>
        <v>-11885.94000000001</v>
      </c>
    </row>
    <row r="246" spans="1:8">
      <c r="A246" s="329" t="s">
        <v>959</v>
      </c>
      <c r="B246" s="329" t="s">
        <v>960</v>
      </c>
      <c r="C246" s="330">
        <v>-8899.3200000000143</v>
      </c>
      <c r="D246" s="331"/>
      <c r="E246" s="331"/>
      <c r="F246" s="331"/>
      <c r="G246" s="331"/>
      <c r="H246" s="332">
        <f t="shared" si="3"/>
        <v>-8899.3200000000143</v>
      </c>
    </row>
    <row r="247" spans="1:8">
      <c r="A247" s="329" t="s">
        <v>961</v>
      </c>
      <c r="B247" s="329" t="s">
        <v>962</v>
      </c>
      <c r="C247" s="330">
        <v>-1058.0300000000025</v>
      </c>
      <c r="D247" s="331"/>
      <c r="E247" s="331"/>
      <c r="F247" s="331"/>
      <c r="G247" s="331"/>
      <c r="H247" s="332">
        <f t="shared" si="3"/>
        <v>-1058.0300000000025</v>
      </c>
    </row>
    <row r="248" spans="1:8">
      <c r="A248" s="321" t="s">
        <v>963</v>
      </c>
      <c r="B248" s="321" t="s">
        <v>964</v>
      </c>
      <c r="C248" s="322">
        <f>C249+C253+C265+C269</f>
        <v>-2173733.6999999988</v>
      </c>
      <c r="D248" s="323"/>
      <c r="E248" s="322">
        <f>E249+E253+E265+E269</f>
        <v>0</v>
      </c>
      <c r="F248" s="323"/>
      <c r="G248" s="322">
        <f>G249+G253+G265+G269</f>
        <v>0</v>
      </c>
      <c r="H248" s="324">
        <f t="shared" si="3"/>
        <v>-2173733.6999999988</v>
      </c>
    </row>
    <row r="249" spans="1:8">
      <c r="A249" s="334" t="s">
        <v>965</v>
      </c>
      <c r="B249" s="334" t="s">
        <v>966</v>
      </c>
      <c r="C249" s="335">
        <f>SUM(C250:C252)</f>
        <v>-2162947.8299999987</v>
      </c>
      <c r="D249" s="336"/>
      <c r="E249" s="335">
        <f>SUM(E250:E252)</f>
        <v>0</v>
      </c>
      <c r="F249" s="336"/>
      <c r="G249" s="335">
        <f>SUM(G250:G252)</f>
        <v>0</v>
      </c>
      <c r="H249" s="337">
        <f t="shared" si="3"/>
        <v>-2162947.8299999987</v>
      </c>
    </row>
    <row r="250" spans="1:8">
      <c r="A250" s="329" t="s">
        <v>967</v>
      </c>
      <c r="B250" s="329" t="s">
        <v>968</v>
      </c>
      <c r="C250" s="330">
        <v>-1998048.1499999985</v>
      </c>
      <c r="D250" s="331"/>
      <c r="E250" s="331"/>
      <c r="F250" s="331"/>
      <c r="G250" s="331"/>
      <c r="H250" s="332">
        <f t="shared" si="3"/>
        <v>-1998048.1499999985</v>
      </c>
    </row>
    <row r="251" spans="1:8">
      <c r="A251" s="329" t="s">
        <v>969</v>
      </c>
      <c r="B251" s="329" t="s">
        <v>970</v>
      </c>
      <c r="C251" s="330">
        <v>-5515.3699999999953</v>
      </c>
      <c r="D251" s="331"/>
      <c r="E251" s="331"/>
      <c r="F251" s="331"/>
      <c r="G251" s="331"/>
      <c r="H251" s="332">
        <f t="shared" si="3"/>
        <v>-5515.3699999999953</v>
      </c>
    </row>
    <row r="252" spans="1:8">
      <c r="A252" s="329" t="s">
        <v>971</v>
      </c>
      <c r="B252" s="329" t="s">
        <v>972</v>
      </c>
      <c r="C252" s="330">
        <v>-159384.31000000003</v>
      </c>
      <c r="D252" s="331"/>
      <c r="E252" s="331"/>
      <c r="F252" s="331"/>
      <c r="G252" s="331"/>
      <c r="H252" s="332">
        <f t="shared" si="3"/>
        <v>-159384.31000000003</v>
      </c>
    </row>
    <row r="253" spans="1:8">
      <c r="A253" s="334" t="s">
        <v>973</v>
      </c>
      <c r="B253" s="334" t="s">
        <v>974</v>
      </c>
      <c r="C253" s="335">
        <f>SUM(C254:C264)</f>
        <v>-8945.8700000000008</v>
      </c>
      <c r="D253" s="336"/>
      <c r="E253" s="335">
        <f>SUM(E254:E264)</f>
        <v>0</v>
      </c>
      <c r="F253" s="336"/>
      <c r="G253" s="335">
        <f>SUM(G254:G264)</f>
        <v>0</v>
      </c>
      <c r="H253" s="337">
        <f t="shared" si="3"/>
        <v>-8945.8700000000008</v>
      </c>
    </row>
    <row r="254" spans="1:8">
      <c r="A254" s="329" t="s">
        <v>975</v>
      </c>
      <c r="B254" s="329" t="s">
        <v>976</v>
      </c>
      <c r="C254" s="330">
        <v>-139.62</v>
      </c>
      <c r="D254" s="331"/>
      <c r="E254" s="331"/>
      <c r="F254" s="331"/>
      <c r="G254" s="331"/>
      <c r="H254" s="332">
        <f t="shared" si="3"/>
        <v>-139.62</v>
      </c>
    </row>
    <row r="255" spans="1:8">
      <c r="A255" s="329" t="s">
        <v>977</v>
      </c>
      <c r="B255" s="329" t="s">
        <v>978</v>
      </c>
      <c r="C255" s="330">
        <v>-124.5</v>
      </c>
      <c r="D255" s="331"/>
      <c r="E255" s="331"/>
      <c r="F255" s="331"/>
      <c r="G255" s="331"/>
      <c r="H255" s="332">
        <f t="shared" si="3"/>
        <v>-124.5</v>
      </c>
    </row>
    <row r="256" spans="1:8">
      <c r="A256" s="329" t="s">
        <v>979</v>
      </c>
      <c r="B256" s="329" t="s">
        <v>980</v>
      </c>
      <c r="C256" s="330">
        <v>-36.86</v>
      </c>
      <c r="D256" s="331"/>
      <c r="E256" s="331"/>
      <c r="F256" s="331"/>
      <c r="G256" s="331"/>
      <c r="H256" s="332">
        <f t="shared" si="3"/>
        <v>-36.86</v>
      </c>
    </row>
    <row r="257" spans="1:10">
      <c r="A257" s="329" t="s">
        <v>981</v>
      </c>
      <c r="B257" s="329" t="s">
        <v>982</v>
      </c>
      <c r="C257" s="330">
        <v>-203.74</v>
      </c>
      <c r="D257" s="331"/>
      <c r="E257" s="331"/>
      <c r="F257" s="331"/>
      <c r="G257" s="331"/>
      <c r="H257" s="332">
        <f t="shared" si="3"/>
        <v>-203.74</v>
      </c>
    </row>
    <row r="258" spans="1:10">
      <c r="A258" s="329" t="s">
        <v>983</v>
      </c>
      <c r="B258" s="329" t="s">
        <v>984</v>
      </c>
      <c r="C258" s="330">
        <v>-41.68</v>
      </c>
      <c r="D258" s="331"/>
      <c r="E258" s="331"/>
      <c r="F258" s="331"/>
      <c r="G258" s="331"/>
      <c r="H258" s="332">
        <f t="shared" si="3"/>
        <v>-41.68</v>
      </c>
    </row>
    <row r="259" spans="1:10">
      <c r="A259" s="329" t="s">
        <v>985</v>
      </c>
      <c r="B259" s="329" t="s">
        <v>986</v>
      </c>
      <c r="C259" s="330">
        <v>-2855.4500000000003</v>
      </c>
      <c r="D259" s="331"/>
      <c r="E259" s="331"/>
      <c r="F259" s="331"/>
      <c r="G259" s="331"/>
      <c r="H259" s="332">
        <f t="shared" si="3"/>
        <v>-2855.4500000000003</v>
      </c>
    </row>
    <row r="260" spans="1:10">
      <c r="A260" s="329" t="s">
        <v>987</v>
      </c>
      <c r="B260" s="329" t="s">
        <v>988</v>
      </c>
      <c r="C260" s="330">
        <v>-61.75</v>
      </c>
      <c r="D260" s="331"/>
      <c r="E260" s="331"/>
      <c r="F260" s="331"/>
      <c r="G260" s="331"/>
      <c r="H260" s="332">
        <f t="shared" si="3"/>
        <v>-61.75</v>
      </c>
    </row>
    <row r="261" spans="1:10">
      <c r="A261" s="329" t="s">
        <v>989</v>
      </c>
      <c r="B261" s="329" t="s">
        <v>990</v>
      </c>
      <c r="C261" s="330">
        <v>-2020</v>
      </c>
      <c r="D261" s="331"/>
      <c r="E261" s="331"/>
      <c r="F261" s="331"/>
      <c r="G261" s="331"/>
      <c r="H261" s="332">
        <f t="shared" si="3"/>
        <v>-2020</v>
      </c>
    </row>
    <row r="262" spans="1:10">
      <c r="A262" s="329" t="s">
        <v>991</v>
      </c>
      <c r="B262" s="329" t="s">
        <v>992</v>
      </c>
      <c r="C262" s="330">
        <v>-411.77000000000004</v>
      </c>
      <c r="D262" s="331"/>
      <c r="E262" s="331"/>
      <c r="F262" s="331"/>
      <c r="G262" s="331"/>
      <c r="H262" s="332">
        <f t="shared" si="3"/>
        <v>-411.77000000000004</v>
      </c>
    </row>
    <row r="263" spans="1:10">
      <c r="A263" s="329" t="s">
        <v>993</v>
      </c>
      <c r="B263" s="329" t="s">
        <v>994</v>
      </c>
      <c r="C263" s="330">
        <v>-2545.5</v>
      </c>
      <c r="D263" s="331"/>
      <c r="E263" s="331"/>
      <c r="F263" s="331"/>
      <c r="G263" s="331"/>
      <c r="H263" s="332">
        <f t="shared" si="3"/>
        <v>-2545.5</v>
      </c>
    </row>
    <row r="264" spans="1:10">
      <c r="A264" s="329" t="s">
        <v>995</v>
      </c>
      <c r="B264" s="329" t="s">
        <v>996</v>
      </c>
      <c r="C264" s="330">
        <v>-505</v>
      </c>
      <c r="D264" s="331"/>
      <c r="E264" s="331"/>
      <c r="F264" s="331"/>
      <c r="G264" s="331"/>
      <c r="H264" s="332">
        <f t="shared" ref="H264:H327" si="4">C264+E264-G264</f>
        <v>-505</v>
      </c>
    </row>
    <row r="265" spans="1:10">
      <c r="A265" s="334" t="s">
        <v>997</v>
      </c>
      <c r="B265" s="334" t="s">
        <v>998</v>
      </c>
      <c r="C265" s="335">
        <f>SUM(C266:C268)</f>
        <v>-1837.5</v>
      </c>
      <c r="D265" s="336"/>
      <c r="E265" s="335">
        <f>SUM(E266:E268)</f>
        <v>0</v>
      </c>
      <c r="F265" s="336"/>
      <c r="G265" s="335">
        <f>SUM(G266:G268)</f>
        <v>0</v>
      </c>
      <c r="H265" s="337">
        <f t="shared" si="4"/>
        <v>-1837.5</v>
      </c>
    </row>
    <row r="266" spans="1:10">
      <c r="A266" s="329" t="s">
        <v>999</v>
      </c>
      <c r="B266" s="329" t="s">
        <v>1000</v>
      </c>
      <c r="C266" s="330">
        <v>-13.5</v>
      </c>
      <c r="D266" s="331"/>
      <c r="E266" s="331"/>
      <c r="F266" s="331"/>
      <c r="G266" s="331"/>
      <c r="H266" s="332">
        <f t="shared" si="4"/>
        <v>-13.5</v>
      </c>
    </row>
    <row r="267" spans="1:10">
      <c r="A267" s="329" t="s">
        <v>1001</v>
      </c>
      <c r="B267" s="329" t="s">
        <v>1002</v>
      </c>
      <c r="C267" s="330">
        <v>-1104</v>
      </c>
      <c r="D267" s="331"/>
      <c r="E267" s="331"/>
      <c r="F267" s="331"/>
      <c r="G267" s="331"/>
      <c r="H267" s="332">
        <f t="shared" si="4"/>
        <v>-1104</v>
      </c>
    </row>
    <row r="268" spans="1:10">
      <c r="A268" s="329" t="s">
        <v>1003</v>
      </c>
      <c r="B268" s="329" t="s">
        <v>1004</v>
      </c>
      <c r="C268" s="330">
        <v>-720</v>
      </c>
      <c r="D268" s="331"/>
      <c r="E268" s="331"/>
      <c r="F268" s="331"/>
      <c r="G268" s="331"/>
      <c r="H268" s="332">
        <f t="shared" si="4"/>
        <v>-720</v>
      </c>
    </row>
    <row r="269" spans="1:10">
      <c r="A269" s="334" t="s">
        <v>1005</v>
      </c>
      <c r="B269" s="334" t="s">
        <v>1006</v>
      </c>
      <c r="C269" s="335">
        <f>SUM(C270)</f>
        <v>-2.5</v>
      </c>
      <c r="D269" s="336"/>
      <c r="E269" s="335">
        <f>SUM(E270)</f>
        <v>0</v>
      </c>
      <c r="F269" s="336"/>
      <c r="G269" s="335">
        <f>SUM(G270)</f>
        <v>0</v>
      </c>
      <c r="H269" s="337">
        <f t="shared" si="4"/>
        <v>-2.5</v>
      </c>
    </row>
    <row r="270" spans="1:10">
      <c r="A270" s="329" t="s">
        <v>1007</v>
      </c>
      <c r="B270" s="329" t="s">
        <v>1008</v>
      </c>
      <c r="C270" s="330">
        <v>-2.5</v>
      </c>
      <c r="D270" s="331"/>
      <c r="E270" s="331"/>
      <c r="F270" s="331"/>
      <c r="G270" s="331"/>
      <c r="H270" s="332">
        <f t="shared" si="4"/>
        <v>-2.5</v>
      </c>
    </row>
    <row r="271" spans="1:10">
      <c r="A271" s="321" t="s">
        <v>1009</v>
      </c>
      <c r="B271" s="321" t="s">
        <v>1010</v>
      </c>
      <c r="C271" s="322">
        <f>C272+C283+C288+C379+C401+C408</f>
        <v>-883595.87000000104</v>
      </c>
      <c r="D271" s="323"/>
      <c r="E271" s="322">
        <f>E272+E283+E288+E379+E401+E408</f>
        <v>0</v>
      </c>
      <c r="F271" s="323"/>
      <c r="G271" s="322">
        <f>G272+G283+G288+G379+G401+G408</f>
        <v>0</v>
      </c>
      <c r="H271" s="324">
        <f t="shared" si="4"/>
        <v>-883595.87000000104</v>
      </c>
      <c r="J271" s="322">
        <v>-883595.87000000069</v>
      </c>
    </row>
    <row r="272" spans="1:10">
      <c r="A272" s="334" t="s">
        <v>1011</v>
      </c>
      <c r="B272" s="334" t="s">
        <v>1012</v>
      </c>
      <c r="C272" s="335">
        <f>SUM(C273:C282)</f>
        <v>-804247.950000001</v>
      </c>
      <c r="D272" s="336"/>
      <c r="E272" s="335">
        <f>SUM(E273:E282)</f>
        <v>0</v>
      </c>
      <c r="F272" s="336"/>
      <c r="G272" s="335">
        <f>SUM(G273:G282)</f>
        <v>0</v>
      </c>
      <c r="H272" s="337">
        <f t="shared" si="4"/>
        <v>-804247.950000001</v>
      </c>
    </row>
    <row r="273" spans="1:8">
      <c r="A273" s="329" t="s">
        <v>1013</v>
      </c>
      <c r="B273" s="329" t="s">
        <v>1014</v>
      </c>
      <c r="C273" s="330">
        <v>-668730.48000000091</v>
      </c>
      <c r="D273" s="331"/>
      <c r="E273" s="331"/>
      <c r="F273" s="331"/>
      <c r="G273" s="331"/>
      <c r="H273" s="332">
        <f t="shared" si="4"/>
        <v>-668730.48000000091</v>
      </c>
    </row>
    <row r="274" spans="1:8">
      <c r="A274" s="329" t="s">
        <v>1015</v>
      </c>
      <c r="B274" s="329" t="s">
        <v>972</v>
      </c>
      <c r="C274" s="330">
        <v>-136107.47000000009</v>
      </c>
      <c r="D274" s="331"/>
      <c r="E274" s="331"/>
      <c r="F274" s="331"/>
      <c r="G274" s="331"/>
      <c r="H274" s="332">
        <f t="shared" si="4"/>
        <v>-136107.47000000009</v>
      </c>
    </row>
    <row r="275" spans="1:8">
      <c r="A275" s="329" t="s">
        <v>1016</v>
      </c>
      <c r="B275" s="329" t="s">
        <v>1017</v>
      </c>
      <c r="C275" s="330">
        <v>560</v>
      </c>
      <c r="D275" s="331"/>
      <c r="E275" s="331"/>
      <c r="F275" s="331"/>
      <c r="G275" s="331"/>
      <c r="H275" s="332">
        <f t="shared" si="4"/>
        <v>560</v>
      </c>
    </row>
    <row r="276" spans="1:8">
      <c r="A276" s="329" t="s">
        <v>1018</v>
      </c>
      <c r="B276" s="329" t="s">
        <v>1019</v>
      </c>
      <c r="C276" s="330">
        <v>-320</v>
      </c>
      <c r="D276" s="331"/>
      <c r="E276" s="331"/>
      <c r="F276" s="331"/>
      <c r="G276" s="331"/>
      <c r="H276" s="332">
        <f t="shared" si="4"/>
        <v>-320</v>
      </c>
    </row>
    <row r="277" spans="1:8">
      <c r="A277" s="329" t="s">
        <v>1020</v>
      </c>
      <c r="B277" s="329" t="s">
        <v>1021</v>
      </c>
      <c r="C277" s="330">
        <v>1340</v>
      </c>
      <c r="D277" s="331"/>
      <c r="E277" s="331"/>
      <c r="F277" s="331"/>
      <c r="G277" s="331"/>
      <c r="H277" s="332">
        <f t="shared" si="4"/>
        <v>1340</v>
      </c>
    </row>
    <row r="278" spans="1:8">
      <c r="A278" s="329" t="s">
        <v>1022</v>
      </c>
      <c r="B278" s="329" t="s">
        <v>1023</v>
      </c>
      <c r="C278" s="330">
        <v>-1270</v>
      </c>
      <c r="D278" s="331"/>
      <c r="E278" s="331"/>
      <c r="F278" s="331"/>
      <c r="G278" s="331"/>
      <c r="H278" s="332">
        <f t="shared" si="4"/>
        <v>-1270</v>
      </c>
    </row>
    <row r="279" spans="1:8">
      <c r="A279" s="329" t="s">
        <v>1024</v>
      </c>
      <c r="B279" s="329" t="s">
        <v>1025</v>
      </c>
      <c r="C279" s="330">
        <v>-400</v>
      </c>
      <c r="D279" s="331"/>
      <c r="E279" s="331"/>
      <c r="F279" s="331"/>
      <c r="G279" s="331"/>
      <c r="H279" s="332">
        <f t="shared" si="4"/>
        <v>-400</v>
      </c>
    </row>
    <row r="280" spans="1:8">
      <c r="A280" s="329" t="s">
        <v>1026</v>
      </c>
      <c r="B280" s="329" t="s">
        <v>1027</v>
      </c>
      <c r="C280" s="330">
        <v>800</v>
      </c>
      <c r="D280" s="331"/>
      <c r="E280" s="331"/>
      <c r="F280" s="331"/>
      <c r="G280" s="331"/>
      <c r="H280" s="332">
        <f t="shared" si="4"/>
        <v>800</v>
      </c>
    </row>
    <row r="281" spans="1:8">
      <c r="A281" s="329" t="s">
        <v>1028</v>
      </c>
      <c r="B281" s="329" t="s">
        <v>1029</v>
      </c>
      <c r="C281" s="330">
        <v>1000</v>
      </c>
      <c r="D281" s="331"/>
      <c r="E281" s="331"/>
      <c r="F281" s="331"/>
      <c r="G281" s="331"/>
      <c r="H281" s="332">
        <f t="shared" si="4"/>
        <v>1000</v>
      </c>
    </row>
    <row r="282" spans="1:8">
      <c r="A282" s="329" t="s">
        <v>1030</v>
      </c>
      <c r="B282" s="329" t="s">
        <v>1031</v>
      </c>
      <c r="C282" s="330">
        <v>-1120</v>
      </c>
      <c r="D282" s="331"/>
      <c r="E282" s="331"/>
      <c r="F282" s="331"/>
      <c r="G282" s="331"/>
      <c r="H282" s="332">
        <f t="shared" si="4"/>
        <v>-1120</v>
      </c>
    </row>
    <row r="283" spans="1:8">
      <c r="A283" s="334" t="s">
        <v>1032</v>
      </c>
      <c r="B283" s="334" t="s">
        <v>1033</v>
      </c>
      <c r="C283" s="335">
        <f>SUM(C284:C287)</f>
        <v>-6174.5</v>
      </c>
      <c r="D283" s="336"/>
      <c r="E283" s="335">
        <f>SUM(E284:E287)</f>
        <v>0</v>
      </c>
      <c r="F283" s="336"/>
      <c r="G283" s="335">
        <f>SUM(G284:G287)</f>
        <v>0</v>
      </c>
      <c r="H283" s="337">
        <f t="shared" si="4"/>
        <v>-6174.5</v>
      </c>
    </row>
    <row r="284" spans="1:8">
      <c r="A284" s="329" t="s">
        <v>1034</v>
      </c>
      <c r="B284" s="329" t="s">
        <v>1035</v>
      </c>
      <c r="C284" s="330">
        <v>-3932</v>
      </c>
      <c r="D284" s="331"/>
      <c r="E284" s="331"/>
      <c r="F284" s="331"/>
      <c r="G284" s="331"/>
      <c r="H284" s="332">
        <f t="shared" si="4"/>
        <v>-3932</v>
      </c>
    </row>
    <row r="285" spans="1:8">
      <c r="A285" s="329" t="s">
        <v>1036</v>
      </c>
      <c r="B285" s="329" t="s">
        <v>1037</v>
      </c>
      <c r="C285" s="330">
        <v>-2813</v>
      </c>
      <c r="D285" s="331"/>
      <c r="E285" s="331"/>
      <c r="F285" s="331"/>
      <c r="G285" s="331"/>
      <c r="H285" s="332">
        <f t="shared" si="4"/>
        <v>-2813</v>
      </c>
    </row>
    <row r="286" spans="1:8">
      <c r="A286" s="329" t="s">
        <v>1038</v>
      </c>
      <c r="B286" s="329" t="s">
        <v>1039</v>
      </c>
      <c r="C286" s="330">
        <v>-800</v>
      </c>
      <c r="D286" s="331"/>
      <c r="E286" s="331"/>
      <c r="F286" s="331"/>
      <c r="G286" s="331"/>
      <c r="H286" s="332">
        <f t="shared" si="4"/>
        <v>-800</v>
      </c>
    </row>
    <row r="287" spans="1:8">
      <c r="A287" s="329" t="s">
        <v>1040</v>
      </c>
      <c r="B287" s="329" t="s">
        <v>1041</v>
      </c>
      <c r="C287" s="330">
        <v>1370.5</v>
      </c>
      <c r="D287" s="331"/>
      <c r="E287" s="331"/>
      <c r="F287" s="331"/>
      <c r="G287" s="331"/>
      <c r="H287" s="332">
        <f t="shared" si="4"/>
        <v>1370.5</v>
      </c>
    </row>
    <row r="288" spans="1:8">
      <c r="A288" s="334" t="s">
        <v>1042</v>
      </c>
      <c r="B288" s="334" t="s">
        <v>1043</v>
      </c>
      <c r="C288" s="335">
        <f>SUM(C289:C378)</f>
        <v>-64861.419999999991</v>
      </c>
      <c r="D288" s="336"/>
      <c r="E288" s="335">
        <f>SUM(E289:E378)</f>
        <v>0</v>
      </c>
      <c r="F288" s="336"/>
      <c r="G288" s="335">
        <f>SUM(G289:G378)</f>
        <v>0</v>
      </c>
      <c r="H288" s="337">
        <f t="shared" si="4"/>
        <v>-64861.419999999991</v>
      </c>
    </row>
    <row r="289" spans="1:8">
      <c r="A289" s="329" t="s">
        <v>1044</v>
      </c>
      <c r="B289" s="329" t="s">
        <v>1045</v>
      </c>
      <c r="C289" s="330">
        <v>-3450</v>
      </c>
      <c r="D289" s="331"/>
      <c r="E289" s="331"/>
      <c r="F289" s="331"/>
      <c r="G289" s="331"/>
      <c r="H289" s="332">
        <f t="shared" si="4"/>
        <v>-3450</v>
      </c>
    </row>
    <row r="290" spans="1:8">
      <c r="A290" s="329" t="s">
        <v>1046</v>
      </c>
      <c r="B290" s="329" t="s">
        <v>1047</v>
      </c>
      <c r="C290" s="330">
        <v>-2100</v>
      </c>
      <c r="D290" s="331"/>
      <c r="E290" s="331"/>
      <c r="F290" s="331"/>
      <c r="G290" s="331"/>
      <c r="H290" s="332">
        <f t="shared" si="4"/>
        <v>-2100</v>
      </c>
    </row>
    <row r="291" spans="1:8">
      <c r="A291" s="329" t="s">
        <v>1048</v>
      </c>
      <c r="B291" s="329" t="s">
        <v>1049</v>
      </c>
      <c r="C291" s="330">
        <v>-69.5</v>
      </c>
      <c r="D291" s="331"/>
      <c r="E291" s="331"/>
      <c r="F291" s="331"/>
      <c r="G291" s="331"/>
      <c r="H291" s="332">
        <f t="shared" si="4"/>
        <v>-69.5</v>
      </c>
    </row>
    <row r="292" spans="1:8">
      <c r="A292" s="329" t="s">
        <v>1050</v>
      </c>
      <c r="B292" s="329" t="s">
        <v>1051</v>
      </c>
      <c r="C292" s="330">
        <v>-500</v>
      </c>
      <c r="D292" s="331"/>
      <c r="E292" s="331"/>
      <c r="F292" s="331"/>
      <c r="G292" s="331"/>
      <c r="H292" s="332">
        <f t="shared" si="4"/>
        <v>-500</v>
      </c>
    </row>
    <row r="293" spans="1:8">
      <c r="A293" s="329" t="s">
        <v>1052</v>
      </c>
      <c r="B293" s="329" t="s">
        <v>1053</v>
      </c>
      <c r="C293" s="330">
        <v>3421.25</v>
      </c>
      <c r="D293" s="331"/>
      <c r="E293" s="331"/>
      <c r="F293" s="331"/>
      <c r="G293" s="331"/>
      <c r="H293" s="332">
        <f t="shared" si="4"/>
        <v>3421.25</v>
      </c>
    </row>
    <row r="294" spans="1:8">
      <c r="A294" s="329" t="s">
        <v>1054</v>
      </c>
      <c r="B294" s="329" t="s">
        <v>1055</v>
      </c>
      <c r="C294" s="330">
        <v>-95</v>
      </c>
      <c r="D294" s="331"/>
      <c r="E294" s="331"/>
      <c r="F294" s="331"/>
      <c r="G294" s="331"/>
      <c r="H294" s="332">
        <f t="shared" si="4"/>
        <v>-95</v>
      </c>
    </row>
    <row r="295" spans="1:8">
      <c r="A295" s="329" t="s">
        <v>1056</v>
      </c>
      <c r="B295" s="329" t="s">
        <v>1057</v>
      </c>
      <c r="C295" s="330">
        <v>-4.4000000000000004</v>
      </c>
      <c r="D295" s="331"/>
      <c r="E295" s="331"/>
      <c r="F295" s="331"/>
      <c r="G295" s="331"/>
      <c r="H295" s="332">
        <f t="shared" si="4"/>
        <v>-4.4000000000000004</v>
      </c>
    </row>
    <row r="296" spans="1:8">
      <c r="A296" s="329" t="s">
        <v>1058</v>
      </c>
      <c r="B296" s="329" t="s">
        <v>1059</v>
      </c>
      <c r="C296" s="330">
        <v>-405</v>
      </c>
      <c r="D296" s="331"/>
      <c r="E296" s="331"/>
      <c r="F296" s="331"/>
      <c r="G296" s="331"/>
      <c r="H296" s="332">
        <f t="shared" si="4"/>
        <v>-405</v>
      </c>
    </row>
    <row r="297" spans="1:8">
      <c r="A297" s="329" t="s">
        <v>1060</v>
      </c>
      <c r="B297" s="329" t="s">
        <v>1061</v>
      </c>
      <c r="C297" s="330">
        <v>-80</v>
      </c>
      <c r="D297" s="331"/>
      <c r="E297" s="331"/>
      <c r="F297" s="331"/>
      <c r="G297" s="331"/>
      <c r="H297" s="332">
        <f t="shared" si="4"/>
        <v>-80</v>
      </c>
    </row>
    <row r="298" spans="1:8">
      <c r="A298" s="329" t="s">
        <v>1062</v>
      </c>
      <c r="B298" s="329" t="s">
        <v>1063</v>
      </c>
      <c r="C298" s="330">
        <v>-2560.5</v>
      </c>
      <c r="D298" s="331"/>
      <c r="E298" s="331"/>
      <c r="F298" s="331"/>
      <c r="G298" s="331"/>
      <c r="H298" s="332">
        <f t="shared" si="4"/>
        <v>-2560.5</v>
      </c>
    </row>
    <row r="299" spans="1:8">
      <c r="A299" s="329" t="s">
        <v>1064</v>
      </c>
      <c r="B299" s="329" t="s">
        <v>1065</v>
      </c>
      <c r="C299" s="330">
        <v>-425</v>
      </c>
      <c r="D299" s="331"/>
      <c r="E299" s="331"/>
      <c r="F299" s="331"/>
      <c r="G299" s="331"/>
      <c r="H299" s="332">
        <f t="shared" si="4"/>
        <v>-425</v>
      </c>
    </row>
    <row r="300" spans="1:8">
      <c r="A300" s="329" t="s">
        <v>1066</v>
      </c>
      <c r="B300" s="329" t="s">
        <v>1067</v>
      </c>
      <c r="C300" s="330">
        <v>2314.5</v>
      </c>
      <c r="D300" s="331"/>
      <c r="E300" s="331"/>
      <c r="F300" s="331"/>
      <c r="G300" s="331"/>
      <c r="H300" s="332">
        <f t="shared" si="4"/>
        <v>2314.5</v>
      </c>
    </row>
    <row r="301" spans="1:8">
      <c r="A301" s="329" t="s">
        <v>1068</v>
      </c>
      <c r="B301" s="329" t="s">
        <v>1069</v>
      </c>
      <c r="C301" s="330">
        <v>-1000</v>
      </c>
      <c r="D301" s="331"/>
      <c r="E301" s="331"/>
      <c r="F301" s="331"/>
      <c r="G301" s="331"/>
      <c r="H301" s="332">
        <f t="shared" si="4"/>
        <v>-1000</v>
      </c>
    </row>
    <row r="302" spans="1:8">
      <c r="A302" s="329" t="s">
        <v>1070</v>
      </c>
      <c r="B302" s="329" t="s">
        <v>1071</v>
      </c>
      <c r="C302" s="330">
        <v>-1729.5</v>
      </c>
      <c r="D302" s="331"/>
      <c r="E302" s="331"/>
      <c r="F302" s="331"/>
      <c r="G302" s="331"/>
      <c r="H302" s="332">
        <f t="shared" si="4"/>
        <v>-1729.5</v>
      </c>
    </row>
    <row r="303" spans="1:8">
      <c r="A303" s="329" t="s">
        <v>1072</v>
      </c>
      <c r="B303" s="329" t="s">
        <v>1073</v>
      </c>
      <c r="C303" s="330">
        <v>-5</v>
      </c>
      <c r="D303" s="331"/>
      <c r="E303" s="331"/>
      <c r="F303" s="331"/>
      <c r="G303" s="331"/>
      <c r="H303" s="332">
        <f t="shared" si="4"/>
        <v>-5</v>
      </c>
    </row>
    <row r="304" spans="1:8">
      <c r="A304" s="329" t="s">
        <v>1074</v>
      </c>
      <c r="B304" s="329" t="s">
        <v>1075</v>
      </c>
      <c r="C304" s="330">
        <v>-10.5</v>
      </c>
      <c r="D304" s="331"/>
      <c r="E304" s="331"/>
      <c r="F304" s="331"/>
      <c r="G304" s="331"/>
      <c r="H304" s="332">
        <f t="shared" si="4"/>
        <v>-10.5</v>
      </c>
    </row>
    <row r="305" spans="1:8">
      <c r="A305" s="329" t="s">
        <v>1076</v>
      </c>
      <c r="B305" s="329" t="s">
        <v>1077</v>
      </c>
      <c r="C305" s="330">
        <v>-35</v>
      </c>
      <c r="D305" s="331"/>
      <c r="E305" s="331"/>
      <c r="F305" s="331"/>
      <c r="G305" s="331"/>
      <c r="H305" s="332">
        <f t="shared" si="4"/>
        <v>-35</v>
      </c>
    </row>
    <row r="306" spans="1:8">
      <c r="A306" s="329" t="s">
        <v>1078</v>
      </c>
      <c r="B306" s="329" t="s">
        <v>1079</v>
      </c>
      <c r="C306" s="330">
        <v>-2.9000000000000004</v>
      </c>
      <c r="D306" s="331"/>
      <c r="E306" s="331"/>
      <c r="F306" s="331"/>
      <c r="G306" s="331"/>
      <c r="H306" s="332">
        <f t="shared" si="4"/>
        <v>-2.9000000000000004</v>
      </c>
    </row>
    <row r="307" spans="1:8">
      <c r="A307" s="329" t="s">
        <v>1080</v>
      </c>
      <c r="B307" s="329" t="s">
        <v>1081</v>
      </c>
      <c r="C307" s="330">
        <v>-550</v>
      </c>
      <c r="D307" s="331"/>
      <c r="E307" s="331"/>
      <c r="F307" s="331"/>
      <c r="G307" s="331"/>
      <c r="H307" s="332">
        <f t="shared" si="4"/>
        <v>-550</v>
      </c>
    </row>
    <row r="308" spans="1:8">
      <c r="A308" s="329" t="s">
        <v>1082</v>
      </c>
      <c r="B308" s="329" t="s">
        <v>1083</v>
      </c>
      <c r="C308" s="330">
        <v>-0.32999999999992724</v>
      </c>
      <c r="D308" s="331"/>
      <c r="E308" s="331"/>
      <c r="F308" s="331"/>
      <c r="G308" s="331"/>
      <c r="H308" s="332">
        <f t="shared" si="4"/>
        <v>-0.32999999999992724</v>
      </c>
    </row>
    <row r="309" spans="1:8">
      <c r="A309" s="329" t="s">
        <v>1084</v>
      </c>
      <c r="B309" s="329" t="s">
        <v>1085</v>
      </c>
      <c r="C309" s="330">
        <v>-6</v>
      </c>
      <c r="D309" s="331"/>
      <c r="E309" s="331"/>
      <c r="F309" s="331"/>
      <c r="G309" s="331"/>
      <c r="H309" s="332">
        <f t="shared" si="4"/>
        <v>-6</v>
      </c>
    </row>
    <row r="310" spans="1:8">
      <c r="A310" s="329" t="s">
        <v>1086</v>
      </c>
      <c r="B310" s="329" t="s">
        <v>1087</v>
      </c>
      <c r="C310" s="330">
        <v>-600</v>
      </c>
      <c r="D310" s="331"/>
      <c r="E310" s="331"/>
      <c r="F310" s="331"/>
      <c r="G310" s="331"/>
      <c r="H310" s="332">
        <f t="shared" si="4"/>
        <v>-600</v>
      </c>
    </row>
    <row r="311" spans="1:8">
      <c r="A311" s="329" t="s">
        <v>1088</v>
      </c>
      <c r="B311" s="329" t="s">
        <v>1089</v>
      </c>
      <c r="C311" s="330">
        <v>-599.03</v>
      </c>
      <c r="D311" s="331"/>
      <c r="E311" s="331"/>
      <c r="F311" s="331"/>
      <c r="G311" s="331"/>
      <c r="H311" s="332">
        <f t="shared" si="4"/>
        <v>-599.03</v>
      </c>
    </row>
    <row r="312" spans="1:8">
      <c r="A312" s="329" t="s">
        <v>1090</v>
      </c>
      <c r="B312" s="329" t="s">
        <v>1091</v>
      </c>
      <c r="C312" s="330">
        <v>-9</v>
      </c>
      <c r="D312" s="331"/>
      <c r="E312" s="331"/>
      <c r="F312" s="331"/>
      <c r="G312" s="331"/>
      <c r="H312" s="332">
        <f t="shared" si="4"/>
        <v>-9</v>
      </c>
    </row>
    <row r="313" spans="1:8">
      <c r="A313" s="329" t="s">
        <v>1092</v>
      </c>
      <c r="B313" s="329" t="s">
        <v>1093</v>
      </c>
      <c r="C313" s="330">
        <v>-80</v>
      </c>
      <c r="D313" s="331"/>
      <c r="E313" s="331"/>
      <c r="F313" s="331"/>
      <c r="G313" s="331"/>
      <c r="H313" s="332">
        <f t="shared" si="4"/>
        <v>-80</v>
      </c>
    </row>
    <row r="314" spans="1:8">
      <c r="A314" s="329" t="s">
        <v>1094</v>
      </c>
      <c r="B314" s="329" t="s">
        <v>1095</v>
      </c>
      <c r="C314" s="330">
        <v>-6000.5</v>
      </c>
      <c r="D314" s="331"/>
      <c r="E314" s="331"/>
      <c r="F314" s="331"/>
      <c r="G314" s="331"/>
      <c r="H314" s="332">
        <f t="shared" si="4"/>
        <v>-6000.5</v>
      </c>
    </row>
    <row r="315" spans="1:8">
      <c r="A315" s="329" t="s">
        <v>1096</v>
      </c>
      <c r="B315" s="329" t="s">
        <v>1097</v>
      </c>
      <c r="C315" s="330">
        <v>-87.5</v>
      </c>
      <c r="D315" s="331"/>
      <c r="E315" s="331"/>
      <c r="F315" s="331"/>
      <c r="G315" s="331"/>
      <c r="H315" s="332">
        <f t="shared" si="4"/>
        <v>-87.5</v>
      </c>
    </row>
    <row r="316" spans="1:8">
      <c r="A316" s="329" t="s">
        <v>1098</v>
      </c>
      <c r="B316" s="329" t="s">
        <v>1099</v>
      </c>
      <c r="C316" s="330">
        <v>-20</v>
      </c>
      <c r="D316" s="331"/>
      <c r="E316" s="331"/>
      <c r="F316" s="331"/>
      <c r="G316" s="331"/>
      <c r="H316" s="332">
        <f t="shared" si="4"/>
        <v>-20</v>
      </c>
    </row>
    <row r="317" spans="1:8">
      <c r="A317" s="329" t="s">
        <v>1100</v>
      </c>
      <c r="B317" s="329" t="s">
        <v>1101</v>
      </c>
      <c r="C317" s="330">
        <v>150</v>
      </c>
      <c r="D317" s="331"/>
      <c r="E317" s="331"/>
      <c r="F317" s="331"/>
      <c r="G317" s="331"/>
      <c r="H317" s="332">
        <f t="shared" si="4"/>
        <v>150</v>
      </c>
    </row>
    <row r="318" spans="1:8">
      <c r="A318" s="329" t="s">
        <v>1102</v>
      </c>
      <c r="B318" s="329" t="s">
        <v>1103</v>
      </c>
      <c r="C318" s="330">
        <v>-1520</v>
      </c>
      <c r="D318" s="331"/>
      <c r="E318" s="331"/>
      <c r="F318" s="331"/>
      <c r="G318" s="331"/>
      <c r="H318" s="332">
        <f t="shared" si="4"/>
        <v>-1520</v>
      </c>
    </row>
    <row r="319" spans="1:8">
      <c r="A319" s="329" t="s">
        <v>1104</v>
      </c>
      <c r="B319" s="329" t="s">
        <v>1105</v>
      </c>
      <c r="C319" s="330">
        <v>-65</v>
      </c>
      <c r="D319" s="331"/>
      <c r="E319" s="331"/>
      <c r="F319" s="331"/>
      <c r="G319" s="331"/>
      <c r="H319" s="332">
        <f t="shared" si="4"/>
        <v>-65</v>
      </c>
    </row>
    <row r="320" spans="1:8">
      <c r="A320" s="329" t="s">
        <v>1106</v>
      </c>
      <c r="B320" s="329" t="s">
        <v>1107</v>
      </c>
      <c r="C320" s="330">
        <v>-140</v>
      </c>
      <c r="D320" s="331"/>
      <c r="E320" s="331"/>
      <c r="F320" s="331"/>
      <c r="G320" s="331"/>
      <c r="H320" s="332">
        <f t="shared" si="4"/>
        <v>-140</v>
      </c>
    </row>
    <row r="321" spans="1:8">
      <c r="A321" s="329" t="s">
        <v>1108</v>
      </c>
      <c r="B321" s="329" t="s">
        <v>1041</v>
      </c>
      <c r="C321" s="330">
        <v>-1370.7</v>
      </c>
      <c r="D321" s="331"/>
      <c r="E321" s="331"/>
      <c r="F321" s="331"/>
      <c r="G321" s="331"/>
      <c r="H321" s="332">
        <f t="shared" si="4"/>
        <v>-1370.7</v>
      </c>
    </row>
    <row r="322" spans="1:8">
      <c r="A322" s="329" t="s">
        <v>1109</v>
      </c>
      <c r="B322" s="329" t="s">
        <v>1110</v>
      </c>
      <c r="C322" s="330">
        <v>-92.23</v>
      </c>
      <c r="D322" s="331"/>
      <c r="E322" s="331"/>
      <c r="F322" s="331"/>
      <c r="G322" s="331"/>
      <c r="H322" s="332">
        <f t="shared" si="4"/>
        <v>-92.23</v>
      </c>
    </row>
    <row r="323" spans="1:8">
      <c r="A323" s="329" t="s">
        <v>1111</v>
      </c>
      <c r="B323" s="329" t="s">
        <v>1112</v>
      </c>
      <c r="C323" s="330">
        <v>-1500</v>
      </c>
      <c r="D323" s="331"/>
      <c r="E323" s="331"/>
      <c r="F323" s="331"/>
      <c r="G323" s="331"/>
      <c r="H323" s="332">
        <f t="shared" si="4"/>
        <v>-1500</v>
      </c>
    </row>
    <row r="324" spans="1:8">
      <c r="A324" s="329" t="s">
        <v>1113</v>
      </c>
      <c r="B324" s="329" t="s">
        <v>1114</v>
      </c>
      <c r="C324" s="330">
        <v>-2000</v>
      </c>
      <c r="D324" s="331"/>
      <c r="E324" s="331"/>
      <c r="F324" s="331"/>
      <c r="G324" s="331"/>
      <c r="H324" s="332">
        <f t="shared" si="4"/>
        <v>-2000</v>
      </c>
    </row>
    <row r="325" spans="1:8">
      <c r="A325" s="329" t="s">
        <v>1115</v>
      </c>
      <c r="B325" s="329" t="s">
        <v>1116</v>
      </c>
      <c r="C325" s="330">
        <v>-11.5</v>
      </c>
      <c r="D325" s="331"/>
      <c r="E325" s="331"/>
      <c r="F325" s="331"/>
      <c r="G325" s="331"/>
      <c r="H325" s="332">
        <f t="shared" si="4"/>
        <v>-11.5</v>
      </c>
    </row>
    <row r="326" spans="1:8">
      <c r="A326" s="329" t="s">
        <v>1117</v>
      </c>
      <c r="B326" s="329" t="s">
        <v>1118</v>
      </c>
      <c r="C326" s="330">
        <v>290</v>
      </c>
      <c r="D326" s="331"/>
      <c r="E326" s="331"/>
      <c r="F326" s="331"/>
      <c r="G326" s="331"/>
      <c r="H326" s="332">
        <f t="shared" si="4"/>
        <v>290</v>
      </c>
    </row>
    <row r="327" spans="1:8">
      <c r="A327" s="329" t="s">
        <v>1119</v>
      </c>
      <c r="B327" s="329" t="s">
        <v>1120</v>
      </c>
      <c r="C327" s="330">
        <v>-700</v>
      </c>
      <c r="D327" s="331"/>
      <c r="E327" s="331"/>
      <c r="F327" s="331"/>
      <c r="G327" s="331"/>
      <c r="H327" s="332">
        <f t="shared" si="4"/>
        <v>-700</v>
      </c>
    </row>
    <row r="328" spans="1:8">
      <c r="A328" s="329" t="s">
        <v>1121</v>
      </c>
      <c r="B328" s="329" t="s">
        <v>1122</v>
      </c>
      <c r="C328" s="330">
        <v>-3250</v>
      </c>
      <c r="D328" s="331"/>
      <c r="E328" s="331"/>
      <c r="F328" s="331"/>
      <c r="G328" s="331"/>
      <c r="H328" s="332">
        <f t="shared" ref="H328:H391" si="5">C328+E328-G328</f>
        <v>-3250</v>
      </c>
    </row>
    <row r="329" spans="1:8">
      <c r="A329" s="329" t="s">
        <v>1123</v>
      </c>
      <c r="B329" s="329" t="s">
        <v>1124</v>
      </c>
      <c r="C329" s="330">
        <v>-1</v>
      </c>
      <c r="D329" s="331"/>
      <c r="E329" s="331"/>
      <c r="F329" s="331"/>
      <c r="G329" s="331"/>
      <c r="H329" s="332">
        <f t="shared" si="5"/>
        <v>-1</v>
      </c>
    </row>
    <row r="330" spans="1:8">
      <c r="A330" s="329" t="s">
        <v>1125</v>
      </c>
      <c r="B330" s="329" t="s">
        <v>1126</v>
      </c>
      <c r="C330" s="330">
        <v>-3440</v>
      </c>
      <c r="D330" s="331"/>
      <c r="E330" s="331"/>
      <c r="F330" s="331"/>
      <c r="G330" s="331"/>
      <c r="H330" s="332">
        <f t="shared" si="5"/>
        <v>-3440</v>
      </c>
    </row>
    <row r="331" spans="1:8">
      <c r="A331" s="329" t="s">
        <v>1127</v>
      </c>
      <c r="B331" s="329" t="s">
        <v>1128</v>
      </c>
      <c r="C331" s="330">
        <v>-1618</v>
      </c>
      <c r="D331" s="331"/>
      <c r="E331" s="331"/>
      <c r="F331" s="331"/>
      <c r="G331" s="331"/>
      <c r="H331" s="332">
        <f t="shared" si="5"/>
        <v>-1618</v>
      </c>
    </row>
    <row r="332" spans="1:8">
      <c r="A332" s="329" t="s">
        <v>1129</v>
      </c>
      <c r="B332" s="329" t="s">
        <v>1130</v>
      </c>
      <c r="C332" s="330">
        <v>-40</v>
      </c>
      <c r="D332" s="331"/>
      <c r="E332" s="331"/>
      <c r="F332" s="331"/>
      <c r="G332" s="331"/>
      <c r="H332" s="332">
        <f t="shared" si="5"/>
        <v>-40</v>
      </c>
    </row>
    <row r="333" spans="1:8">
      <c r="A333" s="329" t="s">
        <v>1131</v>
      </c>
      <c r="B333" s="329" t="s">
        <v>1132</v>
      </c>
      <c r="C333" s="330">
        <v>-5850</v>
      </c>
      <c r="D333" s="331"/>
      <c r="E333" s="331"/>
      <c r="F333" s="331"/>
      <c r="G333" s="331"/>
      <c r="H333" s="332">
        <f t="shared" si="5"/>
        <v>-5850</v>
      </c>
    </row>
    <row r="334" spans="1:8">
      <c r="A334" s="329" t="s">
        <v>1133</v>
      </c>
      <c r="B334" s="329" t="s">
        <v>1134</v>
      </c>
      <c r="C334" s="330">
        <v>-10</v>
      </c>
      <c r="D334" s="331"/>
      <c r="E334" s="331"/>
      <c r="F334" s="331"/>
      <c r="G334" s="331"/>
      <c r="H334" s="332">
        <f t="shared" si="5"/>
        <v>-10</v>
      </c>
    </row>
    <row r="335" spans="1:8">
      <c r="A335" s="329" t="s">
        <v>1135</v>
      </c>
      <c r="B335" s="329" t="s">
        <v>1136</v>
      </c>
      <c r="C335" s="330">
        <v>-407</v>
      </c>
      <c r="D335" s="331"/>
      <c r="E335" s="331"/>
      <c r="F335" s="331"/>
      <c r="G335" s="331"/>
      <c r="H335" s="332">
        <f t="shared" si="5"/>
        <v>-407</v>
      </c>
    </row>
    <row r="336" spans="1:8">
      <c r="A336" s="329" t="s">
        <v>1137</v>
      </c>
      <c r="B336" s="329" t="s">
        <v>1138</v>
      </c>
      <c r="C336" s="330">
        <v>-40</v>
      </c>
      <c r="D336" s="331"/>
      <c r="E336" s="331"/>
      <c r="F336" s="331"/>
      <c r="G336" s="331"/>
      <c r="H336" s="332">
        <f t="shared" si="5"/>
        <v>-40</v>
      </c>
    </row>
    <row r="337" spans="1:8">
      <c r="A337" s="329" t="s">
        <v>1139</v>
      </c>
      <c r="B337" s="329" t="s">
        <v>1140</v>
      </c>
      <c r="C337" s="330">
        <v>-500</v>
      </c>
      <c r="D337" s="331"/>
      <c r="E337" s="331"/>
      <c r="F337" s="331"/>
      <c r="G337" s="331"/>
      <c r="H337" s="332">
        <f t="shared" si="5"/>
        <v>-500</v>
      </c>
    </row>
    <row r="338" spans="1:8">
      <c r="A338" s="329" t="s">
        <v>1141</v>
      </c>
      <c r="B338" s="329" t="s">
        <v>1142</v>
      </c>
      <c r="C338" s="330">
        <v>-240</v>
      </c>
      <c r="D338" s="331"/>
      <c r="E338" s="331"/>
      <c r="F338" s="331"/>
      <c r="G338" s="331"/>
      <c r="H338" s="332">
        <f t="shared" si="5"/>
        <v>-240</v>
      </c>
    </row>
    <row r="339" spans="1:8">
      <c r="A339" s="329" t="s">
        <v>1143</v>
      </c>
      <c r="B339" s="329" t="s">
        <v>1144</v>
      </c>
      <c r="C339" s="330">
        <v>-800</v>
      </c>
      <c r="D339" s="331"/>
      <c r="E339" s="331"/>
      <c r="F339" s="331"/>
      <c r="G339" s="331"/>
      <c r="H339" s="332">
        <f t="shared" si="5"/>
        <v>-800</v>
      </c>
    </row>
    <row r="340" spans="1:8">
      <c r="A340" s="329" t="s">
        <v>1145</v>
      </c>
      <c r="B340" s="329" t="s">
        <v>1146</v>
      </c>
      <c r="C340" s="330">
        <v>-20</v>
      </c>
      <c r="D340" s="331"/>
      <c r="E340" s="331"/>
      <c r="F340" s="331"/>
      <c r="G340" s="331"/>
      <c r="H340" s="332">
        <f t="shared" si="5"/>
        <v>-20</v>
      </c>
    </row>
    <row r="341" spans="1:8">
      <c r="A341" s="329" t="s">
        <v>1147</v>
      </c>
      <c r="B341" s="329" t="s">
        <v>1148</v>
      </c>
      <c r="C341" s="330">
        <v>-20</v>
      </c>
      <c r="D341" s="331"/>
      <c r="E341" s="331"/>
      <c r="F341" s="331"/>
      <c r="G341" s="331"/>
      <c r="H341" s="332">
        <f t="shared" si="5"/>
        <v>-20</v>
      </c>
    </row>
    <row r="342" spans="1:8">
      <c r="A342" s="329" t="s">
        <v>1149</v>
      </c>
      <c r="B342" s="329" t="s">
        <v>1150</v>
      </c>
      <c r="C342" s="330">
        <v>-0.5</v>
      </c>
      <c r="D342" s="331"/>
      <c r="E342" s="331"/>
      <c r="F342" s="331"/>
      <c r="G342" s="331"/>
      <c r="H342" s="332">
        <f t="shared" si="5"/>
        <v>-0.5</v>
      </c>
    </row>
    <row r="343" spans="1:8">
      <c r="A343" s="329" t="s">
        <v>1151</v>
      </c>
      <c r="B343" s="329" t="s">
        <v>1152</v>
      </c>
      <c r="C343" s="330">
        <v>-3228.5</v>
      </c>
      <c r="D343" s="331"/>
      <c r="E343" s="331"/>
      <c r="F343" s="331"/>
      <c r="G343" s="331"/>
      <c r="H343" s="332">
        <f t="shared" si="5"/>
        <v>-3228.5</v>
      </c>
    </row>
    <row r="344" spans="1:8">
      <c r="A344" s="329" t="s">
        <v>1153</v>
      </c>
      <c r="B344" s="329" t="s">
        <v>1154</v>
      </c>
      <c r="C344" s="330">
        <v>-1400</v>
      </c>
      <c r="D344" s="331"/>
      <c r="E344" s="331"/>
      <c r="F344" s="331"/>
      <c r="G344" s="331"/>
      <c r="H344" s="332">
        <f t="shared" si="5"/>
        <v>-1400</v>
      </c>
    </row>
    <row r="345" spans="1:8">
      <c r="A345" s="329" t="s">
        <v>1155</v>
      </c>
      <c r="B345" s="329" t="s">
        <v>1156</v>
      </c>
      <c r="C345" s="330">
        <v>-1000</v>
      </c>
      <c r="D345" s="331"/>
      <c r="E345" s="331"/>
      <c r="F345" s="331"/>
      <c r="G345" s="331"/>
      <c r="H345" s="332">
        <f t="shared" si="5"/>
        <v>-1000</v>
      </c>
    </row>
    <row r="346" spans="1:8">
      <c r="A346" s="329" t="s">
        <v>1157</v>
      </c>
      <c r="B346" s="329" t="s">
        <v>1158</v>
      </c>
      <c r="C346" s="330">
        <v>-1</v>
      </c>
      <c r="D346" s="331"/>
      <c r="E346" s="331"/>
      <c r="F346" s="331"/>
      <c r="G346" s="331"/>
      <c r="H346" s="332">
        <f t="shared" si="5"/>
        <v>-1</v>
      </c>
    </row>
    <row r="347" spans="1:8">
      <c r="A347" s="329" t="s">
        <v>1159</v>
      </c>
      <c r="B347" s="329" t="s">
        <v>1160</v>
      </c>
      <c r="C347" s="330">
        <v>-1</v>
      </c>
      <c r="D347" s="331"/>
      <c r="E347" s="331"/>
      <c r="F347" s="331"/>
      <c r="G347" s="331"/>
      <c r="H347" s="332">
        <f t="shared" si="5"/>
        <v>-1</v>
      </c>
    </row>
    <row r="348" spans="1:8">
      <c r="A348" s="329" t="s">
        <v>1161</v>
      </c>
      <c r="B348" s="329" t="s">
        <v>1162</v>
      </c>
      <c r="C348" s="330">
        <v>-500</v>
      </c>
      <c r="D348" s="331"/>
      <c r="E348" s="331"/>
      <c r="F348" s="331"/>
      <c r="G348" s="331"/>
      <c r="H348" s="332">
        <f t="shared" si="5"/>
        <v>-500</v>
      </c>
    </row>
    <row r="349" spans="1:8">
      <c r="A349" s="329" t="s">
        <v>1163</v>
      </c>
      <c r="B349" s="329" t="s">
        <v>1164</v>
      </c>
      <c r="C349" s="330">
        <v>-640</v>
      </c>
      <c r="D349" s="331"/>
      <c r="E349" s="331"/>
      <c r="F349" s="331"/>
      <c r="G349" s="331"/>
      <c r="H349" s="332">
        <f t="shared" si="5"/>
        <v>-640</v>
      </c>
    </row>
    <row r="350" spans="1:8">
      <c r="A350" s="329" t="s">
        <v>1165</v>
      </c>
      <c r="B350" s="329" t="s">
        <v>1166</v>
      </c>
      <c r="C350" s="330">
        <v>-720</v>
      </c>
      <c r="D350" s="331"/>
      <c r="E350" s="331"/>
      <c r="F350" s="331"/>
      <c r="G350" s="331"/>
      <c r="H350" s="332">
        <f t="shared" si="5"/>
        <v>-720</v>
      </c>
    </row>
    <row r="351" spans="1:8">
      <c r="A351" s="329" t="s">
        <v>1167</v>
      </c>
      <c r="B351" s="329" t="s">
        <v>1168</v>
      </c>
      <c r="C351" s="330">
        <v>-1180</v>
      </c>
      <c r="D351" s="331"/>
      <c r="E351" s="331"/>
      <c r="F351" s="331"/>
      <c r="G351" s="331"/>
      <c r="H351" s="332">
        <f t="shared" si="5"/>
        <v>-1180</v>
      </c>
    </row>
    <row r="352" spans="1:8">
      <c r="A352" s="329" t="s">
        <v>1169</v>
      </c>
      <c r="B352" s="329" t="s">
        <v>1170</v>
      </c>
      <c r="C352" s="330">
        <v>-11</v>
      </c>
      <c r="D352" s="331"/>
      <c r="E352" s="331"/>
      <c r="F352" s="331"/>
      <c r="G352" s="331"/>
      <c r="H352" s="332">
        <f t="shared" si="5"/>
        <v>-11</v>
      </c>
    </row>
    <row r="353" spans="1:8">
      <c r="A353" s="329" t="s">
        <v>1171</v>
      </c>
      <c r="B353" s="329" t="s">
        <v>1172</v>
      </c>
      <c r="C353" s="330">
        <v>-560</v>
      </c>
      <c r="D353" s="331"/>
      <c r="E353" s="331"/>
      <c r="F353" s="331"/>
      <c r="G353" s="331"/>
      <c r="H353" s="332">
        <f t="shared" si="5"/>
        <v>-560</v>
      </c>
    </row>
    <row r="354" spans="1:8">
      <c r="A354" s="329" t="s">
        <v>1173</v>
      </c>
      <c r="B354" s="329" t="s">
        <v>1174</v>
      </c>
      <c r="C354" s="330">
        <v>-640</v>
      </c>
      <c r="D354" s="331"/>
      <c r="E354" s="331"/>
      <c r="F354" s="331"/>
      <c r="G354" s="331"/>
      <c r="H354" s="332">
        <f t="shared" si="5"/>
        <v>-640</v>
      </c>
    </row>
    <row r="355" spans="1:8">
      <c r="A355" s="329" t="s">
        <v>1175</v>
      </c>
      <c r="B355" s="329" t="s">
        <v>1176</v>
      </c>
      <c r="C355" s="330">
        <v>-480</v>
      </c>
      <c r="D355" s="331"/>
      <c r="E355" s="331"/>
      <c r="F355" s="331"/>
      <c r="G355" s="331"/>
      <c r="H355" s="332">
        <f t="shared" si="5"/>
        <v>-480</v>
      </c>
    </row>
    <row r="356" spans="1:8">
      <c r="A356" s="329" t="s">
        <v>1177</v>
      </c>
      <c r="B356" s="329" t="s">
        <v>1178</v>
      </c>
      <c r="C356" s="330">
        <v>-2600</v>
      </c>
      <c r="D356" s="331"/>
      <c r="E356" s="331"/>
      <c r="F356" s="331"/>
      <c r="G356" s="331"/>
      <c r="H356" s="332">
        <f t="shared" si="5"/>
        <v>-2600</v>
      </c>
    </row>
    <row r="357" spans="1:8">
      <c r="A357" s="329" t="s">
        <v>1179</v>
      </c>
      <c r="B357" s="329" t="s">
        <v>1180</v>
      </c>
      <c r="C357" s="330">
        <v>-2</v>
      </c>
      <c r="D357" s="331"/>
      <c r="E357" s="331"/>
      <c r="F357" s="331"/>
      <c r="G357" s="331"/>
      <c r="H357" s="332">
        <f t="shared" si="5"/>
        <v>-2</v>
      </c>
    </row>
    <row r="358" spans="1:8">
      <c r="A358" s="329" t="s">
        <v>1181</v>
      </c>
      <c r="B358" s="329" t="s">
        <v>1182</v>
      </c>
      <c r="C358" s="330">
        <v>-2</v>
      </c>
      <c r="D358" s="331"/>
      <c r="E358" s="331"/>
      <c r="F358" s="331"/>
      <c r="G358" s="331"/>
      <c r="H358" s="332">
        <f t="shared" si="5"/>
        <v>-2</v>
      </c>
    </row>
    <row r="359" spans="1:8">
      <c r="A359" s="329" t="s">
        <v>1183</v>
      </c>
      <c r="B359" s="329" t="s">
        <v>1184</v>
      </c>
      <c r="C359" s="330">
        <v>-624.20000000000005</v>
      </c>
      <c r="D359" s="331"/>
      <c r="E359" s="331"/>
      <c r="F359" s="331"/>
      <c r="G359" s="331"/>
      <c r="H359" s="332">
        <f t="shared" si="5"/>
        <v>-624.20000000000005</v>
      </c>
    </row>
    <row r="360" spans="1:8">
      <c r="A360" s="329" t="s">
        <v>1185</v>
      </c>
      <c r="B360" s="329" t="s">
        <v>1186</v>
      </c>
      <c r="C360" s="330">
        <v>-1600</v>
      </c>
      <c r="D360" s="331"/>
      <c r="E360" s="331"/>
      <c r="F360" s="331"/>
      <c r="G360" s="331"/>
      <c r="H360" s="332">
        <f t="shared" si="5"/>
        <v>-1600</v>
      </c>
    </row>
    <row r="361" spans="1:8">
      <c r="A361" s="329" t="s">
        <v>1187</v>
      </c>
      <c r="B361" s="329" t="s">
        <v>1188</v>
      </c>
      <c r="C361" s="330">
        <v>-0.67</v>
      </c>
      <c r="D361" s="331"/>
      <c r="E361" s="331"/>
      <c r="F361" s="331"/>
      <c r="G361" s="331"/>
      <c r="H361" s="332">
        <f t="shared" si="5"/>
        <v>-0.67</v>
      </c>
    </row>
    <row r="362" spans="1:8">
      <c r="A362" s="329" t="s">
        <v>1189</v>
      </c>
      <c r="B362" s="329" t="s">
        <v>1190</v>
      </c>
      <c r="C362" s="330">
        <v>-870</v>
      </c>
      <c r="D362" s="331"/>
      <c r="E362" s="331"/>
      <c r="F362" s="331"/>
      <c r="G362" s="331"/>
      <c r="H362" s="332">
        <f t="shared" si="5"/>
        <v>-870</v>
      </c>
    </row>
    <row r="363" spans="1:8">
      <c r="A363" s="329" t="s">
        <v>1191</v>
      </c>
      <c r="B363" s="329" t="s">
        <v>1192</v>
      </c>
      <c r="C363" s="330">
        <v>-300</v>
      </c>
      <c r="D363" s="331"/>
      <c r="E363" s="331"/>
      <c r="F363" s="331"/>
      <c r="G363" s="331"/>
      <c r="H363" s="332">
        <f t="shared" si="5"/>
        <v>-300</v>
      </c>
    </row>
    <row r="364" spans="1:8">
      <c r="A364" s="329" t="s">
        <v>1193</v>
      </c>
      <c r="B364" s="329" t="s">
        <v>1194</v>
      </c>
      <c r="C364" s="330">
        <v>-1620</v>
      </c>
      <c r="D364" s="331"/>
      <c r="E364" s="331"/>
      <c r="F364" s="331"/>
      <c r="G364" s="331"/>
      <c r="H364" s="332">
        <f t="shared" si="5"/>
        <v>-1620</v>
      </c>
    </row>
    <row r="365" spans="1:8">
      <c r="A365" s="329" t="s">
        <v>1195</v>
      </c>
      <c r="B365" s="329" t="s">
        <v>1196</v>
      </c>
      <c r="C365" s="330">
        <v>-0.35000000000000003</v>
      </c>
      <c r="D365" s="331"/>
      <c r="E365" s="331"/>
      <c r="F365" s="331"/>
      <c r="G365" s="331"/>
      <c r="H365" s="332">
        <f t="shared" si="5"/>
        <v>-0.35000000000000003</v>
      </c>
    </row>
    <row r="366" spans="1:8">
      <c r="A366" s="329" t="s">
        <v>1197</v>
      </c>
      <c r="B366" s="329" t="s">
        <v>1198</v>
      </c>
      <c r="C366" s="330">
        <v>-500</v>
      </c>
      <c r="D366" s="331"/>
      <c r="E366" s="331"/>
      <c r="F366" s="331"/>
      <c r="G366" s="331"/>
      <c r="H366" s="332">
        <f t="shared" si="5"/>
        <v>-500</v>
      </c>
    </row>
    <row r="367" spans="1:8">
      <c r="A367" s="329" t="s">
        <v>1199</v>
      </c>
      <c r="B367" s="329" t="s">
        <v>1200</v>
      </c>
      <c r="C367" s="330">
        <v>-800</v>
      </c>
      <c r="D367" s="331"/>
      <c r="E367" s="331"/>
      <c r="F367" s="331"/>
      <c r="G367" s="331"/>
      <c r="H367" s="332">
        <f t="shared" si="5"/>
        <v>-800</v>
      </c>
    </row>
    <row r="368" spans="1:8">
      <c r="A368" s="329" t="s">
        <v>1201</v>
      </c>
      <c r="B368" s="329" t="s">
        <v>1202</v>
      </c>
      <c r="C368" s="330">
        <v>-1202</v>
      </c>
      <c r="D368" s="331"/>
      <c r="E368" s="331"/>
      <c r="F368" s="331"/>
      <c r="G368" s="331"/>
      <c r="H368" s="332">
        <f t="shared" si="5"/>
        <v>-1202</v>
      </c>
    </row>
    <row r="369" spans="1:8">
      <c r="A369" s="329" t="s">
        <v>1203</v>
      </c>
      <c r="B369" s="329" t="s">
        <v>1204</v>
      </c>
      <c r="C369" s="330">
        <v>-600</v>
      </c>
      <c r="D369" s="331"/>
      <c r="E369" s="331"/>
      <c r="F369" s="331"/>
      <c r="G369" s="331"/>
      <c r="H369" s="332">
        <f t="shared" si="5"/>
        <v>-600</v>
      </c>
    </row>
    <row r="370" spans="1:8">
      <c r="A370" s="329" t="s">
        <v>1205</v>
      </c>
      <c r="B370" s="329" t="s">
        <v>1206</v>
      </c>
      <c r="C370" s="330">
        <v>-55</v>
      </c>
      <c r="D370" s="331"/>
      <c r="E370" s="331"/>
      <c r="F370" s="331"/>
      <c r="G370" s="331"/>
      <c r="H370" s="332">
        <f t="shared" si="5"/>
        <v>-55</v>
      </c>
    </row>
    <row r="371" spans="1:8">
      <c r="A371" s="329" t="s">
        <v>1207</v>
      </c>
      <c r="B371" s="329" t="s">
        <v>1208</v>
      </c>
      <c r="C371" s="330">
        <v>-106.29999999999995</v>
      </c>
      <c r="D371" s="331"/>
      <c r="E371" s="331"/>
      <c r="F371" s="331"/>
      <c r="G371" s="331"/>
      <c r="H371" s="332">
        <f t="shared" si="5"/>
        <v>-106.29999999999995</v>
      </c>
    </row>
    <row r="372" spans="1:8">
      <c r="A372" s="329" t="s">
        <v>1209</v>
      </c>
      <c r="B372" s="329" t="s">
        <v>1210</v>
      </c>
      <c r="C372" s="330">
        <v>-1125</v>
      </c>
      <c r="D372" s="331"/>
      <c r="E372" s="331"/>
      <c r="F372" s="331"/>
      <c r="G372" s="331"/>
      <c r="H372" s="332">
        <f t="shared" si="5"/>
        <v>-1125</v>
      </c>
    </row>
    <row r="373" spans="1:8">
      <c r="A373" s="329" t="s">
        <v>1211</v>
      </c>
      <c r="B373" s="329" t="s">
        <v>1212</v>
      </c>
      <c r="C373" s="330">
        <v>-17.560000000000002</v>
      </c>
      <c r="D373" s="331"/>
      <c r="E373" s="331"/>
      <c r="F373" s="331"/>
      <c r="G373" s="331"/>
      <c r="H373" s="332">
        <f t="shared" si="5"/>
        <v>-17.560000000000002</v>
      </c>
    </row>
    <row r="374" spans="1:8">
      <c r="A374" s="329" t="s">
        <v>1213</v>
      </c>
      <c r="B374" s="329" t="s">
        <v>1214</v>
      </c>
      <c r="C374" s="330">
        <v>-2500</v>
      </c>
      <c r="D374" s="331"/>
      <c r="E374" s="331"/>
      <c r="F374" s="331"/>
      <c r="G374" s="331"/>
      <c r="H374" s="332">
        <f t="shared" si="5"/>
        <v>-2500</v>
      </c>
    </row>
    <row r="375" spans="1:8">
      <c r="A375" s="329" t="s">
        <v>1215</v>
      </c>
      <c r="B375" s="329" t="s">
        <v>1216</v>
      </c>
      <c r="C375" s="330">
        <v>-1000</v>
      </c>
      <c r="D375" s="331"/>
      <c r="E375" s="331"/>
      <c r="F375" s="331"/>
      <c r="G375" s="331"/>
      <c r="H375" s="332">
        <f t="shared" si="5"/>
        <v>-1000</v>
      </c>
    </row>
    <row r="376" spans="1:8">
      <c r="A376" s="329" t="s">
        <v>1217</v>
      </c>
      <c r="B376" s="329" t="s">
        <v>1218</v>
      </c>
      <c r="C376" s="330">
        <v>-560</v>
      </c>
      <c r="D376" s="331"/>
      <c r="E376" s="331"/>
      <c r="F376" s="331"/>
      <c r="G376" s="331"/>
      <c r="H376" s="332">
        <f t="shared" si="5"/>
        <v>-560</v>
      </c>
    </row>
    <row r="377" spans="1:8">
      <c r="A377" s="329" t="s">
        <v>1219</v>
      </c>
      <c r="B377" s="329" t="s">
        <v>1220</v>
      </c>
      <c r="C377" s="330">
        <v>-500</v>
      </c>
      <c r="D377" s="331"/>
      <c r="E377" s="331"/>
      <c r="F377" s="331"/>
      <c r="G377" s="331"/>
      <c r="H377" s="332">
        <f t="shared" si="5"/>
        <v>-500</v>
      </c>
    </row>
    <row r="378" spans="1:8">
      <c r="A378" s="329" t="s">
        <v>1221</v>
      </c>
      <c r="B378" s="329" t="s">
        <v>1222</v>
      </c>
      <c r="C378" s="330">
        <v>-30</v>
      </c>
      <c r="D378" s="331"/>
      <c r="E378" s="331"/>
      <c r="F378" s="331"/>
      <c r="G378" s="331"/>
      <c r="H378" s="332">
        <f t="shared" si="5"/>
        <v>-30</v>
      </c>
    </row>
    <row r="379" spans="1:8">
      <c r="A379" s="334" t="s">
        <v>1223</v>
      </c>
      <c r="B379" s="334" t="s">
        <v>1224</v>
      </c>
      <c r="C379" s="335">
        <f>SUM(C380:C400)</f>
        <v>-6982</v>
      </c>
      <c r="D379" s="336"/>
      <c r="E379" s="335">
        <f>SUM(E380:E400)</f>
        <v>0</v>
      </c>
      <c r="F379" s="336"/>
      <c r="G379" s="335">
        <f>SUM(G380:G400)</f>
        <v>0</v>
      </c>
      <c r="H379" s="337">
        <f t="shared" si="5"/>
        <v>-6982</v>
      </c>
    </row>
    <row r="380" spans="1:8">
      <c r="A380" s="329" t="s">
        <v>1225</v>
      </c>
      <c r="B380" s="329" t="s">
        <v>1226</v>
      </c>
      <c r="C380" s="330">
        <v>2890</v>
      </c>
      <c r="D380" s="331"/>
      <c r="E380" s="331"/>
      <c r="F380" s="331"/>
      <c r="G380" s="331"/>
      <c r="H380" s="332">
        <f t="shared" si="5"/>
        <v>2890</v>
      </c>
    </row>
    <row r="381" spans="1:8">
      <c r="A381" s="329" t="s">
        <v>1227</v>
      </c>
      <c r="B381" s="329" t="s">
        <v>1228</v>
      </c>
      <c r="C381" s="330">
        <v>1700</v>
      </c>
      <c r="D381" s="331"/>
      <c r="E381" s="331"/>
      <c r="F381" s="331"/>
      <c r="G381" s="331"/>
      <c r="H381" s="332">
        <f t="shared" si="5"/>
        <v>1700</v>
      </c>
    </row>
    <row r="382" spans="1:8">
      <c r="A382" s="329" t="s">
        <v>1229</v>
      </c>
      <c r="B382" s="329" t="s">
        <v>1230</v>
      </c>
      <c r="C382" s="330">
        <v>-1000</v>
      </c>
      <c r="D382" s="331"/>
      <c r="E382" s="331"/>
      <c r="F382" s="331"/>
      <c r="G382" s="331"/>
      <c r="H382" s="332">
        <f t="shared" si="5"/>
        <v>-1000</v>
      </c>
    </row>
    <row r="383" spans="1:8">
      <c r="A383" s="329" t="s">
        <v>1231</v>
      </c>
      <c r="B383" s="329" t="s">
        <v>1232</v>
      </c>
      <c r="C383" s="330">
        <v>-2169</v>
      </c>
      <c r="D383" s="331"/>
      <c r="E383" s="331"/>
      <c r="F383" s="331"/>
      <c r="G383" s="331"/>
      <c r="H383" s="332">
        <f t="shared" si="5"/>
        <v>-2169</v>
      </c>
    </row>
    <row r="384" spans="1:8">
      <c r="A384" s="329" t="s">
        <v>1233</v>
      </c>
      <c r="B384" s="329" t="s">
        <v>1234</v>
      </c>
      <c r="C384" s="330">
        <v>-355</v>
      </c>
      <c r="D384" s="331"/>
      <c r="E384" s="331"/>
      <c r="F384" s="331"/>
      <c r="G384" s="331"/>
      <c r="H384" s="332">
        <f t="shared" si="5"/>
        <v>-355</v>
      </c>
    </row>
    <row r="385" spans="1:8">
      <c r="A385" s="329" t="s">
        <v>1235</v>
      </c>
      <c r="B385" s="329" t="s">
        <v>1236</v>
      </c>
      <c r="C385" s="330">
        <v>-840</v>
      </c>
      <c r="D385" s="331"/>
      <c r="E385" s="331"/>
      <c r="F385" s="331"/>
      <c r="G385" s="331"/>
      <c r="H385" s="332">
        <f t="shared" si="5"/>
        <v>-840</v>
      </c>
    </row>
    <row r="386" spans="1:8">
      <c r="A386" s="329" t="s">
        <v>1237</v>
      </c>
      <c r="B386" s="329" t="s">
        <v>1238</v>
      </c>
      <c r="C386" s="330">
        <v>-480</v>
      </c>
      <c r="D386" s="331"/>
      <c r="E386" s="331"/>
      <c r="F386" s="331"/>
      <c r="G386" s="331"/>
      <c r="H386" s="332">
        <f t="shared" si="5"/>
        <v>-480</v>
      </c>
    </row>
    <row r="387" spans="1:8">
      <c r="A387" s="329" t="s">
        <v>1239</v>
      </c>
      <c r="B387" s="329" t="s">
        <v>1240</v>
      </c>
      <c r="C387" s="330">
        <v>-800</v>
      </c>
      <c r="D387" s="331"/>
      <c r="E387" s="331"/>
      <c r="F387" s="331"/>
      <c r="G387" s="331"/>
      <c r="H387" s="332">
        <f t="shared" si="5"/>
        <v>-800</v>
      </c>
    </row>
    <row r="388" spans="1:8">
      <c r="A388" s="329" t="s">
        <v>1241</v>
      </c>
      <c r="B388" s="329" t="s">
        <v>1242</v>
      </c>
      <c r="C388" s="330">
        <v>-720</v>
      </c>
      <c r="D388" s="331"/>
      <c r="E388" s="331"/>
      <c r="F388" s="331"/>
      <c r="G388" s="331"/>
      <c r="H388" s="332">
        <f t="shared" si="5"/>
        <v>-720</v>
      </c>
    </row>
    <row r="389" spans="1:8">
      <c r="A389" s="329" t="s">
        <v>1243</v>
      </c>
      <c r="B389" s="329" t="s">
        <v>1244</v>
      </c>
      <c r="C389" s="330">
        <v>-1165</v>
      </c>
      <c r="D389" s="331"/>
      <c r="E389" s="331"/>
      <c r="F389" s="331"/>
      <c r="G389" s="331"/>
      <c r="H389" s="332">
        <f t="shared" si="5"/>
        <v>-1165</v>
      </c>
    </row>
    <row r="390" spans="1:8">
      <c r="A390" s="329" t="s">
        <v>1245</v>
      </c>
      <c r="B390" s="329" t="s">
        <v>1246</v>
      </c>
      <c r="C390" s="330">
        <v>-400</v>
      </c>
      <c r="D390" s="331"/>
      <c r="E390" s="331"/>
      <c r="F390" s="331"/>
      <c r="G390" s="331"/>
      <c r="H390" s="332">
        <f t="shared" si="5"/>
        <v>-400</v>
      </c>
    </row>
    <row r="391" spans="1:8">
      <c r="A391" s="329" t="s">
        <v>1247</v>
      </c>
      <c r="B391" s="329" t="s">
        <v>1248</v>
      </c>
      <c r="C391" s="330">
        <v>-480</v>
      </c>
      <c r="D391" s="331"/>
      <c r="E391" s="331"/>
      <c r="F391" s="331"/>
      <c r="G391" s="331"/>
      <c r="H391" s="332">
        <f t="shared" si="5"/>
        <v>-480</v>
      </c>
    </row>
    <row r="392" spans="1:8">
      <c r="A392" s="329" t="s">
        <v>1249</v>
      </c>
      <c r="B392" s="329" t="s">
        <v>1250</v>
      </c>
      <c r="C392" s="330">
        <v>-240</v>
      </c>
      <c r="D392" s="331"/>
      <c r="E392" s="331"/>
      <c r="F392" s="331"/>
      <c r="G392" s="331"/>
      <c r="H392" s="332">
        <f t="shared" ref="H392:H456" si="6">C392+E392-G392</f>
        <v>-240</v>
      </c>
    </row>
    <row r="393" spans="1:8">
      <c r="A393" s="329" t="s">
        <v>1251</v>
      </c>
      <c r="B393" s="329" t="s">
        <v>1252</v>
      </c>
      <c r="C393" s="330">
        <v>-720</v>
      </c>
      <c r="D393" s="331"/>
      <c r="E393" s="331"/>
      <c r="F393" s="331"/>
      <c r="G393" s="331"/>
      <c r="H393" s="332">
        <f t="shared" si="6"/>
        <v>-720</v>
      </c>
    </row>
    <row r="394" spans="1:8">
      <c r="A394" s="329" t="s">
        <v>1253</v>
      </c>
      <c r="B394" s="329" t="s">
        <v>1254</v>
      </c>
      <c r="C394" s="330">
        <v>-328</v>
      </c>
      <c r="D394" s="331"/>
      <c r="E394" s="331"/>
      <c r="F394" s="331"/>
      <c r="G394" s="331"/>
      <c r="H394" s="332">
        <f t="shared" si="6"/>
        <v>-328</v>
      </c>
    </row>
    <row r="395" spans="1:8">
      <c r="A395" s="329" t="s">
        <v>1255</v>
      </c>
      <c r="B395" s="329" t="s">
        <v>1256</v>
      </c>
      <c r="C395" s="330">
        <v>-240</v>
      </c>
      <c r="D395" s="331"/>
      <c r="E395" s="331"/>
      <c r="F395" s="331"/>
      <c r="G395" s="331"/>
      <c r="H395" s="332">
        <f t="shared" si="6"/>
        <v>-240</v>
      </c>
    </row>
    <row r="396" spans="1:8">
      <c r="A396" s="329" t="s">
        <v>1257</v>
      </c>
      <c r="B396" s="329" t="s">
        <v>1258</v>
      </c>
      <c r="C396" s="330">
        <v>-205</v>
      </c>
      <c r="D396" s="331"/>
      <c r="E396" s="331"/>
      <c r="F396" s="331"/>
      <c r="G396" s="331"/>
      <c r="H396" s="332">
        <f t="shared" si="6"/>
        <v>-205</v>
      </c>
    </row>
    <row r="397" spans="1:8">
      <c r="A397" s="329" t="s">
        <v>1259</v>
      </c>
      <c r="B397" s="329" t="s">
        <v>1260</v>
      </c>
      <c r="C397" s="330">
        <v>-320</v>
      </c>
      <c r="D397" s="331"/>
      <c r="E397" s="331"/>
      <c r="F397" s="331"/>
      <c r="G397" s="331"/>
      <c r="H397" s="332">
        <f t="shared" si="6"/>
        <v>-320</v>
      </c>
    </row>
    <row r="398" spans="1:8">
      <c r="A398" s="329" t="s">
        <v>1261</v>
      </c>
      <c r="B398" s="329" t="s">
        <v>1262</v>
      </c>
      <c r="C398" s="330">
        <v>-400</v>
      </c>
      <c r="D398" s="331"/>
      <c r="E398" s="331"/>
      <c r="F398" s="331"/>
      <c r="G398" s="331"/>
      <c r="H398" s="332">
        <f t="shared" si="6"/>
        <v>-400</v>
      </c>
    </row>
    <row r="399" spans="1:8">
      <c r="A399" s="329" t="s">
        <v>1263</v>
      </c>
      <c r="B399" s="329" t="s">
        <v>1264</v>
      </c>
      <c r="C399" s="330">
        <v>-70</v>
      </c>
      <c r="D399" s="331"/>
      <c r="E399" s="331"/>
      <c r="F399" s="331"/>
      <c r="G399" s="331"/>
      <c r="H399" s="332">
        <f t="shared" si="6"/>
        <v>-70</v>
      </c>
    </row>
    <row r="400" spans="1:8">
      <c r="A400" s="329" t="s">
        <v>1265</v>
      </c>
      <c r="B400" s="329" t="s">
        <v>1266</v>
      </c>
      <c r="C400" s="330">
        <v>-640</v>
      </c>
      <c r="D400" s="331"/>
      <c r="E400" s="331"/>
      <c r="F400" s="331"/>
      <c r="G400" s="331"/>
      <c r="H400" s="332">
        <f t="shared" si="6"/>
        <v>-640</v>
      </c>
    </row>
    <row r="401" spans="1:8">
      <c r="A401" s="334" t="s">
        <v>1267</v>
      </c>
      <c r="B401" s="334" t="s">
        <v>1268</v>
      </c>
      <c r="C401" s="335">
        <f>SUM(C402:C407)</f>
        <v>-410</v>
      </c>
      <c r="D401" s="336"/>
      <c r="E401" s="335">
        <f>SUM(E402:E407)</f>
        <v>0</v>
      </c>
      <c r="F401" s="336"/>
      <c r="G401" s="335">
        <f>SUM(G402:G407)</f>
        <v>0</v>
      </c>
      <c r="H401" s="337">
        <f t="shared" si="6"/>
        <v>-410</v>
      </c>
    </row>
    <row r="402" spans="1:8">
      <c r="A402" s="329" t="s">
        <v>1269</v>
      </c>
      <c r="B402" s="329" t="s">
        <v>1270</v>
      </c>
      <c r="C402" s="330">
        <v>-90</v>
      </c>
      <c r="D402" s="331"/>
      <c r="E402" s="331"/>
      <c r="F402" s="331"/>
      <c r="G402" s="331"/>
      <c r="H402" s="332">
        <f t="shared" si="6"/>
        <v>-90</v>
      </c>
    </row>
    <row r="403" spans="1:8">
      <c r="A403" s="329" t="s">
        <v>1271</v>
      </c>
      <c r="B403" s="329" t="s">
        <v>1272</v>
      </c>
      <c r="C403" s="330">
        <v>-800</v>
      </c>
      <c r="D403" s="331"/>
      <c r="E403" s="331"/>
      <c r="F403" s="331"/>
      <c r="G403" s="331"/>
      <c r="H403" s="332">
        <f t="shared" si="6"/>
        <v>-800</v>
      </c>
    </row>
    <row r="404" spans="1:8">
      <c r="A404" s="329" t="s">
        <v>1273</v>
      </c>
      <c r="B404" s="329" t="s">
        <v>1274</v>
      </c>
      <c r="C404" s="330">
        <v>320</v>
      </c>
      <c r="D404" s="331"/>
      <c r="E404" s="331"/>
      <c r="F404" s="331"/>
      <c r="G404" s="331"/>
      <c r="H404" s="332">
        <f t="shared" si="6"/>
        <v>320</v>
      </c>
    </row>
    <row r="405" spans="1:8">
      <c r="A405" s="329" t="s">
        <v>1275</v>
      </c>
      <c r="B405" s="329" t="s">
        <v>1276</v>
      </c>
      <c r="C405" s="330">
        <v>-320</v>
      </c>
      <c r="D405" s="331"/>
      <c r="E405" s="331"/>
      <c r="F405" s="331"/>
      <c r="G405" s="331"/>
      <c r="H405" s="332">
        <f t="shared" si="6"/>
        <v>-320</v>
      </c>
    </row>
    <row r="406" spans="1:8">
      <c r="A406" s="329" t="s">
        <v>1277</v>
      </c>
      <c r="B406" s="329" t="s">
        <v>1278</v>
      </c>
      <c r="C406" s="330">
        <v>800</v>
      </c>
      <c r="D406" s="331"/>
      <c r="E406" s="331"/>
      <c r="F406" s="331"/>
      <c r="G406" s="331"/>
      <c r="H406" s="332">
        <f t="shared" si="6"/>
        <v>800</v>
      </c>
    </row>
    <row r="407" spans="1:8">
      <c r="A407" s="329" t="s">
        <v>1279</v>
      </c>
      <c r="B407" s="329" t="s">
        <v>1280</v>
      </c>
      <c r="C407" s="330">
        <v>-320</v>
      </c>
      <c r="D407" s="331"/>
      <c r="E407" s="331"/>
      <c r="F407" s="331"/>
      <c r="G407" s="331"/>
      <c r="H407" s="332">
        <f t="shared" si="6"/>
        <v>-320</v>
      </c>
    </row>
    <row r="408" spans="1:8">
      <c r="A408" s="334" t="s">
        <v>1281</v>
      </c>
      <c r="B408" s="334" t="s">
        <v>1282</v>
      </c>
      <c r="C408" s="335">
        <f>SUM(C409:C412)</f>
        <v>-920</v>
      </c>
      <c r="D408" s="336"/>
      <c r="E408" s="335">
        <f>SUM(E409:E412)</f>
        <v>0</v>
      </c>
      <c r="F408" s="336"/>
      <c r="G408" s="335">
        <f>SUM(G409:G412)</f>
        <v>0</v>
      </c>
      <c r="H408" s="337">
        <f t="shared" si="6"/>
        <v>-920</v>
      </c>
    </row>
    <row r="409" spans="1:8">
      <c r="A409" s="329" t="s">
        <v>1283</v>
      </c>
      <c r="B409" s="329" t="s">
        <v>1284</v>
      </c>
      <c r="C409" s="330">
        <v>-640</v>
      </c>
      <c r="D409" s="331"/>
      <c r="E409" s="331"/>
      <c r="F409" s="331"/>
      <c r="G409" s="331"/>
      <c r="H409" s="332">
        <f t="shared" si="6"/>
        <v>-640</v>
      </c>
    </row>
    <row r="410" spans="1:8">
      <c r="A410" s="329" t="s">
        <v>1285</v>
      </c>
      <c r="B410" s="329" t="s">
        <v>1286</v>
      </c>
      <c r="C410" s="330">
        <v>-320</v>
      </c>
      <c r="D410" s="331"/>
      <c r="E410" s="331"/>
      <c r="F410" s="331"/>
      <c r="G410" s="331"/>
      <c r="H410" s="332">
        <f t="shared" si="6"/>
        <v>-320</v>
      </c>
    </row>
    <row r="411" spans="1:8">
      <c r="A411" s="329" t="s">
        <v>1287</v>
      </c>
      <c r="B411" s="329" t="s">
        <v>1288</v>
      </c>
      <c r="C411" s="330">
        <v>50</v>
      </c>
      <c r="D411" s="331"/>
      <c r="E411" s="331"/>
      <c r="F411" s="331"/>
      <c r="G411" s="331"/>
      <c r="H411" s="332">
        <f t="shared" si="6"/>
        <v>50</v>
      </c>
    </row>
    <row r="412" spans="1:8">
      <c r="A412" s="329" t="s">
        <v>1289</v>
      </c>
      <c r="B412" s="329" t="s">
        <v>1290</v>
      </c>
      <c r="C412" s="330">
        <v>-10</v>
      </c>
      <c r="D412" s="331"/>
      <c r="E412" s="331"/>
      <c r="F412" s="331"/>
      <c r="G412" s="331"/>
      <c r="H412" s="332">
        <f t="shared" si="6"/>
        <v>-10</v>
      </c>
    </row>
    <row r="413" spans="1:8">
      <c r="A413" s="321" t="s">
        <v>1291</v>
      </c>
      <c r="B413" s="321" t="s">
        <v>1292</v>
      </c>
      <c r="C413" s="322">
        <f>C414</f>
        <v>328962.8199999932</v>
      </c>
      <c r="D413" s="323"/>
      <c r="E413" s="322">
        <f>E414</f>
        <v>0</v>
      </c>
      <c r="F413" s="323"/>
      <c r="G413" s="322">
        <f>G414</f>
        <v>0</v>
      </c>
      <c r="H413" s="324">
        <f t="shared" si="6"/>
        <v>328962.8199999932</v>
      </c>
    </row>
    <row r="414" spans="1:8">
      <c r="A414" s="334" t="s">
        <v>1293</v>
      </c>
      <c r="B414" s="334" t="s">
        <v>1294</v>
      </c>
      <c r="C414" s="335">
        <f>SUM(C415:C424)</f>
        <v>328962.8199999932</v>
      </c>
      <c r="D414" s="336"/>
      <c r="E414" s="335">
        <f>SUM(E415:E424)</f>
        <v>0</v>
      </c>
      <c r="F414" s="336"/>
      <c r="G414" s="335">
        <f>SUM(G415:G424)</f>
        <v>0</v>
      </c>
      <c r="H414" s="337">
        <f t="shared" si="6"/>
        <v>328962.8199999932</v>
      </c>
    </row>
    <row r="415" spans="1:8">
      <c r="A415" s="329" t="s">
        <v>1295</v>
      </c>
      <c r="B415" s="329" t="s">
        <v>1296</v>
      </c>
      <c r="C415" s="330">
        <v>145482.98999999533</v>
      </c>
      <c r="D415" s="331"/>
      <c r="E415" s="331"/>
      <c r="F415" s="331"/>
      <c r="G415" s="331"/>
      <c r="H415" s="332">
        <f t="shared" si="6"/>
        <v>145482.98999999533</v>
      </c>
    </row>
    <row r="416" spans="1:8">
      <c r="A416" s="329" t="s">
        <v>1297</v>
      </c>
      <c r="B416" s="329" t="s">
        <v>1298</v>
      </c>
      <c r="C416" s="330">
        <v>-3.3469405025243759E-10</v>
      </c>
      <c r="D416" s="331"/>
      <c r="E416" s="331"/>
      <c r="F416" s="331"/>
      <c r="G416" s="331"/>
      <c r="H416" s="332">
        <f t="shared" si="6"/>
        <v>-3.3469405025243759E-10</v>
      </c>
    </row>
    <row r="417" spans="1:8">
      <c r="A417" s="329" t="s">
        <v>1299</v>
      </c>
      <c r="B417" s="329" t="s">
        <v>1300</v>
      </c>
      <c r="C417" s="330">
        <v>-4.3655745685100555E-10</v>
      </c>
      <c r="D417" s="331"/>
      <c r="E417" s="331"/>
      <c r="F417" s="331"/>
      <c r="G417" s="331"/>
      <c r="H417" s="332">
        <f t="shared" si="6"/>
        <v>-4.3655745685100555E-10</v>
      </c>
    </row>
    <row r="418" spans="1:8">
      <c r="A418" s="329" t="s">
        <v>1301</v>
      </c>
      <c r="B418" s="329" t="s">
        <v>1302</v>
      </c>
      <c r="C418" s="330">
        <v>-4.5838532969355583E-10</v>
      </c>
      <c r="D418" s="331"/>
      <c r="E418" s="331"/>
      <c r="F418" s="331"/>
      <c r="G418" s="331"/>
      <c r="H418" s="332">
        <f t="shared" si="6"/>
        <v>-4.5838532969355583E-10</v>
      </c>
    </row>
    <row r="419" spans="1:8">
      <c r="A419" s="329" t="s">
        <v>1303</v>
      </c>
      <c r="B419" s="329" t="s">
        <v>1304</v>
      </c>
      <c r="C419" s="330">
        <v>2.9103830456733704E-10</v>
      </c>
      <c r="D419" s="331"/>
      <c r="E419" s="331"/>
      <c r="F419" s="331"/>
      <c r="G419" s="331"/>
      <c r="H419" s="332">
        <f t="shared" si="6"/>
        <v>2.9103830456733704E-10</v>
      </c>
    </row>
    <row r="420" spans="1:8">
      <c r="A420" s="329" t="s">
        <v>1305</v>
      </c>
      <c r="B420" s="329" t="s">
        <v>1306</v>
      </c>
      <c r="C420" s="330">
        <v>-8.8766682893037796E-10</v>
      </c>
      <c r="D420" s="331"/>
      <c r="E420" s="331"/>
      <c r="F420" s="331"/>
      <c r="G420" s="331"/>
      <c r="H420" s="332">
        <f t="shared" si="6"/>
        <v>-8.8766682893037796E-10</v>
      </c>
    </row>
    <row r="421" spans="1:8">
      <c r="A421" s="329" t="s">
        <v>1307</v>
      </c>
      <c r="B421" s="329" t="s">
        <v>1308</v>
      </c>
      <c r="C421" s="330">
        <v>5.8207660913467407E-11</v>
      </c>
      <c r="D421" s="331"/>
      <c r="E421" s="331"/>
      <c r="F421" s="331"/>
      <c r="G421" s="331"/>
      <c r="H421" s="332">
        <f t="shared" si="6"/>
        <v>5.8207660913467407E-11</v>
      </c>
    </row>
    <row r="422" spans="1:8">
      <c r="A422" s="329" t="s">
        <v>1309</v>
      </c>
      <c r="B422" s="329" t="s">
        <v>1310</v>
      </c>
      <c r="C422" s="330">
        <v>-4.6566128730773926E-10</v>
      </c>
      <c r="D422" s="331"/>
      <c r="E422" s="331"/>
      <c r="F422" s="331"/>
      <c r="G422" s="331"/>
      <c r="H422" s="332">
        <f t="shared" si="6"/>
        <v>-4.6566128730773926E-10</v>
      </c>
    </row>
    <row r="423" spans="1:8">
      <c r="A423" s="329" t="s">
        <v>1311</v>
      </c>
      <c r="B423" s="329" t="s">
        <v>1312</v>
      </c>
      <c r="C423" s="330">
        <v>1.673470251262188E-10</v>
      </c>
      <c r="D423" s="331"/>
      <c r="E423" s="331"/>
      <c r="F423" s="331"/>
      <c r="G423" s="331"/>
      <c r="H423" s="332">
        <f t="shared" si="6"/>
        <v>1.673470251262188E-10</v>
      </c>
    </row>
    <row r="424" spans="1:8">
      <c r="A424" s="329" t="s">
        <v>1313</v>
      </c>
      <c r="B424" s="329" t="s">
        <v>1314</v>
      </c>
      <c r="C424" s="330">
        <v>183479.82999999996</v>
      </c>
      <c r="D424" s="331"/>
      <c r="E424" s="331"/>
      <c r="F424" s="331"/>
      <c r="G424" s="331"/>
      <c r="H424" s="332">
        <f t="shared" si="6"/>
        <v>183479.82999999996</v>
      </c>
    </row>
    <row r="425" spans="1:8">
      <c r="A425" s="321" t="s">
        <v>1315</v>
      </c>
      <c r="B425" s="321" t="s">
        <v>1316</v>
      </c>
      <c r="C425" s="322">
        <f>C426</f>
        <v>-2250593.33</v>
      </c>
      <c r="D425" s="323"/>
      <c r="E425" s="322">
        <f>E426</f>
        <v>1014.96</v>
      </c>
      <c r="F425" s="323"/>
      <c r="G425" s="322">
        <f>G426</f>
        <v>20.260000000000002</v>
      </c>
      <c r="H425" s="324">
        <f t="shared" si="6"/>
        <v>-2249598.63</v>
      </c>
    </row>
    <row r="426" spans="1:8">
      <c r="A426" s="334" t="s">
        <v>1317</v>
      </c>
      <c r="B426" s="334" t="s">
        <v>1318</v>
      </c>
      <c r="C426" s="335">
        <f>SUM(C427:C443)</f>
        <v>-2250593.33</v>
      </c>
      <c r="D426" s="336"/>
      <c r="E426" s="335">
        <f>SUM(E427:E443)</f>
        <v>1014.96</v>
      </c>
      <c r="F426" s="336"/>
      <c r="G426" s="335">
        <f>SUM(G427:G443)</f>
        <v>20.260000000000002</v>
      </c>
      <c r="H426" s="337">
        <f t="shared" si="6"/>
        <v>-2249598.63</v>
      </c>
    </row>
    <row r="427" spans="1:8">
      <c r="A427" s="329" t="s">
        <v>1319</v>
      </c>
      <c r="B427" s="329" t="s">
        <v>1320</v>
      </c>
      <c r="C427" s="330">
        <v>1.6825651982799172E-11</v>
      </c>
      <c r="D427" s="331"/>
      <c r="E427" s="331"/>
      <c r="F427" s="331"/>
      <c r="G427" s="331"/>
      <c r="H427" s="332">
        <f t="shared" si="6"/>
        <v>1.6825651982799172E-11</v>
      </c>
    </row>
    <row r="428" spans="1:8">
      <c r="A428" s="329" t="s">
        <v>1321</v>
      </c>
      <c r="B428" s="329" t="s">
        <v>1322</v>
      </c>
      <c r="C428" s="330">
        <v>-73652.290000000008</v>
      </c>
      <c r="D428" s="331"/>
      <c r="E428" s="331"/>
      <c r="F428" s="331"/>
      <c r="G428" s="331"/>
      <c r="H428" s="332">
        <f t="shared" si="6"/>
        <v>-73652.290000000008</v>
      </c>
    </row>
    <row r="429" spans="1:8">
      <c r="A429" s="329" t="s">
        <v>1323</v>
      </c>
      <c r="B429" s="329" t="s">
        <v>1324</v>
      </c>
      <c r="C429" s="330">
        <v>2.17028173210565E-10</v>
      </c>
      <c r="D429" s="331"/>
      <c r="E429" s="331"/>
      <c r="F429" s="331"/>
      <c r="G429" s="331"/>
      <c r="H429" s="332">
        <f t="shared" si="6"/>
        <v>2.17028173210565E-10</v>
      </c>
    </row>
    <row r="430" spans="1:8">
      <c r="A430" s="329" t="s">
        <v>1325</v>
      </c>
      <c r="B430" s="329" t="s">
        <v>1326</v>
      </c>
      <c r="C430" s="330">
        <v>-9930.4499999999534</v>
      </c>
      <c r="D430" s="331"/>
      <c r="E430" s="331"/>
      <c r="F430" s="331"/>
      <c r="G430" s="331"/>
      <c r="H430" s="332">
        <f t="shared" si="6"/>
        <v>-9930.4499999999534</v>
      </c>
    </row>
    <row r="431" spans="1:8">
      <c r="A431" s="329" t="s">
        <v>1327</v>
      </c>
      <c r="B431" s="329" t="s">
        <v>1328</v>
      </c>
      <c r="C431" s="330">
        <v>-13516.20000000007</v>
      </c>
      <c r="D431" s="331"/>
      <c r="E431" s="331"/>
      <c r="F431" s="331"/>
      <c r="G431" s="331"/>
      <c r="H431" s="332">
        <f t="shared" si="6"/>
        <v>-13516.20000000007</v>
      </c>
    </row>
    <row r="432" spans="1:8">
      <c r="A432" s="329" t="s">
        <v>1329</v>
      </c>
      <c r="B432" s="329" t="s">
        <v>1330</v>
      </c>
      <c r="C432" s="330">
        <v>-2.9103830456733704E-11</v>
      </c>
      <c r="D432" s="331"/>
      <c r="E432" s="331"/>
      <c r="F432" s="331"/>
      <c r="G432" s="331"/>
      <c r="H432" s="332">
        <f t="shared" si="6"/>
        <v>-2.9103830456733704E-11</v>
      </c>
    </row>
    <row r="433" spans="1:8">
      <c r="A433" s="329" t="s">
        <v>1331</v>
      </c>
      <c r="B433" s="329" t="s">
        <v>1332</v>
      </c>
      <c r="C433" s="330">
        <v>-80734.149999999907</v>
      </c>
      <c r="D433" s="331"/>
      <c r="E433" s="331"/>
      <c r="F433" s="331"/>
      <c r="G433" s="331"/>
      <c r="H433" s="332">
        <f t="shared" si="6"/>
        <v>-80734.149999999907</v>
      </c>
    </row>
    <row r="434" spans="1:8">
      <c r="A434" s="329" t="s">
        <v>1333</v>
      </c>
      <c r="B434" s="329" t="s">
        <v>1334</v>
      </c>
      <c r="C434" s="330">
        <v>-528595.0199999999</v>
      </c>
      <c r="D434" s="331"/>
      <c r="E434" s="331">
        <f>924.23</f>
        <v>924.23</v>
      </c>
      <c r="F434" s="331"/>
      <c r="G434" s="331"/>
      <c r="H434" s="332">
        <f t="shared" si="6"/>
        <v>-527670.78999999992</v>
      </c>
    </row>
    <row r="435" spans="1:8">
      <c r="A435" s="329" t="s">
        <v>1335</v>
      </c>
      <c r="B435" s="329" t="s">
        <v>1336</v>
      </c>
      <c r="C435" s="330">
        <v>-173618.73</v>
      </c>
      <c r="D435" s="331"/>
      <c r="E435" s="331">
        <v>90.73</v>
      </c>
      <c r="F435" s="331"/>
      <c r="G435" s="331"/>
      <c r="H435" s="332">
        <f t="shared" si="6"/>
        <v>-173528</v>
      </c>
    </row>
    <row r="436" spans="1:8">
      <c r="A436" s="329" t="s">
        <v>1337</v>
      </c>
      <c r="B436" s="329" t="s">
        <v>1338</v>
      </c>
      <c r="C436" s="330">
        <v>-396515.17000000004</v>
      </c>
      <c r="D436" s="331"/>
      <c r="E436" s="331"/>
      <c r="F436" s="331"/>
      <c r="G436" s="331"/>
      <c r="H436" s="332">
        <f t="shared" si="6"/>
        <v>-396515.17000000004</v>
      </c>
    </row>
    <row r="437" spans="1:8">
      <c r="A437" s="329" t="s">
        <v>1339</v>
      </c>
      <c r="B437" s="329" t="s">
        <v>1340</v>
      </c>
      <c r="C437" s="330">
        <v>-10869.729999999996</v>
      </c>
      <c r="D437" s="331"/>
      <c r="E437" s="331"/>
      <c r="F437" s="331"/>
      <c r="G437" s="331"/>
      <c r="H437" s="332">
        <f t="shared" si="6"/>
        <v>-10869.729999999996</v>
      </c>
    </row>
    <row r="438" spans="1:8">
      <c r="A438" s="329" t="s">
        <v>1341</v>
      </c>
      <c r="B438" s="329" t="s">
        <v>1342</v>
      </c>
      <c r="C438" s="330">
        <v>519.8700000000099</v>
      </c>
      <c r="D438" s="331"/>
      <c r="E438" s="331"/>
      <c r="F438" s="331"/>
      <c r="G438" s="331"/>
      <c r="H438" s="332">
        <f t="shared" si="6"/>
        <v>519.8700000000099</v>
      </c>
    </row>
    <row r="439" spans="1:8">
      <c r="A439" s="329" t="s">
        <v>1343</v>
      </c>
      <c r="B439" s="329" t="s">
        <v>1344</v>
      </c>
      <c r="C439" s="330">
        <v>-132994.39000000001</v>
      </c>
      <c r="D439" s="331"/>
      <c r="E439" s="331"/>
      <c r="F439" s="331"/>
      <c r="G439" s="331"/>
      <c r="H439" s="332">
        <f t="shared" si="6"/>
        <v>-132994.39000000001</v>
      </c>
    </row>
    <row r="440" spans="1:8">
      <c r="A440" s="329" t="s">
        <v>1345</v>
      </c>
      <c r="B440" s="329" t="s">
        <v>1346</v>
      </c>
      <c r="C440" s="330">
        <v>-199491.59999999998</v>
      </c>
      <c r="D440" s="331"/>
      <c r="E440" s="331"/>
      <c r="F440" s="331"/>
      <c r="G440" s="331"/>
      <c r="H440" s="332">
        <f t="shared" si="6"/>
        <v>-199491.59999999998</v>
      </c>
    </row>
    <row r="441" spans="1:8">
      <c r="A441" s="329" t="s">
        <v>1347</v>
      </c>
      <c r="B441" s="329" t="s">
        <v>1348</v>
      </c>
      <c r="C441" s="330">
        <v>-458944.4</v>
      </c>
      <c r="D441" s="331"/>
      <c r="E441" s="331"/>
      <c r="F441" s="331"/>
      <c r="G441" s="331"/>
      <c r="H441" s="332">
        <f t="shared" si="6"/>
        <v>-458944.4</v>
      </c>
    </row>
    <row r="442" spans="1:8">
      <c r="A442" s="329" t="s">
        <v>1349</v>
      </c>
      <c r="B442" s="329" t="s">
        <v>1350</v>
      </c>
      <c r="C442" s="330">
        <v>-140031.89000000001</v>
      </c>
      <c r="D442" s="331"/>
      <c r="E442" s="331"/>
      <c r="F442" s="331"/>
      <c r="G442" s="331">
        <f>20.26</f>
        <v>20.260000000000002</v>
      </c>
      <c r="H442" s="332">
        <f t="shared" si="6"/>
        <v>-140052.15000000002</v>
      </c>
    </row>
    <row r="443" spans="1:8">
      <c r="A443" s="329" t="s">
        <v>1899</v>
      </c>
      <c r="B443" s="329" t="s">
        <v>1900</v>
      </c>
      <c r="C443" s="330">
        <v>-32219.18</v>
      </c>
      <c r="D443" s="331"/>
      <c r="E443" s="331"/>
      <c r="F443" s="331"/>
      <c r="G443" s="331"/>
      <c r="H443" s="332">
        <f t="shared" si="6"/>
        <v>-32219.18</v>
      </c>
    </row>
    <row r="444" spans="1:8">
      <c r="A444" s="321" t="s">
        <v>1351</v>
      </c>
      <c r="B444" s="321" t="s">
        <v>1352</v>
      </c>
      <c r="C444" s="322">
        <f>C445</f>
        <v>287818.27999999985</v>
      </c>
      <c r="D444" s="323"/>
      <c r="E444" s="322">
        <f>E445</f>
        <v>0</v>
      </c>
      <c r="F444" s="323"/>
      <c r="G444" s="322">
        <f>G445</f>
        <v>271901.71999999997</v>
      </c>
      <c r="H444" s="324">
        <f t="shared" si="6"/>
        <v>15916.559999999881</v>
      </c>
    </row>
    <row r="445" spans="1:8">
      <c r="A445" s="334" t="s">
        <v>1353</v>
      </c>
      <c r="B445" s="334" t="s">
        <v>1354</v>
      </c>
      <c r="C445" s="335">
        <f>SUM(C446:C451)</f>
        <v>287818.27999999985</v>
      </c>
      <c r="D445" s="336"/>
      <c r="E445" s="335">
        <f>SUM(E446:E451)</f>
        <v>0</v>
      </c>
      <c r="F445" s="336"/>
      <c r="G445" s="335">
        <f>SUM(G446:G451)</f>
        <v>271901.71999999997</v>
      </c>
      <c r="H445" s="337">
        <f t="shared" si="6"/>
        <v>15916.559999999881</v>
      </c>
    </row>
    <row r="446" spans="1:8">
      <c r="A446" s="329" t="s">
        <v>1355</v>
      </c>
      <c r="B446" s="329" t="s">
        <v>1356</v>
      </c>
      <c r="C446" s="330">
        <v>594.35</v>
      </c>
      <c r="D446" s="331"/>
      <c r="E446" s="331"/>
      <c r="F446" s="331"/>
      <c r="G446" s="331"/>
      <c r="H446" s="332">
        <f t="shared" si="6"/>
        <v>594.35</v>
      </c>
    </row>
    <row r="447" spans="1:8">
      <c r="A447" s="329" t="s">
        <v>1357</v>
      </c>
      <c r="B447" s="329" t="s">
        <v>1358</v>
      </c>
      <c r="C447" s="330">
        <v>-1441515.2700000003</v>
      </c>
      <c r="D447" s="331"/>
      <c r="E447" s="331"/>
      <c r="F447" s="331"/>
      <c r="G447" s="331"/>
      <c r="H447" s="332">
        <f t="shared" si="6"/>
        <v>-1441515.2700000003</v>
      </c>
    </row>
    <row r="448" spans="1:8">
      <c r="A448" s="329" t="s">
        <v>1359</v>
      </c>
      <c r="B448" s="329" t="s">
        <v>1360</v>
      </c>
      <c r="C448" s="330">
        <v>-59380.060000000005</v>
      </c>
      <c r="D448" s="331"/>
      <c r="E448" s="331"/>
      <c r="F448" s="331"/>
      <c r="G448" s="331"/>
      <c r="H448" s="332">
        <f t="shared" si="6"/>
        <v>-59380.060000000005</v>
      </c>
    </row>
    <row r="449" spans="1:10">
      <c r="A449" s="329" t="s">
        <v>1361</v>
      </c>
      <c r="B449" s="329" t="s">
        <v>1362</v>
      </c>
      <c r="C449" s="330">
        <v>-6192.8400000000111</v>
      </c>
      <c r="D449" s="331"/>
      <c r="E449" s="331"/>
      <c r="F449" s="331"/>
      <c r="G449" s="351">
        <v>271901.71999999997</v>
      </c>
      <c r="H449" s="332">
        <f t="shared" si="6"/>
        <v>-278094.56</v>
      </c>
    </row>
    <row r="450" spans="1:10">
      <c r="A450" s="329" t="s">
        <v>1363</v>
      </c>
      <c r="B450" s="329" t="s">
        <v>1364</v>
      </c>
      <c r="C450" s="330">
        <v>1701968.2300000002</v>
      </c>
      <c r="D450" s="331"/>
      <c r="E450" s="331"/>
      <c r="F450" s="331"/>
      <c r="G450" s="331"/>
      <c r="H450" s="332">
        <f t="shared" si="6"/>
        <v>1701968.2300000002</v>
      </c>
    </row>
    <row r="451" spans="1:10">
      <c r="A451" s="329" t="s">
        <v>1365</v>
      </c>
      <c r="B451" s="329" t="s">
        <v>1366</v>
      </c>
      <c r="C451" s="330">
        <v>92343.869999999923</v>
      </c>
      <c r="D451" s="331"/>
      <c r="E451" s="331"/>
      <c r="F451" s="331"/>
      <c r="G451" s="331"/>
      <c r="H451" s="332">
        <f t="shared" si="6"/>
        <v>92343.869999999923</v>
      </c>
    </row>
    <row r="452" spans="1:10">
      <c r="A452" s="321" t="s">
        <v>1367</v>
      </c>
      <c r="B452" s="321" t="s">
        <v>1368</v>
      </c>
      <c r="C452" s="322">
        <f>C453</f>
        <v>-3528805.2600000007</v>
      </c>
      <c r="D452" s="323"/>
      <c r="E452" s="322">
        <f>E453</f>
        <v>0</v>
      </c>
      <c r="F452" s="323"/>
      <c r="G452" s="322">
        <f>G453</f>
        <v>0</v>
      </c>
      <c r="H452" s="324">
        <f t="shared" si="6"/>
        <v>-3528805.2600000007</v>
      </c>
    </row>
    <row r="453" spans="1:10">
      <c r="A453" s="334" t="s">
        <v>1369</v>
      </c>
      <c r="B453" s="334" t="s">
        <v>1368</v>
      </c>
      <c r="C453" s="335">
        <f>SUM(C454:C456)</f>
        <v>-3528805.2600000007</v>
      </c>
      <c r="D453" s="336"/>
      <c r="E453" s="335">
        <f>SUM(E454:E456)</f>
        <v>0</v>
      </c>
      <c r="F453" s="336"/>
      <c r="G453" s="335">
        <f>SUM(G454:G456)</f>
        <v>0</v>
      </c>
      <c r="H453" s="337">
        <f t="shared" si="6"/>
        <v>-3528805.2600000007</v>
      </c>
    </row>
    <row r="454" spans="1:10">
      <c r="A454" s="329" t="s">
        <v>1370</v>
      </c>
      <c r="B454" s="329" t="s">
        <v>1371</v>
      </c>
      <c r="C454" s="330">
        <v>-0.10000000009313226</v>
      </c>
      <c r="D454" s="331"/>
      <c r="E454" s="331"/>
      <c r="F454" s="331"/>
      <c r="G454" s="331"/>
      <c r="H454" s="332">
        <f t="shared" si="6"/>
        <v>-0.10000000009313226</v>
      </c>
    </row>
    <row r="455" spans="1:10">
      <c r="A455" s="329" t="s">
        <v>1372</v>
      </c>
      <c r="B455" s="329" t="s">
        <v>1373</v>
      </c>
      <c r="C455" s="330">
        <v>-3508039.8700000006</v>
      </c>
      <c r="D455" s="331"/>
      <c r="E455" s="331"/>
      <c r="F455" s="331"/>
      <c r="G455" s="331"/>
      <c r="H455" s="332">
        <f t="shared" si="6"/>
        <v>-3508039.8700000006</v>
      </c>
    </row>
    <row r="456" spans="1:10">
      <c r="A456" s="329" t="s">
        <v>1374</v>
      </c>
      <c r="B456" s="329" t="s">
        <v>1375</v>
      </c>
      <c r="C456" s="330">
        <v>-20765.29</v>
      </c>
      <c r="D456" s="331"/>
      <c r="E456" s="331"/>
      <c r="F456" s="331"/>
      <c r="G456" s="331"/>
      <c r="H456" s="332">
        <f t="shared" si="6"/>
        <v>-20765.29</v>
      </c>
    </row>
    <row r="457" spans="1:10">
      <c r="A457" s="321" t="s">
        <v>1376</v>
      </c>
      <c r="B457" s="321" t="s">
        <v>792</v>
      </c>
      <c r="C457" s="322">
        <f>C458+C470+C472</f>
        <v>-79296921.75</v>
      </c>
      <c r="D457" s="323"/>
      <c r="E457" s="322">
        <f>E458+E470+E472</f>
        <v>1156210</v>
      </c>
      <c r="F457" s="323"/>
      <c r="G457" s="322">
        <f>G458+G470+G472</f>
        <v>280547.86</v>
      </c>
      <c r="H457" s="324">
        <f t="shared" ref="H457:H522" si="7">C457+E457-G457</f>
        <v>-78421259.609999999</v>
      </c>
      <c r="J457" s="322">
        <v>-79455475.36999999</v>
      </c>
    </row>
    <row r="458" spans="1:10">
      <c r="A458" s="334" t="s">
        <v>1377</v>
      </c>
      <c r="B458" s="334" t="s">
        <v>1378</v>
      </c>
      <c r="C458" s="335">
        <f>SUM(C459:C469)</f>
        <v>-2910826.86</v>
      </c>
      <c r="D458" s="336"/>
      <c r="E458" s="335">
        <f>SUM(E459:E469)</f>
        <v>1156210</v>
      </c>
      <c r="F458" s="336"/>
      <c r="G458" s="335">
        <f>SUM(G459:G469)</f>
        <v>230048</v>
      </c>
      <c r="H458" s="337">
        <f t="shared" si="7"/>
        <v>-1984664.8599999999</v>
      </c>
    </row>
    <row r="459" spans="1:10">
      <c r="A459" s="329" t="s">
        <v>1379</v>
      </c>
      <c r="B459" s="329" t="s">
        <v>1380</v>
      </c>
      <c r="C459" s="330">
        <v>-169711</v>
      </c>
      <c r="D459" s="331"/>
      <c r="E459" s="331"/>
      <c r="F459" s="331"/>
      <c r="G459" s="331"/>
      <c r="H459" s="332">
        <f t="shared" si="7"/>
        <v>-169711</v>
      </c>
    </row>
    <row r="460" spans="1:10">
      <c r="A460" s="329" t="s">
        <v>1381</v>
      </c>
      <c r="B460" s="329" t="s">
        <v>1382</v>
      </c>
      <c r="C460" s="330">
        <v>-257053.88</v>
      </c>
      <c r="D460" s="331"/>
      <c r="E460" s="331"/>
      <c r="F460" s="331"/>
      <c r="G460" s="331"/>
      <c r="H460" s="332">
        <f t="shared" si="7"/>
        <v>-257053.88</v>
      </c>
    </row>
    <row r="461" spans="1:10">
      <c r="A461" s="329" t="s">
        <v>1383</v>
      </c>
      <c r="B461" s="329" t="s">
        <v>1384</v>
      </c>
      <c r="C461" s="330">
        <v>75455.920000000013</v>
      </c>
      <c r="D461" s="331"/>
      <c r="E461" s="331"/>
      <c r="F461" s="331"/>
      <c r="G461" s="331"/>
      <c r="H461" s="332">
        <f t="shared" si="7"/>
        <v>75455.920000000013</v>
      </c>
    </row>
    <row r="462" spans="1:10">
      <c r="A462" s="329" t="s">
        <v>1385</v>
      </c>
      <c r="B462" s="329" t="s">
        <v>1386</v>
      </c>
      <c r="C462" s="330">
        <v>-794201.43999999983</v>
      </c>
      <c r="D462" s="331"/>
      <c r="E462" s="331"/>
      <c r="F462" s="331"/>
      <c r="G462" s="331"/>
      <c r="H462" s="332">
        <f t="shared" si="7"/>
        <v>-794201.43999999983</v>
      </c>
    </row>
    <row r="463" spans="1:10">
      <c r="A463" s="329" t="s">
        <v>1387</v>
      </c>
      <c r="B463" s="329" t="s">
        <v>1388</v>
      </c>
      <c r="C463" s="330">
        <v>-102771.87000000011</v>
      </c>
      <c r="D463" s="331"/>
      <c r="E463" s="331"/>
      <c r="F463" s="331"/>
      <c r="G463" s="331"/>
      <c r="H463" s="332">
        <f t="shared" si="7"/>
        <v>-102771.87000000011</v>
      </c>
    </row>
    <row r="464" spans="1:10">
      <c r="A464" s="329" t="s">
        <v>1389</v>
      </c>
      <c r="B464" s="329" t="s">
        <v>1390</v>
      </c>
      <c r="C464" s="330">
        <v>-40693.33</v>
      </c>
      <c r="D464" s="331"/>
      <c r="E464" s="331"/>
      <c r="F464" s="331"/>
      <c r="G464" s="331"/>
      <c r="H464" s="332">
        <f t="shared" si="7"/>
        <v>-40693.33</v>
      </c>
    </row>
    <row r="465" spans="1:10">
      <c r="A465" s="329" t="s">
        <v>1391</v>
      </c>
      <c r="B465" s="329" t="s">
        <v>1392</v>
      </c>
      <c r="C465" s="330">
        <v>566339.44999999995</v>
      </c>
      <c r="D465" s="331"/>
      <c r="E465" s="331"/>
      <c r="F465" s="331"/>
      <c r="G465" s="331"/>
      <c r="H465" s="332">
        <f t="shared" si="7"/>
        <v>566339.44999999995</v>
      </c>
    </row>
    <row r="466" spans="1:10">
      <c r="A466" s="329" t="s">
        <v>1393</v>
      </c>
      <c r="B466" s="329" t="s">
        <v>1394</v>
      </c>
      <c r="C466" s="330">
        <v>-1.0000000034779077E-2</v>
      </c>
      <c r="D466" s="331"/>
      <c r="E466" s="331"/>
      <c r="F466" s="331"/>
      <c r="G466" s="331"/>
      <c r="H466" s="332">
        <f t="shared" si="7"/>
        <v>-1.0000000034779077E-2</v>
      </c>
    </row>
    <row r="467" spans="1:10">
      <c r="A467" s="329" t="s">
        <v>1395</v>
      </c>
      <c r="B467" s="329" t="s">
        <v>1396</v>
      </c>
      <c r="C467" s="330">
        <v>263197.24999999994</v>
      </c>
      <c r="D467" s="331"/>
      <c r="E467" s="351">
        <v>509276.92</v>
      </c>
      <c r="F467" s="331"/>
      <c r="G467" s="351">
        <v>230048</v>
      </c>
      <c r="H467" s="332">
        <f t="shared" si="7"/>
        <v>542426.16999999993</v>
      </c>
    </row>
    <row r="468" spans="1:10">
      <c r="A468" s="329" t="s">
        <v>1397</v>
      </c>
      <c r="B468" s="329" t="s">
        <v>1398</v>
      </c>
      <c r="C468" s="330">
        <v>240250.91999999998</v>
      </c>
      <c r="D468" s="331"/>
      <c r="E468" s="351">
        <v>646933.07999999996</v>
      </c>
      <c r="F468" s="331"/>
      <c r="G468" s="351">
        <v>0</v>
      </c>
      <c r="H468" s="332">
        <f t="shared" si="7"/>
        <v>887184</v>
      </c>
    </row>
    <row r="469" spans="1:10">
      <c r="A469" s="329" t="s">
        <v>1399</v>
      </c>
      <c r="B469" s="329" t="s">
        <v>1400</v>
      </c>
      <c r="C469" s="330">
        <v>-2691638.8699999996</v>
      </c>
      <c r="D469" s="331"/>
      <c r="E469" s="331"/>
      <c r="F469" s="331"/>
      <c r="G469" s="331"/>
      <c r="H469" s="332">
        <f t="shared" si="7"/>
        <v>-2691638.8699999996</v>
      </c>
    </row>
    <row r="470" spans="1:10">
      <c r="A470" s="334" t="s">
        <v>1401</v>
      </c>
      <c r="B470" s="334" t="s">
        <v>1402</v>
      </c>
      <c r="C470" s="335">
        <f>SUM(C471)</f>
        <v>-5512850</v>
      </c>
      <c r="D470" s="336"/>
      <c r="E470" s="335">
        <f>SUM(E471)</f>
        <v>0</v>
      </c>
      <c r="F470" s="336"/>
      <c r="G470" s="335">
        <f>SUM(G471)</f>
        <v>0</v>
      </c>
      <c r="H470" s="337">
        <f t="shared" si="7"/>
        <v>-5512850</v>
      </c>
    </row>
    <row r="471" spans="1:10">
      <c r="A471" s="329" t="s">
        <v>1403</v>
      </c>
      <c r="B471" s="329" t="s">
        <v>1404</v>
      </c>
      <c r="C471" s="330">
        <v>-5512850</v>
      </c>
      <c r="D471" s="331"/>
      <c r="E471" s="331"/>
      <c r="F471" s="331"/>
      <c r="G471" s="331"/>
      <c r="H471" s="332">
        <f t="shared" si="7"/>
        <v>-5512850</v>
      </c>
    </row>
    <row r="472" spans="1:10">
      <c r="A472" s="334" t="s">
        <v>1405</v>
      </c>
      <c r="B472" s="334" t="s">
        <v>1406</v>
      </c>
      <c r="C472" s="335">
        <f>SUM(C473:C486)</f>
        <v>-70873244.890000001</v>
      </c>
      <c r="D472" s="336"/>
      <c r="E472" s="335">
        <f>SUM(E473:E486)</f>
        <v>0</v>
      </c>
      <c r="F472" s="336"/>
      <c r="G472" s="335">
        <f>SUM(G473:G486)</f>
        <v>50499.86</v>
      </c>
      <c r="H472" s="337">
        <f t="shared" si="7"/>
        <v>-70923744.75</v>
      </c>
    </row>
    <row r="473" spans="1:10">
      <c r="A473" s="329" t="s">
        <v>1407</v>
      </c>
      <c r="B473" s="329" t="s">
        <v>1408</v>
      </c>
      <c r="C473" s="330">
        <v>-1570092.9400000004</v>
      </c>
      <c r="D473" s="331"/>
      <c r="E473" s="331"/>
      <c r="F473" s="331"/>
      <c r="G473" s="331"/>
      <c r="H473" s="332">
        <f t="shared" si="7"/>
        <v>-1570092.9400000004</v>
      </c>
    </row>
    <row r="474" spans="1:10">
      <c r="A474" s="329" t="s">
        <v>1409</v>
      </c>
      <c r="B474" s="329" t="s">
        <v>1410</v>
      </c>
      <c r="C474" s="330">
        <v>-5462100</v>
      </c>
      <c r="D474" s="331"/>
      <c r="E474" s="331"/>
      <c r="F474" s="331"/>
      <c r="G474" s="331"/>
      <c r="H474" s="332">
        <f t="shared" si="7"/>
        <v>-5462100</v>
      </c>
    </row>
    <row r="475" spans="1:10">
      <c r="A475" s="329" t="s">
        <v>1411</v>
      </c>
      <c r="B475" s="329" t="s">
        <v>1412</v>
      </c>
      <c r="C475" s="330">
        <v>-5136861.95</v>
      </c>
      <c r="D475" s="331"/>
      <c r="E475" s="331"/>
      <c r="F475" s="331"/>
      <c r="G475" s="331"/>
      <c r="H475" s="332">
        <f t="shared" si="7"/>
        <v>-5136861.95</v>
      </c>
      <c r="J475" s="324"/>
    </row>
    <row r="476" spans="1:10">
      <c r="A476" s="329" t="s">
        <v>1413</v>
      </c>
      <c r="B476" s="329" t="s">
        <v>1414</v>
      </c>
      <c r="C476" s="330">
        <v>-5202870</v>
      </c>
      <c r="D476" s="331"/>
      <c r="E476" s="331"/>
      <c r="F476" s="331"/>
      <c r="G476" s="331"/>
      <c r="H476" s="332">
        <f t="shared" si="7"/>
        <v>-5202870</v>
      </c>
    </row>
    <row r="477" spans="1:10">
      <c r="A477" s="329" t="s">
        <v>1415</v>
      </c>
      <c r="B477" s="329" t="s">
        <v>1416</v>
      </c>
      <c r="C477" s="330">
        <v>-10728200</v>
      </c>
      <c r="D477" s="331"/>
      <c r="E477" s="331"/>
      <c r="F477" s="331"/>
      <c r="G477" s="351">
        <v>29600</v>
      </c>
      <c r="H477" s="332">
        <f t="shared" si="7"/>
        <v>-10757800</v>
      </c>
    </row>
    <row r="478" spans="1:10">
      <c r="A478" s="329" t="s">
        <v>1417</v>
      </c>
      <c r="B478" s="329" t="s">
        <v>1418</v>
      </c>
      <c r="C478" s="330">
        <v>-5344900</v>
      </c>
      <c r="D478" s="331"/>
      <c r="E478" s="331"/>
      <c r="F478" s="331"/>
      <c r="G478" s="351">
        <v>20100</v>
      </c>
      <c r="H478" s="332">
        <f t="shared" si="7"/>
        <v>-5365000</v>
      </c>
    </row>
    <row r="479" spans="1:10">
      <c r="A479" s="329" t="s">
        <v>1419</v>
      </c>
      <c r="B479" s="329" t="s">
        <v>1420</v>
      </c>
      <c r="C479" s="330">
        <v>-5341700</v>
      </c>
      <c r="D479" s="331"/>
      <c r="E479" s="331"/>
      <c r="F479" s="331"/>
      <c r="G479" s="331"/>
      <c r="H479" s="332">
        <f t="shared" si="7"/>
        <v>-5341700</v>
      </c>
    </row>
    <row r="480" spans="1:10">
      <c r="A480" s="329" t="s">
        <v>1421</v>
      </c>
      <c r="B480" s="329" t="s">
        <v>1422</v>
      </c>
      <c r="C480" s="330">
        <v>-2181520</v>
      </c>
      <c r="D480" s="331"/>
      <c r="E480" s="331"/>
      <c r="F480" s="331"/>
      <c r="G480" s="331"/>
      <c r="H480" s="332">
        <f t="shared" si="7"/>
        <v>-2181520</v>
      </c>
    </row>
    <row r="481" spans="1:10">
      <c r="A481" s="329" t="s">
        <v>1423</v>
      </c>
      <c r="B481" s="329" t="s">
        <v>1424</v>
      </c>
      <c r="C481" s="330">
        <v>-2757500</v>
      </c>
      <c r="D481" s="331"/>
      <c r="E481" s="331"/>
      <c r="F481" s="331"/>
      <c r="G481" s="331"/>
      <c r="H481" s="332">
        <f t="shared" si="7"/>
        <v>-2757500</v>
      </c>
    </row>
    <row r="482" spans="1:10">
      <c r="A482" s="329" t="s">
        <v>1425</v>
      </c>
      <c r="B482" s="329" t="s">
        <v>1426</v>
      </c>
      <c r="C482" s="330">
        <v>-2159000</v>
      </c>
      <c r="D482" s="331"/>
      <c r="E482" s="331"/>
      <c r="F482" s="331"/>
      <c r="G482" s="331"/>
      <c r="H482" s="332">
        <f t="shared" si="7"/>
        <v>-2159000</v>
      </c>
    </row>
    <row r="483" spans="1:10">
      <c r="A483" s="329" t="s">
        <v>1427</v>
      </c>
      <c r="B483" s="329" t="s">
        <v>1428</v>
      </c>
      <c r="C483" s="330">
        <v>-3238500</v>
      </c>
      <c r="D483" s="331"/>
      <c r="E483" s="331"/>
      <c r="F483" s="331"/>
      <c r="G483" s="331"/>
      <c r="H483" s="332">
        <f t="shared" si="7"/>
        <v>-3238500</v>
      </c>
    </row>
    <row r="484" spans="1:10">
      <c r="A484" s="329" t="s">
        <v>1429</v>
      </c>
      <c r="B484" s="329" t="s">
        <v>1430</v>
      </c>
      <c r="C484" s="330">
        <v>-10620000</v>
      </c>
      <c r="D484" s="331"/>
      <c r="E484" s="331"/>
      <c r="F484" s="331"/>
      <c r="G484" s="331"/>
      <c r="H484" s="332">
        <f t="shared" si="7"/>
        <v>-10620000</v>
      </c>
    </row>
    <row r="485" spans="1:10">
      <c r="A485" s="329" t="s">
        <v>1895</v>
      </c>
      <c r="B485" s="329" t="s">
        <v>1897</v>
      </c>
      <c r="C485" s="330">
        <v>-5530000</v>
      </c>
      <c r="D485" s="331"/>
      <c r="E485" s="331"/>
      <c r="F485" s="331"/>
      <c r="G485" s="331">
        <v>799.86</v>
      </c>
      <c r="H485" s="332">
        <f t="shared" si="7"/>
        <v>-5530799.8600000003</v>
      </c>
      <c r="J485" s="324">
        <f>5530799.86+H485</f>
        <v>0</v>
      </c>
    </row>
    <row r="486" spans="1:10">
      <c r="A486" s="329" t="s">
        <v>1896</v>
      </c>
      <c r="B486" s="329" t="s">
        <v>1898</v>
      </c>
      <c r="C486" s="330">
        <v>-5600000</v>
      </c>
      <c r="D486" s="331"/>
      <c r="E486" s="331"/>
      <c r="F486" s="331"/>
      <c r="G486" s="331"/>
      <c r="H486" s="332">
        <f t="shared" si="7"/>
        <v>-5600000</v>
      </c>
    </row>
    <row r="487" spans="1:10">
      <c r="A487" s="321" t="s">
        <v>1431</v>
      </c>
      <c r="B487" s="321" t="s">
        <v>1432</v>
      </c>
      <c r="C487" s="322">
        <f>C488</f>
        <v>-219912.97000000009</v>
      </c>
      <c r="D487" s="323"/>
      <c r="E487" s="322">
        <f>E488</f>
        <v>0</v>
      </c>
      <c r="F487" s="323"/>
      <c r="G487" s="322">
        <f>G488</f>
        <v>0</v>
      </c>
      <c r="H487" s="324">
        <f t="shared" si="7"/>
        <v>-219912.97000000009</v>
      </c>
      <c r="J487" s="322">
        <v>-219912.96999999916</v>
      </c>
    </row>
    <row r="488" spans="1:10">
      <c r="A488" s="334" t="s">
        <v>1433</v>
      </c>
      <c r="B488" s="334" t="s">
        <v>1432</v>
      </c>
      <c r="C488" s="335">
        <f>SUM(C489:C490)</f>
        <v>-219912.97000000009</v>
      </c>
      <c r="D488" s="336"/>
      <c r="E488" s="335">
        <f>SUM(E489:E490)</f>
        <v>0</v>
      </c>
      <c r="F488" s="336"/>
      <c r="G488" s="335">
        <f>SUM(G489:G490)</f>
        <v>0</v>
      </c>
      <c r="H488" s="337">
        <f t="shared" si="7"/>
        <v>-219912.97000000009</v>
      </c>
    </row>
    <row r="489" spans="1:10">
      <c r="A489" s="329" t="s">
        <v>1434</v>
      </c>
      <c r="B489" s="329" t="s">
        <v>1435</v>
      </c>
      <c r="C489" s="330">
        <v>-423499.74</v>
      </c>
      <c r="D489" s="331"/>
      <c r="E489" s="331"/>
      <c r="F489" s="331"/>
      <c r="G489" s="331"/>
      <c r="H489" s="332">
        <f t="shared" si="7"/>
        <v>-423499.74</v>
      </c>
    </row>
    <row r="490" spans="1:10">
      <c r="A490" s="329" t="s">
        <v>1436</v>
      </c>
      <c r="B490" s="329" t="s">
        <v>1437</v>
      </c>
      <c r="C490" s="330">
        <v>203586.7699999999</v>
      </c>
      <c r="D490" s="331"/>
      <c r="E490" s="331"/>
      <c r="F490" s="331"/>
      <c r="G490" s="331"/>
      <c r="H490" s="332">
        <f t="shared" si="7"/>
        <v>203586.7699999999</v>
      </c>
    </row>
    <row r="491" spans="1:10">
      <c r="A491" s="321" t="s">
        <v>1438</v>
      </c>
      <c r="B491" s="321" t="s">
        <v>1439</v>
      </c>
      <c r="C491" s="322">
        <f>C492</f>
        <v>-451867.59</v>
      </c>
      <c r="D491" s="323"/>
      <c r="E491" s="322">
        <f>E492</f>
        <v>0</v>
      </c>
      <c r="F491" s="323"/>
      <c r="G491" s="322">
        <f>G492</f>
        <v>0</v>
      </c>
      <c r="H491" s="324">
        <f t="shared" si="7"/>
        <v>-451867.59</v>
      </c>
    </row>
    <row r="492" spans="1:10">
      <c r="A492" s="334" t="s">
        <v>1440</v>
      </c>
      <c r="B492" s="334" t="s">
        <v>1441</v>
      </c>
      <c r="C492" s="335">
        <f>SUM(C493)</f>
        <v>-451867.59</v>
      </c>
      <c r="D492" s="336"/>
      <c r="E492" s="335">
        <f>SUM(E493)</f>
        <v>0</v>
      </c>
      <c r="F492" s="336"/>
      <c r="G492" s="335">
        <f>SUM(G493)</f>
        <v>0</v>
      </c>
      <c r="H492" s="337">
        <f t="shared" si="7"/>
        <v>-451867.59</v>
      </c>
    </row>
    <row r="493" spans="1:10">
      <c r="A493" s="329" t="s">
        <v>1442</v>
      </c>
      <c r="B493" s="329" t="s">
        <v>1443</v>
      </c>
      <c r="C493" s="330">
        <v>-451867.59</v>
      </c>
      <c r="D493" s="331"/>
      <c r="E493" s="331"/>
      <c r="F493" s="331"/>
      <c r="G493" s="331"/>
      <c r="H493" s="332">
        <f t="shared" si="7"/>
        <v>-451867.59</v>
      </c>
    </row>
    <row r="494" spans="1:10">
      <c r="A494" s="321" t="s">
        <v>1444</v>
      </c>
      <c r="B494" s="321" t="s">
        <v>1445</v>
      </c>
      <c r="C494" s="322">
        <f>C495</f>
        <v>-60.000000007450581</v>
      </c>
      <c r="D494" s="323"/>
      <c r="E494" s="322">
        <f>E495</f>
        <v>515348.95999999996</v>
      </c>
      <c r="F494" s="323"/>
      <c r="G494" s="322">
        <f>G495</f>
        <v>0</v>
      </c>
      <c r="H494" s="324">
        <f t="shared" si="7"/>
        <v>515288.95999999251</v>
      </c>
    </row>
    <row r="495" spans="1:10">
      <c r="A495" s="334" t="s">
        <v>1446</v>
      </c>
      <c r="B495" s="334" t="s">
        <v>1447</v>
      </c>
      <c r="C495" s="335">
        <f>SUM(C496)</f>
        <v>-60.000000007450581</v>
      </c>
      <c r="D495" s="336"/>
      <c r="E495" s="335">
        <f>SUM(E496)</f>
        <v>515348.95999999996</v>
      </c>
      <c r="F495" s="336"/>
      <c r="G495" s="335">
        <f>SUM(G496)</f>
        <v>0</v>
      </c>
      <c r="H495" s="337">
        <f t="shared" si="7"/>
        <v>515288.95999999251</v>
      </c>
    </row>
    <row r="496" spans="1:10">
      <c r="A496" s="329" t="s">
        <v>1448</v>
      </c>
      <c r="B496" s="329" t="s">
        <v>1449</v>
      </c>
      <c r="C496" s="330">
        <v>-60.000000007450581</v>
      </c>
      <c r="D496" s="331"/>
      <c r="E496" s="351">
        <f>106400+107800+236+30000+182297.36+43422+45193.6</f>
        <v>515348.95999999996</v>
      </c>
      <c r="F496" s="331"/>
      <c r="G496" s="331"/>
      <c r="H496" s="332">
        <f t="shared" si="7"/>
        <v>515288.95999999251</v>
      </c>
    </row>
    <row r="497" spans="1:10">
      <c r="A497" s="338">
        <v>3</v>
      </c>
      <c r="B497" s="338" t="s">
        <v>1450</v>
      </c>
      <c r="C497" s="339">
        <f>C498+C501+C505</f>
        <v>-13756561.209999999</v>
      </c>
      <c r="D497" s="340"/>
      <c r="E497" s="339">
        <f>E498+E501+E505</f>
        <v>0</v>
      </c>
      <c r="F497" s="340"/>
      <c r="G497" s="339">
        <f>G498+G501+G505</f>
        <v>64848.75</v>
      </c>
      <c r="H497" s="341">
        <f t="shared" si="7"/>
        <v>-13821409.959999999</v>
      </c>
      <c r="J497" s="322">
        <v>-13756561.210000003</v>
      </c>
    </row>
    <row r="498" spans="1:10">
      <c r="A498" s="321" t="s">
        <v>1451</v>
      </c>
      <c r="B498" s="321" t="s">
        <v>1450</v>
      </c>
      <c r="C498" s="322">
        <f>C499</f>
        <v>-10090000</v>
      </c>
      <c r="D498" s="323"/>
      <c r="E498" s="322">
        <f>E499</f>
        <v>0</v>
      </c>
      <c r="F498" s="323"/>
      <c r="G498" s="322">
        <f>G499</f>
        <v>0</v>
      </c>
      <c r="H498" s="324">
        <f t="shared" si="7"/>
        <v>-10090000</v>
      </c>
      <c r="J498" s="324">
        <f>H497-J516</f>
        <v>-12832724.749999991</v>
      </c>
    </row>
    <row r="499" spans="1:10">
      <c r="A499" s="334" t="s">
        <v>1452</v>
      </c>
      <c r="B499" s="334" t="s">
        <v>1453</v>
      </c>
      <c r="C499" s="335">
        <f>C500</f>
        <v>-10090000</v>
      </c>
      <c r="D499" s="336"/>
      <c r="E499" s="335">
        <f>E500</f>
        <v>0</v>
      </c>
      <c r="F499" s="336"/>
      <c r="G499" s="335">
        <f>G500</f>
        <v>0</v>
      </c>
      <c r="H499" s="337">
        <f t="shared" si="7"/>
        <v>-10090000</v>
      </c>
    </row>
    <row r="500" spans="1:10">
      <c r="A500" s="329" t="s">
        <v>1454</v>
      </c>
      <c r="B500" s="329" t="s">
        <v>1455</v>
      </c>
      <c r="C500" s="330">
        <v>-10090000</v>
      </c>
      <c r="D500" s="331"/>
      <c r="E500" s="331"/>
      <c r="F500" s="331"/>
      <c r="G500" s="331"/>
      <c r="H500" s="332">
        <f t="shared" si="7"/>
        <v>-10090000</v>
      </c>
    </row>
    <row r="501" spans="1:10">
      <c r="A501" s="321" t="s">
        <v>1456</v>
      </c>
      <c r="B501" s="321" t="s">
        <v>1457</v>
      </c>
      <c r="C501" s="322">
        <f>C502</f>
        <v>-1155355.3799999999</v>
      </c>
      <c r="D501" s="323"/>
      <c r="E501" s="322">
        <f>E502</f>
        <v>0</v>
      </c>
      <c r="F501" s="323"/>
      <c r="G501" s="322">
        <f>G502</f>
        <v>64848.75</v>
      </c>
      <c r="H501" s="324">
        <f t="shared" si="7"/>
        <v>-1220204.1299999999</v>
      </c>
    </row>
    <row r="502" spans="1:10">
      <c r="A502" s="334" t="s">
        <v>1458</v>
      </c>
      <c r="B502" s="334" t="s">
        <v>1459</v>
      </c>
      <c r="C502" s="335">
        <f>SUM(C503:C504)</f>
        <v>-1155355.3799999999</v>
      </c>
      <c r="D502" s="336"/>
      <c r="E502" s="335">
        <f>SUM(E503:E504)</f>
        <v>0</v>
      </c>
      <c r="F502" s="336"/>
      <c r="G502" s="335">
        <f>SUM(G503:G504)</f>
        <v>64848.75</v>
      </c>
      <c r="H502" s="337">
        <f t="shared" si="7"/>
        <v>-1220204.1299999999</v>
      </c>
    </row>
    <row r="503" spans="1:10">
      <c r="A503" s="329" t="s">
        <v>1460</v>
      </c>
      <c r="B503" s="329" t="s">
        <v>1461</v>
      </c>
      <c r="C503" s="330">
        <v>-68990.249999999985</v>
      </c>
      <c r="D503" s="331"/>
      <c r="E503" s="331"/>
      <c r="F503" s="331"/>
      <c r="G503" s="351">
        <v>64848.75</v>
      </c>
      <c r="H503" s="332">
        <f t="shared" si="7"/>
        <v>-133839</v>
      </c>
    </row>
    <row r="504" spans="1:10">
      <c r="A504" s="329" t="s">
        <v>1462</v>
      </c>
      <c r="B504" s="329" t="s">
        <v>1463</v>
      </c>
      <c r="C504" s="330">
        <v>-1086365.1299999999</v>
      </c>
      <c r="D504" s="331"/>
      <c r="E504" s="331"/>
      <c r="F504" s="351"/>
      <c r="G504" s="331"/>
      <c r="H504" s="332">
        <f t="shared" si="7"/>
        <v>-1086365.1299999999</v>
      </c>
    </row>
    <row r="505" spans="1:10">
      <c r="A505" s="321" t="s">
        <v>1464</v>
      </c>
      <c r="B505" s="321" t="s">
        <v>1465</v>
      </c>
      <c r="C505" s="322">
        <f>C506</f>
        <v>-2511205.83</v>
      </c>
      <c r="D505" s="323"/>
      <c r="E505" s="322">
        <f>E506</f>
        <v>0</v>
      </c>
      <c r="F505" s="323"/>
      <c r="G505" s="322">
        <f>G506</f>
        <v>0</v>
      </c>
      <c r="H505" s="324">
        <f t="shared" si="7"/>
        <v>-2511205.83</v>
      </c>
    </row>
    <row r="506" spans="1:10">
      <c r="A506" s="334" t="s">
        <v>1466</v>
      </c>
      <c r="B506" s="334" t="s">
        <v>1467</v>
      </c>
      <c r="C506" s="335">
        <f>SUM(C507:C515)</f>
        <v>-2511205.83</v>
      </c>
      <c r="D506" s="336"/>
      <c r="E506" s="335">
        <f>SUM(E507:E515)</f>
        <v>0</v>
      </c>
      <c r="F506" s="336"/>
      <c r="G506" s="335">
        <f>SUM(G507:G515)</f>
        <v>0</v>
      </c>
      <c r="H506" s="337">
        <f t="shared" si="7"/>
        <v>-2511205.83</v>
      </c>
      <c r="J506" s="324" t="e">
        <f>-H506+#REF!</f>
        <v>#REF!</v>
      </c>
    </row>
    <row r="507" spans="1:10">
      <c r="A507" s="329" t="s">
        <v>1468</v>
      </c>
      <c r="B507" s="329" t="s">
        <v>1469</v>
      </c>
      <c r="C507" s="330">
        <v>-16501.97</v>
      </c>
      <c r="D507" s="331"/>
      <c r="E507" s="331"/>
      <c r="F507" s="331"/>
      <c r="G507" s="331"/>
      <c r="H507" s="332">
        <f t="shared" si="7"/>
        <v>-16501.97</v>
      </c>
    </row>
    <row r="508" spans="1:10">
      <c r="A508" s="329" t="s">
        <v>1470</v>
      </c>
      <c r="B508" s="329" t="s">
        <v>1471</v>
      </c>
      <c r="C508" s="330">
        <v>-1198310.6700000002</v>
      </c>
      <c r="D508" s="331"/>
      <c r="E508" s="331"/>
      <c r="F508" s="331"/>
      <c r="G508" s="331"/>
      <c r="H508" s="332">
        <f t="shared" si="7"/>
        <v>-1198310.6700000002</v>
      </c>
    </row>
    <row r="509" spans="1:10">
      <c r="A509" s="329" t="s">
        <v>1472</v>
      </c>
      <c r="B509" s="329" t="s">
        <v>1473</v>
      </c>
      <c r="C509" s="330">
        <v>-380445.76</v>
      </c>
      <c r="D509" s="331"/>
      <c r="E509" s="331"/>
      <c r="F509" s="331"/>
      <c r="G509" s="331"/>
      <c r="H509" s="332">
        <f t="shared" si="7"/>
        <v>-380445.76</v>
      </c>
    </row>
    <row r="510" spans="1:10">
      <c r="A510" s="329" t="s">
        <v>1474</v>
      </c>
      <c r="B510" s="329" t="s">
        <v>1475</v>
      </c>
      <c r="C510" s="330">
        <v>686853.67</v>
      </c>
      <c r="D510" s="331"/>
      <c r="E510" s="331"/>
      <c r="F510" s="331"/>
      <c r="G510" s="331"/>
      <c r="H510" s="332">
        <f t="shared" si="7"/>
        <v>686853.67</v>
      </c>
    </row>
    <row r="511" spans="1:10">
      <c r="A511" s="329" t="s">
        <v>1476</v>
      </c>
      <c r="B511" s="329" t="s">
        <v>1477</v>
      </c>
      <c r="C511" s="330">
        <v>-449086.80000000005</v>
      </c>
      <c r="D511" s="331"/>
      <c r="E511" s="331"/>
      <c r="F511" s="331"/>
      <c r="G511" s="331"/>
      <c r="H511" s="332">
        <f t="shared" si="7"/>
        <v>-449086.80000000005</v>
      </c>
    </row>
    <row r="512" spans="1:10">
      <c r="A512" s="329" t="s">
        <v>1478</v>
      </c>
      <c r="B512" s="329" t="s">
        <v>1479</v>
      </c>
      <c r="C512" s="330">
        <v>147963.26</v>
      </c>
      <c r="D512" s="331"/>
      <c r="E512" s="331"/>
      <c r="F512" s="331"/>
      <c r="G512" s="331"/>
      <c r="H512" s="332">
        <f t="shared" si="7"/>
        <v>147963.26</v>
      </c>
    </row>
    <row r="513" spans="1:11">
      <c r="A513" s="329" t="s">
        <v>1480</v>
      </c>
      <c r="B513" s="329" t="s">
        <v>1481</v>
      </c>
      <c r="C513" s="330">
        <v>-803473.48</v>
      </c>
      <c r="D513" s="331"/>
      <c r="E513" s="331"/>
      <c r="F513" s="331"/>
      <c r="G513" s="331"/>
      <c r="H513" s="332">
        <f t="shared" si="7"/>
        <v>-803473.48</v>
      </c>
    </row>
    <row r="514" spans="1:11">
      <c r="A514" s="329" t="s">
        <v>1482</v>
      </c>
      <c r="B514" s="329" t="s">
        <v>1483</v>
      </c>
      <c r="C514" s="330">
        <v>-170846.37</v>
      </c>
      <c r="D514" s="331"/>
      <c r="E514" s="331"/>
      <c r="F514" s="331"/>
      <c r="G514" s="331"/>
      <c r="H514" s="332">
        <f t="shared" si="7"/>
        <v>-170846.37</v>
      </c>
    </row>
    <row r="515" spans="1:11">
      <c r="A515" s="329" t="s">
        <v>1484</v>
      </c>
      <c r="B515" s="329" t="s">
        <v>1485</v>
      </c>
      <c r="C515" s="330">
        <v>-327357.70999999979</v>
      </c>
      <c r="D515" s="331"/>
      <c r="E515" s="331"/>
      <c r="F515" s="331"/>
      <c r="G515" s="331"/>
      <c r="H515" s="332">
        <f t="shared" si="7"/>
        <v>-327357.70999999979</v>
      </c>
    </row>
    <row r="516" spans="1:11">
      <c r="A516" s="338">
        <v>4</v>
      </c>
      <c r="B516" s="338" t="s">
        <v>1486</v>
      </c>
      <c r="C516" s="339">
        <f>C517+C525+C532+C535+C538+C555+C558</f>
        <v>-52258755.329999998</v>
      </c>
      <c r="D516" s="340"/>
      <c r="E516" s="339">
        <f>E517+E525+E532+E535+E538+E555+E558</f>
        <v>6194</v>
      </c>
      <c r="F516" s="340"/>
      <c r="G516" s="339">
        <f>G517+G525+G532+G535+G538+G555+G558</f>
        <v>0</v>
      </c>
      <c r="H516" s="341">
        <f t="shared" si="7"/>
        <v>-52252561.329999998</v>
      </c>
      <c r="J516" s="324">
        <f>-H516-H566</f>
        <v>-988685.21000000834</v>
      </c>
      <c r="K516" s="342">
        <v>-52282899.869999953</v>
      </c>
    </row>
    <row r="517" spans="1:11">
      <c r="A517" s="321" t="s">
        <v>1487</v>
      </c>
      <c r="B517" s="321" t="s">
        <v>1488</v>
      </c>
      <c r="C517" s="322">
        <f>C518+C523</f>
        <v>-30022113.520000003</v>
      </c>
      <c r="D517" s="323"/>
      <c r="E517" s="322">
        <f>E518+E523</f>
        <v>0</v>
      </c>
      <c r="F517" s="323"/>
      <c r="G517" s="322">
        <f>G518+G523</f>
        <v>0</v>
      </c>
      <c r="H517" s="324">
        <f t="shared" si="7"/>
        <v>-30022113.520000003</v>
      </c>
    </row>
    <row r="518" spans="1:11">
      <c r="A518" s="334" t="s">
        <v>1489</v>
      </c>
      <c r="B518" s="334" t="s">
        <v>1490</v>
      </c>
      <c r="C518" s="335">
        <f>SUM(C519:C522)</f>
        <v>-29365167.140000004</v>
      </c>
      <c r="D518" s="336"/>
      <c r="E518" s="335">
        <f>SUM(E519:E522)</f>
        <v>0</v>
      </c>
      <c r="F518" s="336"/>
      <c r="G518" s="335">
        <f>SUM(G519:G522)</f>
        <v>0</v>
      </c>
      <c r="H518" s="337">
        <f t="shared" si="7"/>
        <v>-29365167.140000004</v>
      </c>
      <c r="J518" s="324">
        <f>H518-H520</f>
        <v>-29296946.740000006</v>
      </c>
    </row>
    <row r="519" spans="1:11">
      <c r="A519" s="329" t="s">
        <v>1491</v>
      </c>
      <c r="B519" s="329" t="s">
        <v>1492</v>
      </c>
      <c r="C519" s="330">
        <v>-6149991.3200000003</v>
      </c>
      <c r="D519" s="331"/>
      <c r="E519" s="331"/>
      <c r="F519" s="331"/>
      <c r="G519" s="331"/>
      <c r="H519" s="332">
        <f t="shared" si="7"/>
        <v>-6149991.3200000003</v>
      </c>
    </row>
    <row r="520" spans="1:11">
      <c r="A520" s="329" t="s">
        <v>1493</v>
      </c>
      <c r="B520" s="329" t="s">
        <v>1494</v>
      </c>
      <c r="C520" s="330">
        <v>-68220.399999999994</v>
      </c>
      <c r="D520" s="331"/>
      <c r="E520" s="331"/>
      <c r="F520" s="331"/>
      <c r="G520" s="331"/>
      <c r="H520" s="332">
        <f t="shared" si="7"/>
        <v>-68220.399999999994</v>
      </c>
    </row>
    <row r="521" spans="1:11">
      <c r="A521" s="329" t="s">
        <v>1495</v>
      </c>
      <c r="B521" s="329" t="s">
        <v>1496</v>
      </c>
      <c r="C521" s="330">
        <v>-16018249.000000002</v>
      </c>
      <c r="D521" s="331"/>
      <c r="E521" s="331"/>
      <c r="F521" s="331"/>
      <c r="G521" s="331"/>
      <c r="H521" s="332">
        <f t="shared" si="7"/>
        <v>-16018249.000000002</v>
      </c>
    </row>
    <row r="522" spans="1:11">
      <c r="A522" s="329" t="s">
        <v>1497</v>
      </c>
      <c r="B522" s="329" t="s">
        <v>1498</v>
      </c>
      <c r="C522" s="330">
        <v>-7128706.4200000018</v>
      </c>
      <c r="D522" s="331"/>
      <c r="E522" s="331"/>
      <c r="F522" s="331"/>
      <c r="G522" s="331"/>
      <c r="H522" s="332">
        <f t="shared" si="7"/>
        <v>-7128706.4200000018</v>
      </c>
    </row>
    <row r="523" spans="1:11">
      <c r="A523" s="334" t="s">
        <v>1499</v>
      </c>
      <c r="B523" s="334" t="s">
        <v>1500</v>
      </c>
      <c r="C523" s="335">
        <f>SUM(C524)</f>
        <v>-656946.38</v>
      </c>
      <c r="D523" s="336"/>
      <c r="E523" s="335">
        <f>SUM(E524)</f>
        <v>0</v>
      </c>
      <c r="F523" s="336"/>
      <c r="G523" s="335">
        <f>SUM(G524)</f>
        <v>0</v>
      </c>
      <c r="H523" s="337">
        <f t="shared" ref="H523:H588" si="8">C523+E523-G523</f>
        <v>-656946.38</v>
      </c>
    </row>
    <row r="524" spans="1:11">
      <c r="A524" s="329" t="s">
        <v>1501</v>
      </c>
      <c r="B524" s="329" t="s">
        <v>1502</v>
      </c>
      <c r="C524" s="330">
        <v>-656946.38</v>
      </c>
      <c r="D524" s="331"/>
      <c r="E524" s="331"/>
      <c r="F524" s="331"/>
      <c r="G524" s="331"/>
      <c r="H524" s="332">
        <f t="shared" si="8"/>
        <v>-656946.38</v>
      </c>
    </row>
    <row r="525" spans="1:11">
      <c r="A525" s="321" t="s">
        <v>1503</v>
      </c>
      <c r="B525" s="321" t="s">
        <v>1504</v>
      </c>
      <c r="C525" s="322">
        <f>C526</f>
        <v>-1085544.83</v>
      </c>
      <c r="D525" s="323"/>
      <c r="E525" s="322">
        <f>E526</f>
        <v>0</v>
      </c>
      <c r="F525" s="323"/>
      <c r="G525" s="322">
        <f>G526</f>
        <v>0</v>
      </c>
      <c r="H525" s="324">
        <f t="shared" si="8"/>
        <v>-1085544.83</v>
      </c>
    </row>
    <row r="526" spans="1:11">
      <c r="A526" s="334" t="s">
        <v>1505</v>
      </c>
      <c r="B526" s="334" t="s">
        <v>1506</v>
      </c>
      <c r="C526" s="335">
        <f>SUM(C527:C531)</f>
        <v>-1085544.83</v>
      </c>
      <c r="D526" s="336"/>
      <c r="E526" s="335">
        <f>SUM(E527:E531)</f>
        <v>0</v>
      </c>
      <c r="F526" s="336"/>
      <c r="G526" s="335">
        <f>SUM(G527:G531)</f>
        <v>0</v>
      </c>
      <c r="H526" s="337">
        <f t="shared" si="8"/>
        <v>-1085544.83</v>
      </c>
    </row>
    <row r="527" spans="1:11">
      <c r="A527" s="329" t="s">
        <v>1507</v>
      </c>
      <c r="B527" s="329" t="s">
        <v>1508</v>
      </c>
      <c r="C527" s="330">
        <v>-221273.36000000002</v>
      </c>
      <c r="D527" s="331"/>
      <c r="E527" s="331"/>
      <c r="F527" s="331"/>
      <c r="G527" s="331"/>
      <c r="H527" s="332">
        <f t="shared" si="8"/>
        <v>-221273.36000000002</v>
      </c>
    </row>
    <row r="528" spans="1:11">
      <c r="A528" s="329" t="s">
        <v>1509</v>
      </c>
      <c r="B528" s="329" t="s">
        <v>1510</v>
      </c>
      <c r="C528" s="330">
        <v>-673398.65</v>
      </c>
      <c r="D528" s="331"/>
      <c r="E528" s="331"/>
      <c r="F528" s="331"/>
      <c r="G528" s="331"/>
      <c r="H528" s="332">
        <f t="shared" si="8"/>
        <v>-673398.65</v>
      </c>
    </row>
    <row r="529" spans="1:8">
      <c r="A529" s="329" t="s">
        <v>1509</v>
      </c>
      <c r="B529" s="329" t="s">
        <v>1901</v>
      </c>
      <c r="C529" s="330">
        <v>-1243.6300000000001</v>
      </c>
      <c r="D529" s="331"/>
      <c r="E529" s="331"/>
      <c r="F529" s="331"/>
      <c r="G529" s="331"/>
      <c r="H529" s="332">
        <f t="shared" si="8"/>
        <v>-1243.6300000000001</v>
      </c>
    </row>
    <row r="530" spans="1:8">
      <c r="A530" s="329" t="s">
        <v>1511</v>
      </c>
      <c r="B530" s="329" t="s">
        <v>1512</v>
      </c>
      <c r="C530" s="330">
        <v>-189348.21</v>
      </c>
      <c r="D530" s="331"/>
      <c r="E530" s="331"/>
      <c r="F530" s="331"/>
      <c r="G530" s="331"/>
      <c r="H530" s="332">
        <f t="shared" si="8"/>
        <v>-189348.21</v>
      </c>
    </row>
    <row r="531" spans="1:8">
      <c r="A531" s="329" t="s">
        <v>1902</v>
      </c>
      <c r="B531" s="329" t="s">
        <v>1512</v>
      </c>
      <c r="C531" s="330">
        <v>-280.98</v>
      </c>
      <c r="D531" s="331"/>
      <c r="E531" s="331"/>
      <c r="F531" s="331"/>
      <c r="G531" s="331"/>
      <c r="H531" s="332">
        <f t="shared" si="8"/>
        <v>-280.98</v>
      </c>
    </row>
    <row r="532" spans="1:8">
      <c r="A532" s="321" t="s">
        <v>1513</v>
      </c>
      <c r="B532" s="321" t="s">
        <v>1514</v>
      </c>
      <c r="C532" s="322">
        <f>C533</f>
        <v>-80357.89</v>
      </c>
      <c r="D532" s="323"/>
      <c r="E532" s="322">
        <f>E533</f>
        <v>0</v>
      </c>
      <c r="F532" s="323"/>
      <c r="G532" s="322">
        <f>G533</f>
        <v>0</v>
      </c>
      <c r="H532" s="324">
        <f t="shared" si="8"/>
        <v>-80357.89</v>
      </c>
    </row>
    <row r="533" spans="1:8">
      <c r="A533" s="334" t="s">
        <v>1515</v>
      </c>
      <c r="B533" s="334" t="s">
        <v>1516</v>
      </c>
      <c r="C533" s="335">
        <f>SUM(C534)</f>
        <v>-80357.89</v>
      </c>
      <c r="D533" s="336"/>
      <c r="E533" s="335">
        <f>SUM(E534)</f>
        <v>0</v>
      </c>
      <c r="F533" s="336"/>
      <c r="G533" s="335">
        <f>SUM(G534)</f>
        <v>0</v>
      </c>
      <c r="H533" s="337">
        <f t="shared" si="8"/>
        <v>-80357.89</v>
      </c>
    </row>
    <row r="534" spans="1:8">
      <c r="A534" s="329" t="s">
        <v>1517</v>
      </c>
      <c r="B534" s="329" t="s">
        <v>1518</v>
      </c>
      <c r="C534" s="330">
        <v>-80357.89</v>
      </c>
      <c r="D534" s="331"/>
      <c r="E534" s="331"/>
      <c r="F534" s="331"/>
      <c r="G534" s="331">
        <v>0</v>
      </c>
      <c r="H534" s="332">
        <f t="shared" si="8"/>
        <v>-80357.89</v>
      </c>
    </row>
    <row r="535" spans="1:8">
      <c r="A535" s="321" t="s">
        <v>1519</v>
      </c>
      <c r="B535" s="321" t="s">
        <v>1520</v>
      </c>
      <c r="C535" s="322">
        <f>C536</f>
        <v>-87458.440000000148</v>
      </c>
      <c r="D535" s="323"/>
      <c r="E535" s="322">
        <f>E536</f>
        <v>6194</v>
      </c>
      <c r="F535" s="323"/>
      <c r="G535" s="322">
        <f>G536</f>
        <v>0</v>
      </c>
      <c r="H535" s="324">
        <f t="shared" si="8"/>
        <v>-81264.440000000148</v>
      </c>
    </row>
    <row r="536" spans="1:8">
      <c r="A536" s="334" t="s">
        <v>1521</v>
      </c>
      <c r="B536" s="334" t="s">
        <v>1522</v>
      </c>
      <c r="C536" s="335">
        <f>SUM(C537)</f>
        <v>-87458.440000000148</v>
      </c>
      <c r="D536" s="336"/>
      <c r="E536" s="335">
        <f>SUM(E537)</f>
        <v>6194</v>
      </c>
      <c r="F536" s="336"/>
      <c r="G536" s="335">
        <f>SUM(G537)</f>
        <v>0</v>
      </c>
      <c r="H536" s="337">
        <f t="shared" si="8"/>
        <v>-81264.440000000148</v>
      </c>
    </row>
    <row r="537" spans="1:8">
      <c r="A537" s="329" t="s">
        <v>1523</v>
      </c>
      <c r="B537" s="329" t="s">
        <v>1524</v>
      </c>
      <c r="C537" s="330">
        <v>-87458.440000000148</v>
      </c>
      <c r="D537" s="331"/>
      <c r="E537" s="343">
        <v>6194</v>
      </c>
      <c r="F537" s="331"/>
      <c r="G537" s="331">
        <v>0</v>
      </c>
      <c r="H537" s="332">
        <f t="shared" si="8"/>
        <v>-81264.440000000148</v>
      </c>
    </row>
    <row r="538" spans="1:8">
      <c r="A538" s="321" t="s">
        <v>1525</v>
      </c>
      <c r="B538" s="321" t="s">
        <v>1526</v>
      </c>
      <c r="C538" s="322">
        <f>C539+C543+C552</f>
        <v>-20083961.93</v>
      </c>
      <c r="D538" s="323"/>
      <c r="E538" s="322">
        <f>E539+E543+E552</f>
        <v>0</v>
      </c>
      <c r="F538" s="323"/>
      <c r="G538" s="322">
        <f>G539+G543+G552</f>
        <v>0</v>
      </c>
      <c r="H538" s="324">
        <f t="shared" si="8"/>
        <v>-20083961.93</v>
      </c>
    </row>
    <row r="539" spans="1:8">
      <c r="A539" s="334" t="s">
        <v>1527</v>
      </c>
      <c r="B539" s="334" t="s">
        <v>1528</v>
      </c>
      <c r="C539" s="335">
        <f>SUM(C540:C542)</f>
        <v>-8908.58</v>
      </c>
      <c r="D539" s="336"/>
      <c r="E539" s="335">
        <f>SUM(E540:E542)</f>
        <v>0</v>
      </c>
      <c r="F539" s="336"/>
      <c r="G539" s="335">
        <f>SUM(G540:G542)</f>
        <v>0</v>
      </c>
      <c r="H539" s="337">
        <f t="shared" si="8"/>
        <v>-8908.58</v>
      </c>
    </row>
    <row r="540" spans="1:8">
      <c r="A540" s="329" t="s">
        <v>1529</v>
      </c>
      <c r="B540" s="329" t="s">
        <v>1530</v>
      </c>
      <c r="C540" s="330">
        <v>-6184.58</v>
      </c>
      <c r="D540" s="331"/>
      <c r="E540" s="331"/>
      <c r="F540" s="331"/>
      <c r="G540" s="331"/>
      <c r="H540" s="332">
        <f t="shared" si="8"/>
        <v>-6184.58</v>
      </c>
    </row>
    <row r="541" spans="1:8">
      <c r="A541" s="329" t="s">
        <v>1531</v>
      </c>
      <c r="B541" s="329" t="s">
        <v>1532</v>
      </c>
      <c r="C541" s="330">
        <v>-2650</v>
      </c>
      <c r="D541" s="331"/>
      <c r="E541" s="331"/>
      <c r="F541" s="331"/>
      <c r="G541" s="331"/>
      <c r="H541" s="332">
        <f t="shared" si="8"/>
        <v>-2650</v>
      </c>
    </row>
    <row r="542" spans="1:8">
      <c r="A542" s="329" t="s">
        <v>1533</v>
      </c>
      <c r="B542" s="329" t="s">
        <v>1534</v>
      </c>
      <c r="C542" s="330">
        <v>-74</v>
      </c>
      <c r="D542" s="331"/>
      <c r="E542" s="331"/>
      <c r="F542" s="331"/>
      <c r="G542" s="331"/>
      <c r="H542" s="332">
        <f t="shared" si="8"/>
        <v>-74</v>
      </c>
    </row>
    <row r="543" spans="1:8">
      <c r="A543" s="334" t="s">
        <v>1535</v>
      </c>
      <c r="B543" s="334" t="s">
        <v>1536</v>
      </c>
      <c r="C543" s="335">
        <f>SUM(C544:C551)</f>
        <v>-18241587.870000001</v>
      </c>
      <c r="D543" s="336"/>
      <c r="E543" s="335">
        <f>SUM(E544:E551)</f>
        <v>0</v>
      </c>
      <c r="F543" s="336"/>
      <c r="G543" s="335">
        <f>SUM(G544:G551)</f>
        <v>0</v>
      </c>
      <c r="H543" s="337">
        <f t="shared" si="8"/>
        <v>-18241587.870000001</v>
      </c>
    </row>
    <row r="544" spans="1:8">
      <c r="A544" s="329" t="s">
        <v>1537</v>
      </c>
      <c r="B544" s="329" t="s">
        <v>1538</v>
      </c>
      <c r="C544" s="330">
        <v>-5976076.6100000003</v>
      </c>
      <c r="D544" s="331"/>
      <c r="E544" s="331"/>
      <c r="F544" s="331"/>
      <c r="G544" s="331"/>
      <c r="H544" s="332">
        <f t="shared" si="8"/>
        <v>-5976076.6100000003</v>
      </c>
    </row>
    <row r="545" spans="1:10">
      <c r="A545" s="329" t="s">
        <v>1539</v>
      </c>
      <c r="B545" s="329" t="s">
        <v>1540</v>
      </c>
      <c r="C545" s="330">
        <v>-4389051.3499999996</v>
      </c>
      <c r="D545" s="331"/>
      <c r="E545" s="331"/>
      <c r="F545" s="331"/>
      <c r="G545" s="331"/>
      <c r="H545" s="332">
        <f t="shared" si="8"/>
        <v>-4389051.3499999996</v>
      </c>
    </row>
    <row r="546" spans="1:10">
      <c r="A546" s="329" t="s">
        <v>1541</v>
      </c>
      <c r="B546" s="329" t="s">
        <v>1542</v>
      </c>
      <c r="C546" s="330">
        <v>-1690131</v>
      </c>
      <c r="D546" s="331"/>
      <c r="E546" s="331"/>
      <c r="F546" s="331"/>
      <c r="G546" s="331"/>
      <c r="H546" s="332">
        <f t="shared" si="8"/>
        <v>-1690131</v>
      </c>
    </row>
    <row r="547" spans="1:10">
      <c r="A547" s="329" t="s">
        <v>1543</v>
      </c>
      <c r="B547" s="329" t="s">
        <v>1544</v>
      </c>
      <c r="C547" s="330">
        <v>36</v>
      </c>
      <c r="D547" s="331"/>
      <c r="E547" s="331"/>
      <c r="F547" s="331"/>
      <c r="G547" s="331"/>
      <c r="H547" s="332">
        <f t="shared" si="8"/>
        <v>36</v>
      </c>
    </row>
    <row r="548" spans="1:10">
      <c r="A548" s="329" t="s">
        <v>1545</v>
      </c>
      <c r="B548" s="329" t="s">
        <v>1546</v>
      </c>
      <c r="C548" s="330">
        <v>-2325512.83</v>
      </c>
      <c r="D548" s="331"/>
      <c r="E548" s="331"/>
      <c r="F548" s="331"/>
      <c r="G548" s="331"/>
      <c r="H548" s="332">
        <f t="shared" si="8"/>
        <v>-2325512.83</v>
      </c>
    </row>
    <row r="549" spans="1:10">
      <c r="A549" s="329" t="s">
        <v>1547</v>
      </c>
      <c r="B549" s="329" t="s">
        <v>1548</v>
      </c>
      <c r="C549" s="330">
        <v>-332002.92000000004</v>
      </c>
      <c r="D549" s="331"/>
      <c r="E549" s="331"/>
      <c r="F549" s="331"/>
      <c r="G549" s="331"/>
      <c r="H549" s="332">
        <f t="shared" si="8"/>
        <v>-332002.92000000004</v>
      </c>
    </row>
    <row r="550" spans="1:10">
      <c r="A550" s="329" t="s">
        <v>1549</v>
      </c>
      <c r="B550" s="329" t="s">
        <v>1550</v>
      </c>
      <c r="C550" s="330">
        <v>-959948.16</v>
      </c>
      <c r="D550" s="331"/>
      <c r="E550" s="331"/>
      <c r="F550" s="331"/>
      <c r="G550" s="331"/>
      <c r="H550" s="332">
        <f t="shared" si="8"/>
        <v>-959948.16</v>
      </c>
    </row>
    <row r="551" spans="1:10">
      <c r="A551" s="329" t="s">
        <v>1551</v>
      </c>
      <c r="B551" s="329" t="s">
        <v>1552</v>
      </c>
      <c r="C551" s="330">
        <v>-2568901</v>
      </c>
      <c r="D551" s="331"/>
      <c r="E551" s="331"/>
      <c r="F551" s="331"/>
      <c r="G551" s="331"/>
      <c r="H551" s="332">
        <f t="shared" si="8"/>
        <v>-2568901</v>
      </c>
    </row>
    <row r="552" spans="1:10">
      <c r="A552" s="334" t="s">
        <v>1553</v>
      </c>
      <c r="B552" s="334" t="s">
        <v>1536</v>
      </c>
      <c r="C552" s="335">
        <f>SUM(C553:C554)</f>
        <v>-1833465.48</v>
      </c>
      <c r="D552" s="336"/>
      <c r="E552" s="335">
        <f>SUM(E553:E554)</f>
        <v>0</v>
      </c>
      <c r="F552" s="336"/>
      <c r="G552" s="335">
        <f>SUM(G553:G554)</f>
        <v>0</v>
      </c>
      <c r="H552" s="337">
        <f t="shared" si="8"/>
        <v>-1833465.48</v>
      </c>
    </row>
    <row r="553" spans="1:10">
      <c r="A553" s="329" t="s">
        <v>1554</v>
      </c>
      <c r="B553" s="329" t="s">
        <v>1555</v>
      </c>
      <c r="C553" s="330">
        <v>-1827899.48</v>
      </c>
      <c r="D553" s="331"/>
      <c r="E553" s="331"/>
      <c r="F553" s="331"/>
      <c r="G553" s="331"/>
      <c r="H553" s="332">
        <f t="shared" si="8"/>
        <v>-1827899.48</v>
      </c>
    </row>
    <row r="554" spans="1:10">
      <c r="A554" s="329" t="s">
        <v>1556</v>
      </c>
      <c r="B554" s="329" t="s">
        <v>1557</v>
      </c>
      <c r="C554" s="330">
        <v>-5566</v>
      </c>
      <c r="D554" s="331"/>
      <c r="E554" s="331"/>
      <c r="F554" s="331"/>
      <c r="G554" s="331"/>
      <c r="H554" s="332">
        <f t="shared" si="8"/>
        <v>-5566</v>
      </c>
    </row>
    <row r="555" spans="1:10">
      <c r="A555" s="321" t="s">
        <v>1558</v>
      </c>
      <c r="B555" s="321" t="s">
        <v>1559</v>
      </c>
      <c r="C555" s="322">
        <f>C556</f>
        <v>-575157.74</v>
      </c>
      <c r="D555" s="323"/>
      <c r="E555" s="322">
        <f>E556</f>
        <v>0</v>
      </c>
      <c r="F555" s="323"/>
      <c r="G555" s="322">
        <f>G556</f>
        <v>0</v>
      </c>
      <c r="H555" s="324">
        <f t="shared" si="8"/>
        <v>-575157.74</v>
      </c>
    </row>
    <row r="556" spans="1:10">
      <c r="A556" s="334" t="s">
        <v>1560</v>
      </c>
      <c r="B556" s="334" t="s">
        <v>1561</v>
      </c>
      <c r="C556" s="335">
        <f>SUM(C557)</f>
        <v>-575157.74</v>
      </c>
      <c r="D556" s="336"/>
      <c r="E556" s="335">
        <f>SUM(E557)</f>
        <v>0</v>
      </c>
      <c r="F556" s="336"/>
      <c r="G556" s="335">
        <f>SUM(G557)</f>
        <v>0</v>
      </c>
      <c r="H556" s="337">
        <f t="shared" si="8"/>
        <v>-575157.74</v>
      </c>
    </row>
    <row r="557" spans="1:10">
      <c r="A557" s="329" t="s">
        <v>1562</v>
      </c>
      <c r="B557" s="329" t="s">
        <v>1563</v>
      </c>
      <c r="C557" s="330">
        <v>-575157.74</v>
      </c>
      <c r="D557" s="331"/>
      <c r="E557" s="331"/>
      <c r="F557" s="331"/>
      <c r="G557" s="331"/>
      <c r="H557" s="332">
        <f t="shared" si="8"/>
        <v>-575157.74</v>
      </c>
    </row>
    <row r="558" spans="1:10">
      <c r="A558" s="321" t="s">
        <v>1564</v>
      </c>
      <c r="B558" s="321" t="s">
        <v>1565</v>
      </c>
      <c r="C558" s="322">
        <f>C559+C561+C563</f>
        <v>-324160.98000000004</v>
      </c>
      <c r="D558" s="323"/>
      <c r="E558" s="322">
        <f>E559+E561+E563</f>
        <v>0</v>
      </c>
      <c r="F558" s="323"/>
      <c r="G558" s="322">
        <f>G559+G561+G563</f>
        <v>0</v>
      </c>
      <c r="H558" s="324">
        <f t="shared" si="8"/>
        <v>-324160.98000000004</v>
      </c>
      <c r="J558" s="324">
        <f>H558+H555</f>
        <v>-899318.72</v>
      </c>
    </row>
    <row r="559" spans="1:10">
      <c r="A559" s="334" t="s">
        <v>1566</v>
      </c>
      <c r="B559" s="334" t="s">
        <v>1567</v>
      </c>
      <c r="C559" s="335">
        <f>SUM(C560)</f>
        <v>48001.729999999981</v>
      </c>
      <c r="D559" s="336"/>
      <c r="E559" s="335">
        <f>SUM(E560)</f>
        <v>0</v>
      </c>
      <c r="F559" s="336"/>
      <c r="G559" s="335">
        <f>SUM(G560)</f>
        <v>0</v>
      </c>
      <c r="H559" s="337">
        <f t="shared" si="8"/>
        <v>48001.729999999981</v>
      </c>
    </row>
    <row r="560" spans="1:10">
      <c r="A560" s="329" t="s">
        <v>1568</v>
      </c>
      <c r="B560" s="329" t="s">
        <v>1569</v>
      </c>
      <c r="C560" s="330">
        <v>48001.729999999981</v>
      </c>
      <c r="D560" s="331"/>
      <c r="E560" s="331"/>
      <c r="F560" s="331"/>
      <c r="G560" s="331"/>
      <c r="H560" s="332">
        <f t="shared" si="8"/>
        <v>48001.729999999981</v>
      </c>
    </row>
    <row r="561" spans="1:10">
      <c r="A561" s="334" t="s">
        <v>1570</v>
      </c>
      <c r="B561" s="334" t="s">
        <v>1571</v>
      </c>
      <c r="C561" s="335">
        <f>SUM(C562)</f>
        <v>-321135.83</v>
      </c>
      <c r="D561" s="336"/>
      <c r="E561" s="335">
        <f>SUM(E562)</f>
        <v>0</v>
      </c>
      <c r="F561" s="336"/>
      <c r="G561" s="335">
        <f>SUM(G562)</f>
        <v>0</v>
      </c>
      <c r="H561" s="337">
        <f t="shared" si="8"/>
        <v>-321135.83</v>
      </c>
    </row>
    <row r="562" spans="1:10">
      <c r="A562" s="329" t="s">
        <v>1572</v>
      </c>
      <c r="B562" s="329" t="s">
        <v>1571</v>
      </c>
      <c r="C562" s="330">
        <v>-321135.83</v>
      </c>
      <c r="D562" s="331"/>
      <c r="E562" s="351">
        <v>0</v>
      </c>
      <c r="F562" s="331"/>
      <c r="G562" s="351">
        <v>0</v>
      </c>
      <c r="H562" s="332">
        <f t="shared" si="8"/>
        <v>-321135.83</v>
      </c>
      <c r="J562" s="324">
        <f>H558+H556</f>
        <v>-899318.72</v>
      </c>
    </row>
    <row r="563" spans="1:10">
      <c r="A563" s="334" t="s">
        <v>1573</v>
      </c>
      <c r="B563" s="334" t="s">
        <v>1574</v>
      </c>
      <c r="C563" s="335">
        <f>SUM(C564:C565)</f>
        <v>-51026.879999999997</v>
      </c>
      <c r="D563" s="336"/>
      <c r="E563" s="335">
        <f>SUM(E564:E565)</f>
        <v>0</v>
      </c>
      <c r="F563" s="336"/>
      <c r="G563" s="335">
        <f>SUM(G564:G565)</f>
        <v>0</v>
      </c>
      <c r="H563" s="337">
        <f t="shared" si="8"/>
        <v>-51026.879999999997</v>
      </c>
    </row>
    <row r="564" spans="1:10">
      <c r="A564" s="329" t="s">
        <v>1575</v>
      </c>
      <c r="B564" s="329" t="s">
        <v>1576</v>
      </c>
      <c r="C564" s="330">
        <v>-39216.89</v>
      </c>
      <c r="D564" s="331"/>
      <c r="E564" s="331"/>
      <c r="F564" s="331"/>
      <c r="G564" s="331"/>
      <c r="H564" s="332">
        <f t="shared" si="8"/>
        <v>-39216.89</v>
      </c>
    </row>
    <row r="565" spans="1:10">
      <c r="A565" s="329" t="s">
        <v>1577</v>
      </c>
      <c r="B565" s="329" t="s">
        <v>1574</v>
      </c>
      <c r="C565" s="330">
        <v>-11809.99</v>
      </c>
      <c r="D565" s="331"/>
      <c r="E565" s="331"/>
      <c r="F565" s="331"/>
      <c r="G565" s="331"/>
      <c r="H565" s="332">
        <f t="shared" si="8"/>
        <v>-11809.99</v>
      </c>
    </row>
    <row r="566" spans="1:10">
      <c r="A566" s="338">
        <v>5</v>
      </c>
      <c r="B566" s="338" t="s">
        <v>1578</v>
      </c>
      <c r="C566" s="339">
        <f>C567+C595+C652+C718+C724</f>
        <v>53240824.210000001</v>
      </c>
      <c r="D566" s="340"/>
      <c r="E566" s="339">
        <f>E567+E595+E652+E718+E724</f>
        <v>1180994.27</v>
      </c>
      <c r="F566" s="340"/>
      <c r="G566" s="339">
        <f>G567+G595+G652+G718+G724</f>
        <v>1180571.94</v>
      </c>
      <c r="H566" s="341">
        <f t="shared" si="8"/>
        <v>53241246.540000007</v>
      </c>
      <c r="J566" s="322"/>
    </row>
    <row r="567" spans="1:10">
      <c r="A567" s="321" t="s">
        <v>1579</v>
      </c>
      <c r="B567" s="321" t="s">
        <v>1580</v>
      </c>
      <c r="C567" s="322">
        <f>C568+C588+C590</f>
        <v>7875578.1200000001</v>
      </c>
      <c r="D567" s="323"/>
      <c r="E567" s="322">
        <f>E568+E588+E590</f>
        <v>0</v>
      </c>
      <c r="F567" s="323"/>
      <c r="G567" s="322">
        <f>G568+G588+G590</f>
        <v>0</v>
      </c>
      <c r="H567" s="324">
        <f t="shared" si="8"/>
        <v>7875578.1200000001</v>
      </c>
      <c r="J567" s="324"/>
    </row>
    <row r="568" spans="1:10">
      <c r="A568" s="334" t="s">
        <v>1581</v>
      </c>
      <c r="B568" s="334" t="s">
        <v>1582</v>
      </c>
      <c r="C568" s="335">
        <f>SUM(C569:C587)</f>
        <v>7536906.4399999995</v>
      </c>
      <c r="D568" s="336"/>
      <c r="E568" s="335">
        <f>SUM(E569:E587)</f>
        <v>0</v>
      </c>
      <c r="F568" s="336"/>
      <c r="G568" s="335">
        <f>SUM(G569:G587)</f>
        <v>0</v>
      </c>
      <c r="H568" s="337">
        <f t="shared" si="8"/>
        <v>7536906.4399999995</v>
      </c>
    </row>
    <row r="569" spans="1:10">
      <c r="A569" s="329" t="s">
        <v>1583</v>
      </c>
      <c r="B569" s="329" t="s">
        <v>1584</v>
      </c>
      <c r="C569" s="330">
        <v>19055.349999999999</v>
      </c>
      <c r="D569" s="331"/>
      <c r="E569" s="331"/>
      <c r="F569" s="331"/>
      <c r="G569" s="331"/>
      <c r="H569" s="332">
        <f t="shared" si="8"/>
        <v>19055.349999999999</v>
      </c>
    </row>
    <row r="570" spans="1:10">
      <c r="A570" s="329" t="s">
        <v>1585</v>
      </c>
      <c r="B570" s="329" t="s">
        <v>1586</v>
      </c>
      <c r="C570" s="330">
        <v>453896.87</v>
      </c>
      <c r="D570" s="331"/>
      <c r="E570" s="331"/>
      <c r="F570" s="331"/>
      <c r="G570" s="331"/>
      <c r="H570" s="332">
        <f t="shared" si="8"/>
        <v>453896.87</v>
      </c>
    </row>
    <row r="571" spans="1:10">
      <c r="A571" s="329" t="s">
        <v>1587</v>
      </c>
      <c r="B571" s="329" t="s">
        <v>1588</v>
      </c>
      <c r="C571" s="330">
        <v>374466.34</v>
      </c>
      <c r="D571" s="331"/>
      <c r="E571" s="331"/>
      <c r="F571" s="331"/>
      <c r="G571" s="331"/>
      <c r="H571" s="332">
        <f t="shared" si="8"/>
        <v>374466.34</v>
      </c>
    </row>
    <row r="572" spans="1:10">
      <c r="A572" s="329" t="s">
        <v>1589</v>
      </c>
      <c r="B572" s="329" t="s">
        <v>1590</v>
      </c>
      <c r="C572" s="330">
        <v>135192.63</v>
      </c>
      <c r="D572" s="331"/>
      <c r="E572" s="331"/>
      <c r="F572" s="331"/>
      <c r="G572" s="331"/>
      <c r="H572" s="332">
        <f t="shared" si="8"/>
        <v>135192.63</v>
      </c>
    </row>
    <row r="573" spans="1:10">
      <c r="A573" s="329" t="s">
        <v>1591</v>
      </c>
      <c r="B573" s="329" t="s">
        <v>1592</v>
      </c>
      <c r="C573" s="330">
        <v>60077.09</v>
      </c>
      <c r="D573" s="331"/>
      <c r="E573" s="331"/>
      <c r="F573" s="331"/>
      <c r="G573" s="331"/>
      <c r="H573" s="332">
        <f t="shared" si="8"/>
        <v>60077.09</v>
      </c>
    </row>
    <row r="574" spans="1:10">
      <c r="A574" s="329" t="s">
        <v>1593</v>
      </c>
      <c r="B574" s="329" t="s">
        <v>1594</v>
      </c>
      <c r="C574" s="330">
        <v>843654.55999999994</v>
      </c>
      <c r="D574" s="331"/>
      <c r="E574" s="331"/>
      <c r="F574" s="331"/>
      <c r="G574" s="331"/>
      <c r="H574" s="332">
        <f t="shared" si="8"/>
        <v>843654.55999999994</v>
      </c>
    </row>
    <row r="575" spans="1:10">
      <c r="A575" s="329" t="s">
        <v>1595</v>
      </c>
      <c r="B575" s="329" t="s">
        <v>1596</v>
      </c>
      <c r="C575" s="330">
        <v>285085.31</v>
      </c>
      <c r="D575" s="331"/>
      <c r="E575" s="331"/>
      <c r="F575" s="331"/>
      <c r="G575" s="331"/>
      <c r="H575" s="332">
        <f t="shared" si="8"/>
        <v>285085.31</v>
      </c>
    </row>
    <row r="576" spans="1:10">
      <c r="A576" s="329" t="s">
        <v>1597</v>
      </c>
      <c r="B576" s="329" t="s">
        <v>1598</v>
      </c>
      <c r="C576" s="330">
        <v>747227.41</v>
      </c>
      <c r="D576" s="331"/>
      <c r="E576" s="331"/>
      <c r="F576" s="331"/>
      <c r="G576" s="331"/>
      <c r="H576" s="332">
        <f t="shared" si="8"/>
        <v>747227.41</v>
      </c>
    </row>
    <row r="577" spans="1:8">
      <c r="A577" s="329" t="s">
        <v>1599</v>
      </c>
      <c r="B577" s="329" t="s">
        <v>1600</v>
      </c>
      <c r="C577" s="330">
        <v>779721.90000000014</v>
      </c>
      <c r="D577" s="331"/>
      <c r="E577" s="331"/>
      <c r="F577" s="331"/>
      <c r="G577" s="331"/>
      <c r="H577" s="332">
        <f t="shared" si="8"/>
        <v>779721.90000000014</v>
      </c>
    </row>
    <row r="578" spans="1:8">
      <c r="A578" s="329" t="s">
        <v>1601</v>
      </c>
      <c r="B578" s="331" t="s">
        <v>1602</v>
      </c>
      <c r="C578" s="344">
        <v>1419340.86</v>
      </c>
      <c r="D578" s="331"/>
      <c r="E578" s="331"/>
      <c r="F578" s="331"/>
      <c r="G578" s="331"/>
      <c r="H578" s="332">
        <f t="shared" si="8"/>
        <v>1419340.86</v>
      </c>
    </row>
    <row r="579" spans="1:8">
      <c r="A579" s="331" t="s">
        <v>1603</v>
      </c>
      <c r="B579" s="331" t="s">
        <v>1336</v>
      </c>
      <c r="C579" s="344">
        <v>625769.01000000013</v>
      </c>
      <c r="D579" s="331"/>
      <c r="E579" s="331"/>
      <c r="F579" s="331"/>
      <c r="G579" s="331"/>
      <c r="H579" s="332">
        <f t="shared" si="8"/>
        <v>625769.01000000013</v>
      </c>
    </row>
    <row r="580" spans="1:8">
      <c r="A580" s="331" t="s">
        <v>1604</v>
      </c>
      <c r="B580" s="331" t="s">
        <v>1605</v>
      </c>
      <c r="C580" s="344">
        <v>396515.17</v>
      </c>
      <c r="D580" s="331"/>
      <c r="E580" s="331"/>
      <c r="F580" s="331"/>
      <c r="G580" s="331"/>
      <c r="H580" s="332">
        <f t="shared" si="8"/>
        <v>396515.17</v>
      </c>
    </row>
    <row r="581" spans="1:8">
      <c r="A581" s="331" t="s">
        <v>1606</v>
      </c>
      <c r="B581" s="331" t="s">
        <v>1607</v>
      </c>
      <c r="C581" s="344">
        <v>194583.88999999998</v>
      </c>
      <c r="D581" s="331"/>
      <c r="E581" s="331"/>
      <c r="F581" s="331"/>
      <c r="G581" s="331"/>
      <c r="H581" s="332">
        <f t="shared" si="8"/>
        <v>194583.88999999998</v>
      </c>
    </row>
    <row r="582" spans="1:8">
      <c r="A582" s="331" t="s">
        <v>1608</v>
      </c>
      <c r="B582" s="331" t="s">
        <v>1609</v>
      </c>
      <c r="C582" s="344">
        <v>238638.65000000002</v>
      </c>
      <c r="D582" s="331"/>
      <c r="E582" s="331"/>
      <c r="F582" s="331"/>
      <c r="G582" s="331"/>
      <c r="H582" s="332">
        <f t="shared" si="8"/>
        <v>238638.65000000002</v>
      </c>
    </row>
    <row r="583" spans="1:8">
      <c r="A583" s="331" t="s">
        <v>1610</v>
      </c>
      <c r="B583" s="331" t="s">
        <v>1344</v>
      </c>
      <c r="C583" s="344">
        <v>132994.32999999999</v>
      </c>
      <c r="D583" s="331"/>
      <c r="E583" s="331"/>
      <c r="F583" s="331"/>
      <c r="G583" s="331"/>
      <c r="H583" s="332">
        <f t="shared" si="8"/>
        <v>132994.32999999999</v>
      </c>
    </row>
    <row r="584" spans="1:8">
      <c r="A584" s="331" t="s">
        <v>1611</v>
      </c>
      <c r="B584" s="331" t="s">
        <v>1346</v>
      </c>
      <c r="C584" s="344">
        <v>199491.59999999998</v>
      </c>
      <c r="D584" s="331"/>
      <c r="E584" s="331"/>
      <c r="F584" s="331"/>
      <c r="G584" s="331"/>
      <c r="H584" s="332">
        <f t="shared" si="8"/>
        <v>199491.59999999998</v>
      </c>
    </row>
    <row r="585" spans="1:8">
      <c r="A585" s="331" t="s">
        <v>1612</v>
      </c>
      <c r="B585" s="331" t="s">
        <v>1613</v>
      </c>
      <c r="C585" s="344">
        <v>458944.4</v>
      </c>
      <c r="D585" s="331"/>
      <c r="E585" s="331"/>
      <c r="F585" s="331"/>
      <c r="G585" s="331"/>
      <c r="H585" s="332">
        <f t="shared" si="8"/>
        <v>458944.4</v>
      </c>
    </row>
    <row r="586" spans="1:8">
      <c r="A586" s="331" t="s">
        <v>1614</v>
      </c>
      <c r="B586" s="331" t="s">
        <v>1615</v>
      </c>
      <c r="C586" s="344">
        <v>140031.89000000001</v>
      </c>
      <c r="D586" s="331"/>
      <c r="E586" s="331"/>
      <c r="F586" s="331"/>
      <c r="G586" s="331"/>
      <c r="H586" s="332">
        <f t="shared" si="8"/>
        <v>140031.89000000001</v>
      </c>
    </row>
    <row r="587" spans="1:8">
      <c r="A587" s="331" t="s">
        <v>1616</v>
      </c>
      <c r="B587" s="331" t="s">
        <v>1617</v>
      </c>
      <c r="C587" s="344">
        <v>32219.18</v>
      </c>
      <c r="D587" s="331"/>
      <c r="E587" s="331"/>
      <c r="F587" s="331"/>
      <c r="G587" s="331"/>
      <c r="H587" s="332">
        <f t="shared" si="8"/>
        <v>32219.18</v>
      </c>
    </row>
    <row r="588" spans="1:8">
      <c r="A588" s="336" t="s">
        <v>1618</v>
      </c>
      <c r="B588" s="336" t="s">
        <v>1619</v>
      </c>
      <c r="C588" s="345">
        <f>SUM(C589)</f>
        <v>153197.24000000002</v>
      </c>
      <c r="D588" s="336"/>
      <c r="E588" s="345">
        <f>SUM(E589)</f>
        <v>0</v>
      </c>
      <c r="F588" s="336"/>
      <c r="G588" s="345">
        <f>SUM(G589)</f>
        <v>0</v>
      </c>
      <c r="H588" s="337">
        <f t="shared" si="8"/>
        <v>153197.24000000002</v>
      </c>
    </row>
    <row r="589" spans="1:8">
      <c r="A589" s="331" t="s">
        <v>1620</v>
      </c>
      <c r="B589" s="331" t="s">
        <v>1621</v>
      </c>
      <c r="C589" s="344">
        <v>153197.24000000002</v>
      </c>
      <c r="D589" s="331"/>
      <c r="E589" s="331"/>
      <c r="F589" s="331"/>
      <c r="G589" s="331"/>
      <c r="H589" s="332">
        <f t="shared" ref="H589:H652" si="9">C589+E589-G589</f>
        <v>153197.24000000002</v>
      </c>
    </row>
    <row r="590" spans="1:8">
      <c r="A590" s="336" t="s">
        <v>1622</v>
      </c>
      <c r="B590" s="336" t="s">
        <v>1623</v>
      </c>
      <c r="C590" s="345">
        <f>SUM(C591:C594)</f>
        <v>185474.44000000006</v>
      </c>
      <c r="D590" s="336"/>
      <c r="E590" s="345">
        <f>SUM(E591:E594)</f>
        <v>0</v>
      </c>
      <c r="F590" s="336"/>
      <c r="G590" s="345">
        <f>SUM(G591:G594)</f>
        <v>0</v>
      </c>
      <c r="H590" s="337">
        <f t="shared" si="9"/>
        <v>185474.44000000006</v>
      </c>
    </row>
    <row r="591" spans="1:8">
      <c r="A591" s="331" t="s">
        <v>1624</v>
      </c>
      <c r="B591" s="331" t="s">
        <v>1625</v>
      </c>
      <c r="C591" s="344">
        <v>2659.79</v>
      </c>
      <c r="D591" s="331"/>
      <c r="E591" s="331"/>
      <c r="F591" s="331"/>
      <c r="G591" s="331"/>
      <c r="H591" s="332">
        <f t="shared" si="9"/>
        <v>2659.79</v>
      </c>
    </row>
    <row r="592" spans="1:8">
      <c r="A592" s="331" t="s">
        <v>1626</v>
      </c>
      <c r="B592" s="331" t="s">
        <v>1627</v>
      </c>
      <c r="C592" s="344">
        <v>181801.18000000005</v>
      </c>
      <c r="D592" s="331"/>
      <c r="E592" s="331"/>
      <c r="F592" s="331"/>
      <c r="G592" s="331"/>
      <c r="H592" s="332">
        <f t="shared" si="9"/>
        <v>181801.18000000005</v>
      </c>
    </row>
    <row r="593" spans="1:8">
      <c r="A593" s="331" t="s">
        <v>1628</v>
      </c>
      <c r="B593" s="331" t="s">
        <v>1629</v>
      </c>
      <c r="C593" s="344">
        <v>-2.6000000000000014</v>
      </c>
      <c r="D593" s="331"/>
      <c r="E593" s="331"/>
      <c r="F593" s="331"/>
      <c r="G593" s="331"/>
      <c r="H593" s="332">
        <f t="shared" si="9"/>
        <v>-2.6000000000000014</v>
      </c>
    </row>
    <row r="594" spans="1:8">
      <c r="A594" s="331" t="s">
        <v>1630</v>
      </c>
      <c r="B594" s="331" t="s">
        <v>1631</v>
      </c>
      <c r="C594" s="344">
        <v>1016.0700000000002</v>
      </c>
      <c r="D594" s="331"/>
      <c r="E594" s="331"/>
      <c r="F594" s="331"/>
      <c r="G594" s="331"/>
      <c r="H594" s="332">
        <f t="shared" si="9"/>
        <v>1016.0700000000002</v>
      </c>
    </row>
    <row r="595" spans="1:8">
      <c r="A595" s="323" t="s">
        <v>1632</v>
      </c>
      <c r="B595" s="323" t="s">
        <v>1633</v>
      </c>
      <c r="C595" s="346">
        <f>C596+C600+C605+C612+C617+C619+C622+C625+C644+C646</f>
        <v>25276623.840000004</v>
      </c>
      <c r="D595" s="323"/>
      <c r="E595" s="346">
        <f>E596+E600+E605+E612+E617+E619+E622+E625+E644+E646</f>
        <v>128386.75</v>
      </c>
      <c r="F595" s="323"/>
      <c r="G595" s="346">
        <f>G596+G600+G605+G612+G617+G619+G622+G625+G644+G646</f>
        <v>24361.94</v>
      </c>
      <c r="H595" s="324">
        <f t="shared" si="9"/>
        <v>25380648.650000002</v>
      </c>
    </row>
    <row r="596" spans="1:8">
      <c r="A596" s="336" t="s">
        <v>1634</v>
      </c>
      <c r="B596" s="336" t="s">
        <v>1635</v>
      </c>
      <c r="C596" s="345">
        <f>SUM(C597:C599)</f>
        <v>12958035.550000001</v>
      </c>
      <c r="D596" s="336"/>
      <c r="E596" s="345">
        <f>SUM(E597:E599)</f>
        <v>0</v>
      </c>
      <c r="F596" s="336"/>
      <c r="G596" s="345">
        <f>SUM(G597:G599)</f>
        <v>0</v>
      </c>
      <c r="H596" s="337">
        <f t="shared" si="9"/>
        <v>12958035.550000001</v>
      </c>
    </row>
    <row r="597" spans="1:8">
      <c r="A597" s="331" t="s">
        <v>1636</v>
      </c>
      <c r="B597" s="331" t="s">
        <v>1637</v>
      </c>
      <c r="C597" s="344">
        <v>11489197.16</v>
      </c>
      <c r="D597" s="331"/>
      <c r="E597" s="331"/>
      <c r="F597" s="331"/>
      <c r="G597" s="331"/>
      <c r="H597" s="332">
        <f t="shared" si="9"/>
        <v>11489197.16</v>
      </c>
    </row>
    <row r="598" spans="1:8">
      <c r="A598" s="331" t="s">
        <v>1638</v>
      </c>
      <c r="B598" s="331" t="s">
        <v>1639</v>
      </c>
      <c r="C598" s="344">
        <v>1350493.5900000003</v>
      </c>
      <c r="D598" s="331"/>
      <c r="E598" s="331"/>
      <c r="F598" s="331"/>
      <c r="G598" s="331"/>
      <c r="H598" s="332">
        <f t="shared" si="9"/>
        <v>1350493.5900000003</v>
      </c>
    </row>
    <row r="599" spans="1:8">
      <c r="A599" s="331" t="s">
        <v>1640</v>
      </c>
      <c r="B599" s="331" t="s">
        <v>1641</v>
      </c>
      <c r="C599" s="344">
        <v>118344.8</v>
      </c>
      <c r="D599" s="331"/>
      <c r="E599" s="331"/>
      <c r="F599" s="331"/>
      <c r="G599" s="331"/>
      <c r="H599" s="332">
        <f t="shared" si="9"/>
        <v>118344.8</v>
      </c>
    </row>
    <row r="600" spans="1:8">
      <c r="A600" s="336" t="s">
        <v>1642</v>
      </c>
      <c r="B600" s="336" t="s">
        <v>1643</v>
      </c>
      <c r="C600" s="345">
        <f>SUM(C601:C604)</f>
        <v>3449343.1000000006</v>
      </c>
      <c r="D600" s="336"/>
      <c r="E600" s="345">
        <f>SUM(E601:E604)</f>
        <v>0</v>
      </c>
      <c r="F600" s="336"/>
      <c r="G600" s="345">
        <f>SUM(G601:G604)</f>
        <v>0</v>
      </c>
      <c r="H600" s="337">
        <f t="shared" si="9"/>
        <v>3449343.1000000006</v>
      </c>
    </row>
    <row r="601" spans="1:8">
      <c r="A601" s="331" t="s">
        <v>1644</v>
      </c>
      <c r="B601" s="331" t="s">
        <v>1645</v>
      </c>
      <c r="C601" s="344">
        <v>655148.70000000019</v>
      </c>
      <c r="D601" s="331"/>
      <c r="E601" s="331"/>
      <c r="F601" s="331"/>
      <c r="G601" s="331"/>
      <c r="H601" s="332">
        <f t="shared" si="9"/>
        <v>655148.70000000019</v>
      </c>
    </row>
    <row r="602" spans="1:8">
      <c r="A602" s="331" t="s">
        <v>1646</v>
      </c>
      <c r="B602" s="331" t="s">
        <v>1647</v>
      </c>
      <c r="C602" s="344">
        <v>6633.2000000000007</v>
      </c>
      <c r="D602" s="331"/>
      <c r="E602" s="331"/>
      <c r="F602" s="331"/>
      <c r="G602" s="331"/>
      <c r="H602" s="332">
        <f t="shared" si="9"/>
        <v>6633.2000000000007</v>
      </c>
    </row>
    <row r="603" spans="1:8">
      <c r="A603" s="331" t="s">
        <v>1648</v>
      </c>
      <c r="B603" s="331" t="s">
        <v>1649</v>
      </c>
      <c r="C603" s="344">
        <v>440387.80000000005</v>
      </c>
      <c r="D603" s="331"/>
      <c r="E603" s="331"/>
      <c r="F603" s="331"/>
      <c r="G603" s="331"/>
      <c r="H603" s="332">
        <f t="shared" si="9"/>
        <v>440387.80000000005</v>
      </c>
    </row>
    <row r="604" spans="1:8">
      <c r="A604" s="331" t="s">
        <v>1650</v>
      </c>
      <c r="B604" s="331" t="s">
        <v>1651</v>
      </c>
      <c r="C604" s="344">
        <v>2347173.4000000004</v>
      </c>
      <c r="D604" s="331"/>
      <c r="E604" s="331"/>
      <c r="F604" s="331"/>
      <c r="G604" s="331"/>
      <c r="H604" s="332">
        <f t="shared" si="9"/>
        <v>2347173.4000000004</v>
      </c>
    </row>
    <row r="605" spans="1:8">
      <c r="A605" s="336" t="s">
        <v>1652</v>
      </c>
      <c r="B605" s="336" t="s">
        <v>1653</v>
      </c>
      <c r="C605" s="345">
        <f>SUM(C606:C611)</f>
        <v>1621066.7400000002</v>
      </c>
      <c r="D605" s="336"/>
      <c r="E605" s="345">
        <f>SUM(E606:E611)</f>
        <v>0</v>
      </c>
      <c r="F605" s="336"/>
      <c r="G605" s="345">
        <f>SUM(G606:G611)</f>
        <v>0</v>
      </c>
      <c r="H605" s="337">
        <f t="shared" si="9"/>
        <v>1621066.7400000002</v>
      </c>
    </row>
    <row r="606" spans="1:8">
      <c r="A606" s="331" t="s">
        <v>1654</v>
      </c>
      <c r="B606" s="331" t="s">
        <v>1655</v>
      </c>
      <c r="C606" s="344">
        <v>2000</v>
      </c>
      <c r="D606" s="331"/>
      <c r="E606" s="331"/>
      <c r="F606" s="331"/>
      <c r="G606" s="331"/>
      <c r="H606" s="332">
        <f t="shared" si="9"/>
        <v>2000</v>
      </c>
    </row>
    <row r="607" spans="1:8">
      <c r="A607" s="331" t="s">
        <v>1656</v>
      </c>
      <c r="B607" s="331" t="s">
        <v>1657</v>
      </c>
      <c r="C607" s="344">
        <v>31150.300000000003</v>
      </c>
      <c r="D607" s="331"/>
      <c r="E607" s="331"/>
      <c r="F607" s="331"/>
      <c r="G607" s="331"/>
      <c r="H607" s="332">
        <f t="shared" si="9"/>
        <v>31150.300000000003</v>
      </c>
    </row>
    <row r="608" spans="1:8">
      <c r="A608" s="331" t="s">
        <v>1658</v>
      </c>
      <c r="B608" s="331" t="s">
        <v>1659</v>
      </c>
      <c r="C608" s="344">
        <v>295</v>
      </c>
      <c r="D608" s="331"/>
      <c r="E608" s="331"/>
      <c r="F608" s="331"/>
      <c r="G608" s="331"/>
      <c r="H608" s="332">
        <f t="shared" si="9"/>
        <v>295</v>
      </c>
    </row>
    <row r="609" spans="1:11">
      <c r="A609" s="331" t="s">
        <v>1660</v>
      </c>
      <c r="B609" s="331" t="s">
        <v>1661</v>
      </c>
      <c r="C609" s="344">
        <v>1426107.4400000002</v>
      </c>
      <c r="D609" s="331"/>
      <c r="E609" s="331"/>
      <c r="F609" s="331"/>
      <c r="G609" s="331"/>
      <c r="H609" s="332">
        <f t="shared" si="9"/>
        <v>1426107.4400000002</v>
      </c>
    </row>
    <row r="610" spans="1:11">
      <c r="A610" s="331" t="s">
        <v>1662</v>
      </c>
      <c r="B610" s="331" t="s">
        <v>1663</v>
      </c>
      <c r="C610" s="344">
        <v>30534</v>
      </c>
      <c r="D610" s="331"/>
      <c r="E610" s="331"/>
      <c r="F610" s="331"/>
      <c r="G610" s="331"/>
      <c r="H610" s="332">
        <f t="shared" si="9"/>
        <v>30534</v>
      </c>
    </row>
    <row r="611" spans="1:11">
      <c r="A611" s="331" t="s">
        <v>1664</v>
      </c>
      <c r="B611" s="331" t="s">
        <v>1665</v>
      </c>
      <c r="C611" s="344">
        <v>130980</v>
      </c>
      <c r="D611" s="331"/>
      <c r="E611" s="331"/>
      <c r="F611" s="331"/>
      <c r="G611" s="331"/>
      <c r="H611" s="332">
        <f t="shared" si="9"/>
        <v>130980</v>
      </c>
    </row>
    <row r="612" spans="1:11">
      <c r="A612" s="336" t="s">
        <v>1666</v>
      </c>
      <c r="B612" s="336" t="s">
        <v>1667</v>
      </c>
      <c r="C612" s="345">
        <f>SUM(C613:C616)</f>
        <v>9693.5</v>
      </c>
      <c r="D612" s="336"/>
      <c r="E612" s="345">
        <f>SUM(E613:E616)</f>
        <v>0</v>
      </c>
      <c r="F612" s="336"/>
      <c r="G612" s="345">
        <f>SUM(G613:G616)</f>
        <v>0</v>
      </c>
      <c r="H612" s="337">
        <f t="shared" si="9"/>
        <v>9693.5</v>
      </c>
    </row>
    <row r="613" spans="1:11">
      <c r="A613" s="331" t="s">
        <v>1668</v>
      </c>
      <c r="B613" s="331" t="s">
        <v>1669</v>
      </c>
      <c r="C613" s="344">
        <v>2810</v>
      </c>
      <c r="D613" s="331"/>
      <c r="E613" s="331"/>
      <c r="F613" s="331"/>
      <c r="G613" s="331"/>
      <c r="H613" s="332">
        <f t="shared" si="9"/>
        <v>2810</v>
      </c>
      <c r="K613" s="312">
        <f>H613</f>
        <v>2810</v>
      </c>
    </row>
    <row r="614" spans="1:11">
      <c r="A614" s="331" t="s">
        <v>1670</v>
      </c>
      <c r="B614" s="331" t="s">
        <v>1671</v>
      </c>
      <c r="C614" s="344">
        <v>2213.5</v>
      </c>
      <c r="D614" s="331"/>
      <c r="E614" s="331"/>
      <c r="F614" s="331"/>
      <c r="G614" s="331"/>
      <c r="H614" s="332">
        <f t="shared" si="9"/>
        <v>2213.5</v>
      </c>
      <c r="K614" s="312">
        <f>H614</f>
        <v>2213.5</v>
      </c>
    </row>
    <row r="615" spans="1:11">
      <c r="A615" s="331" t="s">
        <v>1672</v>
      </c>
      <c r="B615" s="331" t="s">
        <v>1673</v>
      </c>
      <c r="C615" s="344">
        <v>3950</v>
      </c>
      <c r="D615" s="331"/>
      <c r="E615" s="331"/>
      <c r="F615" s="331"/>
      <c r="G615" s="331"/>
      <c r="H615" s="332">
        <f t="shared" si="9"/>
        <v>3950</v>
      </c>
    </row>
    <row r="616" spans="1:11">
      <c r="A616" s="331" t="s">
        <v>1674</v>
      </c>
      <c r="B616" s="331" t="s">
        <v>1675</v>
      </c>
      <c r="C616" s="344">
        <v>720</v>
      </c>
      <c r="D616" s="331"/>
      <c r="E616" s="331"/>
      <c r="F616" s="331"/>
      <c r="G616" s="331"/>
      <c r="H616" s="332">
        <f t="shared" si="9"/>
        <v>720</v>
      </c>
    </row>
    <row r="617" spans="1:11">
      <c r="A617" s="336" t="s">
        <v>1676</v>
      </c>
      <c r="B617" s="336" t="s">
        <v>1677</v>
      </c>
      <c r="C617" s="345">
        <f>SUM(C618)</f>
        <v>80040</v>
      </c>
      <c r="D617" s="336"/>
      <c r="E617" s="345">
        <f>SUM(E618)</f>
        <v>0</v>
      </c>
      <c r="F617" s="336"/>
      <c r="G617" s="345">
        <f>SUM(G618)</f>
        <v>0</v>
      </c>
      <c r="H617" s="337">
        <f t="shared" si="9"/>
        <v>80040</v>
      </c>
    </row>
    <row r="618" spans="1:11">
      <c r="A618" s="331" t="s">
        <v>1678</v>
      </c>
      <c r="B618" s="331" t="s">
        <v>1679</v>
      </c>
      <c r="C618" s="344">
        <v>80040</v>
      </c>
      <c r="D618" s="331"/>
      <c r="E618" s="331"/>
      <c r="F618" s="331"/>
      <c r="G618" s="331"/>
      <c r="H618" s="332">
        <f t="shared" si="9"/>
        <v>80040</v>
      </c>
    </row>
    <row r="619" spans="1:11">
      <c r="A619" s="336" t="s">
        <v>1680</v>
      </c>
      <c r="B619" s="336" t="s">
        <v>1681</v>
      </c>
      <c r="C619" s="345">
        <f>SUM(C620:C621)</f>
        <v>29972.179999999997</v>
      </c>
      <c r="D619" s="336"/>
      <c r="E619" s="345">
        <f>SUM(E620:E621)</f>
        <v>0</v>
      </c>
      <c r="F619" s="336"/>
      <c r="G619" s="345">
        <f>SUM(G620:G621)</f>
        <v>0</v>
      </c>
      <c r="H619" s="337">
        <f t="shared" si="9"/>
        <v>29972.179999999997</v>
      </c>
    </row>
    <row r="620" spans="1:11">
      <c r="A620" s="331" t="s">
        <v>1682</v>
      </c>
      <c r="B620" s="331" t="s">
        <v>1683</v>
      </c>
      <c r="C620" s="344">
        <v>26154.679999999997</v>
      </c>
      <c r="D620" s="331"/>
      <c r="E620" s="331"/>
      <c r="F620" s="331"/>
      <c r="G620" s="331"/>
      <c r="H620" s="332">
        <f t="shared" si="9"/>
        <v>26154.679999999997</v>
      </c>
    </row>
    <row r="621" spans="1:11">
      <c r="A621" s="331" t="s">
        <v>1684</v>
      </c>
      <c r="B621" s="331" t="s">
        <v>1685</v>
      </c>
      <c r="C621" s="344">
        <v>3817.4999999999995</v>
      </c>
      <c r="D621" s="331"/>
      <c r="E621" s="331"/>
      <c r="F621" s="331"/>
      <c r="G621" s="331"/>
      <c r="H621" s="332">
        <f t="shared" si="9"/>
        <v>3817.4999999999995</v>
      </c>
    </row>
    <row r="622" spans="1:11">
      <c r="A622" s="336" t="s">
        <v>1686</v>
      </c>
      <c r="B622" s="336" t="s">
        <v>1687</v>
      </c>
      <c r="C622" s="345">
        <f>SUM(C623:C624)</f>
        <v>216197.12</v>
      </c>
      <c r="D622" s="336"/>
      <c r="E622" s="345">
        <f>SUM(E623:E624)</f>
        <v>0</v>
      </c>
      <c r="F622" s="336"/>
      <c r="G622" s="345">
        <f>SUM(G623:G624)</f>
        <v>0</v>
      </c>
      <c r="H622" s="337">
        <f t="shared" si="9"/>
        <v>216197.12</v>
      </c>
    </row>
    <row r="623" spans="1:11">
      <c r="A623" s="331" t="s">
        <v>1688</v>
      </c>
      <c r="B623" s="331" t="s">
        <v>1689</v>
      </c>
      <c r="C623" s="344">
        <v>109215.31</v>
      </c>
      <c r="D623" s="331"/>
      <c r="E623" s="331"/>
      <c r="F623" s="331"/>
      <c r="G623" s="331"/>
      <c r="H623" s="332">
        <f t="shared" si="9"/>
        <v>109215.31</v>
      </c>
    </row>
    <row r="624" spans="1:11">
      <c r="A624" s="331" t="s">
        <v>1690</v>
      </c>
      <c r="B624" s="331" t="s">
        <v>1691</v>
      </c>
      <c r="C624" s="344">
        <v>106981.81</v>
      </c>
      <c r="D624" s="331"/>
      <c r="E624" s="331"/>
      <c r="F624" s="331"/>
      <c r="G624" s="331"/>
      <c r="H624" s="332">
        <f t="shared" si="9"/>
        <v>106981.81</v>
      </c>
    </row>
    <row r="625" spans="1:10">
      <c r="A625" s="336" t="s">
        <v>1692</v>
      </c>
      <c r="B625" s="336" t="s">
        <v>1693</v>
      </c>
      <c r="C625" s="345">
        <f>SUM(C626:C643)</f>
        <v>4197836.16</v>
      </c>
      <c r="D625" s="336"/>
      <c r="E625" s="345">
        <f>SUM(E626:E643)</f>
        <v>0</v>
      </c>
      <c r="F625" s="336"/>
      <c r="G625" s="345">
        <f>SUM(G626:G643)</f>
        <v>0</v>
      </c>
      <c r="H625" s="337">
        <f t="shared" si="9"/>
        <v>4197836.16</v>
      </c>
    </row>
    <row r="626" spans="1:10">
      <c r="A626" s="331" t="s">
        <v>1694</v>
      </c>
      <c r="B626" s="331" t="s">
        <v>1695</v>
      </c>
      <c r="C626" s="344">
        <v>200</v>
      </c>
      <c r="D626" s="331"/>
      <c r="E626" s="331"/>
      <c r="F626" s="331"/>
      <c r="G626" s="331"/>
      <c r="H626" s="332">
        <f t="shared" si="9"/>
        <v>200</v>
      </c>
    </row>
    <row r="627" spans="1:10">
      <c r="A627" s="331" t="s">
        <v>1696</v>
      </c>
      <c r="B627" s="331" t="s">
        <v>1697</v>
      </c>
      <c r="C627" s="344">
        <v>193858.38</v>
      </c>
      <c r="D627" s="331"/>
      <c r="E627" s="331"/>
      <c r="F627" s="331"/>
      <c r="G627" s="331"/>
      <c r="H627" s="332">
        <f t="shared" si="9"/>
        <v>193858.38</v>
      </c>
    </row>
    <row r="628" spans="1:10">
      <c r="A628" s="331" t="s">
        <v>1698</v>
      </c>
      <c r="B628" s="331" t="s">
        <v>1699</v>
      </c>
      <c r="C628" s="344">
        <v>95611.800000000017</v>
      </c>
      <c r="D628" s="331"/>
      <c r="E628" s="331"/>
      <c r="F628" s="331"/>
      <c r="G628" s="331"/>
      <c r="H628" s="332">
        <f t="shared" si="9"/>
        <v>95611.800000000017</v>
      </c>
    </row>
    <row r="629" spans="1:10">
      <c r="A629" s="331" t="s">
        <v>1700</v>
      </c>
      <c r="B629" s="331" t="s">
        <v>1701</v>
      </c>
      <c r="C629" s="344">
        <v>651869.03</v>
      </c>
      <c r="D629" s="331"/>
      <c r="E629" s="331"/>
      <c r="F629" s="331"/>
      <c r="G629" s="331"/>
      <c r="H629" s="332">
        <f t="shared" si="9"/>
        <v>651869.03</v>
      </c>
    </row>
    <row r="630" spans="1:10">
      <c r="A630" s="331" t="s">
        <v>1702</v>
      </c>
      <c r="B630" s="331" t="s">
        <v>1703</v>
      </c>
      <c r="C630" s="344">
        <v>66785.350000000006</v>
      </c>
      <c r="D630" s="331"/>
      <c r="E630" s="331"/>
      <c r="F630" s="331"/>
      <c r="G630" s="331"/>
      <c r="H630" s="332">
        <f t="shared" si="9"/>
        <v>66785.350000000006</v>
      </c>
    </row>
    <row r="631" spans="1:10">
      <c r="A631" s="331" t="s">
        <v>1704</v>
      </c>
      <c r="B631" s="331" t="s">
        <v>1705</v>
      </c>
      <c r="C631" s="344">
        <v>85581.1</v>
      </c>
      <c r="D631" s="331"/>
      <c r="E631" s="331"/>
      <c r="F631" s="331"/>
      <c r="G631" s="331"/>
      <c r="H631" s="332">
        <f t="shared" si="9"/>
        <v>85581.1</v>
      </c>
    </row>
    <row r="632" spans="1:10">
      <c r="A632" s="331" t="s">
        <v>1706</v>
      </c>
      <c r="B632" s="331" t="s">
        <v>1707</v>
      </c>
      <c r="C632" s="344">
        <v>34308.259999999995</v>
      </c>
      <c r="D632" s="331"/>
      <c r="E632" s="331"/>
      <c r="F632" s="331"/>
      <c r="G632" s="331"/>
      <c r="H632" s="332">
        <f t="shared" si="9"/>
        <v>34308.259999999995</v>
      </c>
    </row>
    <row r="633" spans="1:10">
      <c r="A633" s="331" t="s">
        <v>1708</v>
      </c>
      <c r="B633" s="331" t="s">
        <v>1709</v>
      </c>
      <c r="C633" s="344">
        <v>674990.22</v>
      </c>
      <c r="D633" s="331"/>
      <c r="E633" s="331"/>
      <c r="F633" s="331"/>
      <c r="G633" s="331"/>
      <c r="H633" s="332">
        <f t="shared" si="9"/>
        <v>674990.22</v>
      </c>
    </row>
    <row r="634" spans="1:10">
      <c r="A634" s="331" t="s">
        <v>1710</v>
      </c>
      <c r="B634" s="331" t="s">
        <v>1711</v>
      </c>
      <c r="C634" s="344">
        <v>8231.6999999999989</v>
      </c>
      <c r="D634" s="331"/>
      <c r="E634" s="331"/>
      <c r="F634" s="331"/>
      <c r="G634" s="331"/>
      <c r="H634" s="332">
        <f t="shared" si="9"/>
        <v>8231.6999999999989</v>
      </c>
    </row>
    <row r="635" spans="1:10">
      <c r="A635" s="331" t="s">
        <v>1712</v>
      </c>
      <c r="B635" s="331" t="s">
        <v>1713</v>
      </c>
      <c r="C635" s="344">
        <v>216253.7</v>
      </c>
      <c r="D635" s="331"/>
      <c r="E635" s="331"/>
      <c r="F635" s="331"/>
      <c r="G635" s="331"/>
      <c r="H635" s="332">
        <f t="shared" si="9"/>
        <v>216253.7</v>
      </c>
    </row>
    <row r="636" spans="1:10">
      <c r="A636" s="331" t="s">
        <v>1714</v>
      </c>
      <c r="B636" s="331" t="s">
        <v>1715</v>
      </c>
      <c r="C636" s="344">
        <v>89755.81</v>
      </c>
      <c r="D636" s="331"/>
      <c r="E636" s="331"/>
      <c r="F636" s="331"/>
      <c r="G636" s="331"/>
      <c r="H636" s="332">
        <f t="shared" si="9"/>
        <v>89755.81</v>
      </c>
    </row>
    <row r="637" spans="1:10">
      <c r="A637" s="331" t="s">
        <v>1716</v>
      </c>
      <c r="B637" s="331" t="s">
        <v>789</v>
      </c>
      <c r="C637" s="344">
        <v>1151596.1400000001</v>
      </c>
      <c r="D637" s="331"/>
      <c r="E637" s="331"/>
      <c r="F637" s="331"/>
      <c r="G637" s="331"/>
      <c r="H637" s="332">
        <f t="shared" si="9"/>
        <v>1151596.1400000001</v>
      </c>
    </row>
    <row r="638" spans="1:10">
      <c r="A638" s="331" t="s">
        <v>1717</v>
      </c>
      <c r="B638" s="331" t="s">
        <v>1718</v>
      </c>
      <c r="C638" s="344">
        <v>29101.5</v>
      </c>
      <c r="D638" s="331"/>
      <c r="E638" s="331"/>
      <c r="F638" s="331"/>
      <c r="G638" s="331"/>
      <c r="H638" s="332">
        <f t="shared" si="9"/>
        <v>29101.5</v>
      </c>
    </row>
    <row r="639" spans="1:10">
      <c r="A639" s="331" t="s">
        <v>1719</v>
      </c>
      <c r="B639" s="331" t="s">
        <v>1720</v>
      </c>
      <c r="C639" s="344">
        <v>6482.47</v>
      </c>
      <c r="D639" s="331"/>
      <c r="E639" s="331"/>
      <c r="F639" s="331"/>
      <c r="G639" s="331"/>
      <c r="H639" s="332">
        <f t="shared" si="9"/>
        <v>6482.47</v>
      </c>
    </row>
    <row r="640" spans="1:10">
      <c r="A640" s="331" t="s">
        <v>1721</v>
      </c>
      <c r="B640" s="331" t="s">
        <v>1722</v>
      </c>
      <c r="C640" s="344">
        <v>646057.96999999986</v>
      </c>
      <c r="D640" s="331"/>
      <c r="E640" s="331"/>
      <c r="F640" s="331"/>
      <c r="G640" s="331"/>
      <c r="H640" s="332">
        <f t="shared" si="9"/>
        <v>646057.96999999986</v>
      </c>
      <c r="J640" s="324">
        <f>H640</f>
        <v>646057.96999999986</v>
      </c>
    </row>
    <row r="641" spans="1:10">
      <c r="A641" s="331" t="s">
        <v>1723</v>
      </c>
      <c r="B641" s="331" t="s">
        <v>1724</v>
      </c>
      <c r="C641" s="344">
        <v>49215.81</v>
      </c>
      <c r="D641" s="331"/>
      <c r="E641" s="331"/>
      <c r="F641" s="331"/>
      <c r="G641" s="331"/>
      <c r="H641" s="332">
        <f t="shared" si="9"/>
        <v>49215.81</v>
      </c>
    </row>
    <row r="642" spans="1:10">
      <c r="A642" s="331" t="s">
        <v>1725</v>
      </c>
      <c r="B642" s="331" t="s">
        <v>1726</v>
      </c>
      <c r="C642" s="344">
        <v>109476.70999999999</v>
      </c>
      <c r="D642" s="331"/>
      <c r="E642" s="331"/>
      <c r="F642" s="331"/>
      <c r="G642" s="331"/>
      <c r="H642" s="332">
        <f t="shared" si="9"/>
        <v>109476.70999999999</v>
      </c>
    </row>
    <row r="643" spans="1:10">
      <c r="A643" s="331" t="s">
        <v>1727</v>
      </c>
      <c r="B643" s="331" t="s">
        <v>1726</v>
      </c>
      <c r="C643" s="344">
        <v>88460.21</v>
      </c>
      <c r="D643" s="331"/>
      <c r="E643" s="331"/>
      <c r="F643" s="331"/>
      <c r="G643" s="331"/>
      <c r="H643" s="332">
        <f t="shared" si="9"/>
        <v>88460.21</v>
      </c>
    </row>
    <row r="644" spans="1:10">
      <c r="A644" s="336" t="s">
        <v>1728</v>
      </c>
      <c r="B644" s="336" t="s">
        <v>1729</v>
      </c>
      <c r="C644" s="345">
        <f>SUM(C645)</f>
        <v>1633563.1900000002</v>
      </c>
      <c r="D644" s="336"/>
      <c r="E644" s="345">
        <f>SUM(E645)</f>
        <v>128386.75</v>
      </c>
      <c r="F644" s="336"/>
      <c r="G644" s="345">
        <f>SUM(G645)</f>
        <v>24361.94</v>
      </c>
      <c r="H644" s="337">
        <f t="shared" si="9"/>
        <v>1737588.0000000002</v>
      </c>
    </row>
    <row r="645" spans="1:10">
      <c r="A645" s="331" t="s">
        <v>1730</v>
      </c>
      <c r="B645" s="331" t="s">
        <v>1731</v>
      </c>
      <c r="C645" s="344">
        <v>1633563.1900000002</v>
      </c>
      <c r="D645" s="331"/>
      <c r="E645" s="351">
        <f>63538+64848.75</f>
        <v>128386.75</v>
      </c>
      <c r="F645" s="331"/>
      <c r="G645" s="331">
        <v>24361.94</v>
      </c>
      <c r="H645" s="332">
        <f t="shared" si="9"/>
        <v>1737588.0000000002</v>
      </c>
    </row>
    <row r="646" spans="1:10">
      <c r="A646" s="336" t="s">
        <v>1732</v>
      </c>
      <c r="B646" s="336" t="s">
        <v>1733</v>
      </c>
      <c r="C646" s="345">
        <f>SUM(C647:C651)</f>
        <v>1080876.3</v>
      </c>
      <c r="D646" s="336"/>
      <c r="E646" s="345">
        <f>SUM(E647:E651)</f>
        <v>0</v>
      </c>
      <c r="F646" s="336"/>
      <c r="G646" s="345">
        <f>SUM(G647:G651)</f>
        <v>0</v>
      </c>
      <c r="H646" s="337">
        <f t="shared" si="9"/>
        <v>1080876.3</v>
      </c>
      <c r="J646" s="324"/>
    </row>
    <row r="647" spans="1:10">
      <c r="A647" s="331" t="s">
        <v>1734</v>
      </c>
      <c r="B647" s="331" t="s">
        <v>1735</v>
      </c>
      <c r="C647" s="344">
        <v>401244.88</v>
      </c>
      <c r="D647" s="331"/>
      <c r="E647" s="331"/>
      <c r="F647" s="331"/>
      <c r="G647" s="331"/>
      <c r="H647" s="332">
        <f t="shared" si="9"/>
        <v>401244.88</v>
      </c>
    </row>
    <row r="648" spans="1:10">
      <c r="A648" s="331" t="s">
        <v>1736</v>
      </c>
      <c r="B648" s="331" t="s">
        <v>1737</v>
      </c>
      <c r="C648" s="344">
        <v>152298.25000000003</v>
      </c>
      <c r="D648" s="331"/>
      <c r="E648" s="331"/>
      <c r="F648" s="331"/>
      <c r="G648" s="331"/>
      <c r="H648" s="332">
        <f t="shared" si="9"/>
        <v>152298.25000000003</v>
      </c>
    </row>
    <row r="649" spans="1:10">
      <c r="A649" s="331" t="s">
        <v>1738</v>
      </c>
      <c r="B649" s="331" t="s">
        <v>1739</v>
      </c>
      <c r="C649" s="344">
        <v>2746.75</v>
      </c>
      <c r="D649" s="331"/>
      <c r="E649" s="331"/>
      <c r="F649" s="331"/>
      <c r="G649" s="331"/>
      <c r="H649" s="332">
        <f t="shared" si="9"/>
        <v>2746.75</v>
      </c>
    </row>
    <row r="650" spans="1:10">
      <c r="A650" s="331" t="s">
        <v>1740</v>
      </c>
      <c r="B650" s="331" t="s">
        <v>1741</v>
      </c>
      <c r="C650" s="344">
        <v>70544.540000000023</v>
      </c>
      <c r="D650" s="331"/>
      <c r="E650" s="331"/>
      <c r="F650" s="331"/>
      <c r="G650" s="331"/>
      <c r="H650" s="332">
        <f t="shared" si="9"/>
        <v>70544.540000000023</v>
      </c>
    </row>
    <row r="651" spans="1:10">
      <c r="A651" s="331" t="s">
        <v>1742</v>
      </c>
      <c r="B651" s="331" t="s">
        <v>1743</v>
      </c>
      <c r="C651" s="344">
        <v>454041.88</v>
      </c>
      <c r="D651" s="331"/>
      <c r="E651" s="331"/>
      <c r="F651" s="331"/>
      <c r="G651" s="331"/>
      <c r="H651" s="332">
        <f t="shared" si="9"/>
        <v>454041.88</v>
      </c>
    </row>
    <row r="652" spans="1:10">
      <c r="A652" s="323" t="s">
        <v>1744</v>
      </c>
      <c r="B652" s="323" t="s">
        <v>1745</v>
      </c>
      <c r="C652" s="346">
        <f>C653+C657+C661+C668+C675+C677+C682+C686+C713</f>
        <v>19746853.020000003</v>
      </c>
      <c r="D652" s="323"/>
      <c r="E652" s="346">
        <f>E653+E657+E661+E668+E675+E677+E682+E686+E713</f>
        <v>623961.04</v>
      </c>
      <c r="F652" s="323"/>
      <c r="G652" s="346">
        <f>G653+G657+G661+G668+G675+G677+G682+G686+G713</f>
        <v>1156210</v>
      </c>
      <c r="H652" s="324">
        <f t="shared" si="9"/>
        <v>19214604.060000002</v>
      </c>
      <c r="J652" s="346"/>
    </row>
    <row r="653" spans="1:10">
      <c r="A653" s="336" t="s">
        <v>1746</v>
      </c>
      <c r="B653" s="336" t="s">
        <v>1747</v>
      </c>
      <c r="C653" s="345">
        <f>SUM(C654:C656)</f>
        <v>6684242.879999999</v>
      </c>
      <c r="D653" s="336"/>
      <c r="E653" s="345">
        <f>SUM(E654:E656)</f>
        <v>0</v>
      </c>
      <c r="F653" s="336"/>
      <c r="G653" s="345">
        <f>SUM(G654:G656)</f>
        <v>0</v>
      </c>
      <c r="H653" s="337">
        <f t="shared" ref="H653:H716" si="10">C653+E653-G653</f>
        <v>6684242.879999999</v>
      </c>
      <c r="J653" s="324"/>
    </row>
    <row r="654" spans="1:10">
      <c r="A654" s="331" t="s">
        <v>1748</v>
      </c>
      <c r="B654" s="331" t="s">
        <v>1637</v>
      </c>
      <c r="C654" s="344">
        <v>6182916.7699999996</v>
      </c>
      <c r="D654" s="331"/>
      <c r="E654" s="331"/>
      <c r="F654" s="331"/>
      <c r="G654" s="331"/>
      <c r="H654" s="332">
        <f t="shared" si="10"/>
        <v>6182916.7699999996</v>
      </c>
    </row>
    <row r="655" spans="1:10">
      <c r="A655" s="331" t="s">
        <v>1749</v>
      </c>
      <c r="B655" s="331" t="s">
        <v>1750</v>
      </c>
      <c r="C655" s="344">
        <v>446198.1</v>
      </c>
      <c r="D655" s="331"/>
      <c r="E655" s="331"/>
      <c r="F655" s="331"/>
      <c r="G655" s="331"/>
      <c r="H655" s="332">
        <f t="shared" si="10"/>
        <v>446198.1</v>
      </c>
    </row>
    <row r="656" spans="1:10">
      <c r="A656" s="331" t="s">
        <v>1751</v>
      </c>
      <c r="B656" s="331" t="s">
        <v>1752</v>
      </c>
      <c r="C656" s="344">
        <v>55128.01</v>
      </c>
      <c r="D656" s="331"/>
      <c r="E656" s="331"/>
      <c r="F656" s="331"/>
      <c r="G656" s="331"/>
      <c r="H656" s="332">
        <f t="shared" si="10"/>
        <v>55128.01</v>
      </c>
    </row>
    <row r="657" spans="1:11">
      <c r="A657" s="336" t="s">
        <v>1753</v>
      </c>
      <c r="B657" s="336" t="s">
        <v>1754</v>
      </c>
      <c r="C657" s="345">
        <f>SUM(C658:C660)</f>
        <v>1252944.3700000001</v>
      </c>
      <c r="D657" s="336"/>
      <c r="E657" s="345">
        <f>SUM(E658:E660)</f>
        <v>0</v>
      </c>
      <c r="F657" s="336"/>
      <c r="G657" s="345">
        <f>SUM(G658:G660)</f>
        <v>0</v>
      </c>
      <c r="H657" s="337">
        <f t="shared" si="10"/>
        <v>1252944.3700000001</v>
      </c>
    </row>
    <row r="658" spans="1:11">
      <c r="A658" s="331" t="s">
        <v>1755</v>
      </c>
      <c r="B658" s="331" t="s">
        <v>1756</v>
      </c>
      <c r="C658" s="344">
        <v>172261.1</v>
      </c>
      <c r="D658" s="331"/>
      <c r="E658" s="331"/>
      <c r="F658" s="331"/>
      <c r="G658" s="331"/>
      <c r="H658" s="332">
        <f t="shared" si="10"/>
        <v>172261.1</v>
      </c>
    </row>
    <row r="659" spans="1:11">
      <c r="A659" s="331" t="s">
        <v>1757</v>
      </c>
      <c r="B659" s="331" t="s">
        <v>1649</v>
      </c>
      <c r="C659" s="344">
        <v>130304.25999999998</v>
      </c>
      <c r="D659" s="331"/>
      <c r="E659" s="331"/>
      <c r="F659" s="331"/>
      <c r="G659" s="331"/>
      <c r="H659" s="332">
        <f t="shared" si="10"/>
        <v>130304.25999999998</v>
      </c>
    </row>
    <row r="660" spans="1:11">
      <c r="A660" s="331" t="s">
        <v>1758</v>
      </c>
      <c r="B660" s="331" t="s">
        <v>1651</v>
      </c>
      <c r="C660" s="344">
        <v>950379.01</v>
      </c>
      <c r="D660" s="331"/>
      <c r="E660" s="331"/>
      <c r="F660" s="331"/>
      <c r="G660" s="331"/>
      <c r="H660" s="332">
        <f t="shared" si="10"/>
        <v>950379.01</v>
      </c>
    </row>
    <row r="661" spans="1:11">
      <c r="A661" s="336" t="s">
        <v>1759</v>
      </c>
      <c r="B661" s="336" t="s">
        <v>1760</v>
      </c>
      <c r="C661" s="345">
        <f>SUM(C662:C667)</f>
        <v>910325.63</v>
      </c>
      <c r="D661" s="336"/>
      <c r="E661" s="345">
        <f>SUM(E662:E667)</f>
        <v>283368.37</v>
      </c>
      <c r="F661" s="336"/>
      <c r="G661" s="345">
        <f>SUM(G662:G667)</f>
        <v>0</v>
      </c>
      <c r="H661" s="337">
        <f t="shared" si="10"/>
        <v>1193694</v>
      </c>
    </row>
    <row r="662" spans="1:11">
      <c r="A662" s="331" t="s">
        <v>1761</v>
      </c>
      <c r="B662" s="331" t="s">
        <v>1762</v>
      </c>
      <c r="C662" s="344">
        <v>113408.2</v>
      </c>
      <c r="D662" s="331"/>
      <c r="E662" s="331"/>
      <c r="F662" s="331"/>
      <c r="G662" s="331"/>
      <c r="H662" s="332">
        <f t="shared" si="10"/>
        <v>113408.2</v>
      </c>
    </row>
    <row r="663" spans="1:11">
      <c r="A663" s="331" t="s">
        <v>1763</v>
      </c>
      <c r="B663" s="331" t="s">
        <v>1764</v>
      </c>
      <c r="C663" s="344">
        <v>9318</v>
      </c>
      <c r="D663" s="331"/>
      <c r="E663" s="331"/>
      <c r="F663" s="331"/>
      <c r="G663" s="331"/>
      <c r="H663" s="332">
        <f t="shared" si="10"/>
        <v>9318</v>
      </c>
    </row>
    <row r="664" spans="1:11">
      <c r="A664" s="331" t="s">
        <v>1765</v>
      </c>
      <c r="B664" s="331" t="s">
        <v>1659</v>
      </c>
      <c r="C664" s="344">
        <v>12199.670000000002</v>
      </c>
      <c r="D664" s="331"/>
      <c r="E664" s="331"/>
      <c r="F664" s="331"/>
      <c r="G664" s="331"/>
      <c r="H664" s="332">
        <f t="shared" si="10"/>
        <v>12199.670000000002</v>
      </c>
    </row>
    <row r="665" spans="1:11">
      <c r="A665" s="331" t="s">
        <v>1766</v>
      </c>
      <c r="B665" s="331" t="s">
        <v>1661</v>
      </c>
      <c r="C665" s="344">
        <v>177839.38</v>
      </c>
      <c r="D665" s="331"/>
      <c r="E665" s="351">
        <v>90568.1</v>
      </c>
      <c r="F665" s="331"/>
      <c r="G665" s="331"/>
      <c r="H665" s="332">
        <f t="shared" si="10"/>
        <v>268407.48</v>
      </c>
    </row>
    <row r="666" spans="1:11">
      <c r="A666" s="331" t="s">
        <v>1767</v>
      </c>
      <c r="B666" s="331" t="s">
        <v>1663</v>
      </c>
      <c r="C666" s="344">
        <v>569660.38</v>
      </c>
      <c r="D666" s="331"/>
      <c r="E666" s="351">
        <f>122011.32+54325+16463.95</f>
        <v>192800.27000000002</v>
      </c>
      <c r="F666" s="331"/>
      <c r="G666" s="331"/>
      <c r="H666" s="332">
        <f t="shared" si="10"/>
        <v>762460.65</v>
      </c>
    </row>
    <row r="667" spans="1:11">
      <c r="A667" s="331" t="s">
        <v>1768</v>
      </c>
      <c r="B667" s="331" t="s">
        <v>1665</v>
      </c>
      <c r="C667" s="344">
        <v>27900</v>
      </c>
      <c r="D667" s="331"/>
      <c r="E667" s="331"/>
      <c r="F667" s="331"/>
      <c r="G667" s="331"/>
      <c r="H667" s="332">
        <f t="shared" si="10"/>
        <v>27900</v>
      </c>
    </row>
    <row r="668" spans="1:11">
      <c r="A668" s="336" t="s">
        <v>1769</v>
      </c>
      <c r="B668" s="336" t="s">
        <v>1770</v>
      </c>
      <c r="C668" s="345">
        <f>SUM(C669:C674)</f>
        <v>270841.64</v>
      </c>
      <c r="D668" s="336"/>
      <c r="E668" s="345">
        <f>SUM(E669:E674)</f>
        <v>0</v>
      </c>
      <c r="F668" s="336"/>
      <c r="G668" s="345">
        <f>SUM(G669:G674)</f>
        <v>0</v>
      </c>
      <c r="H668" s="337">
        <f t="shared" si="10"/>
        <v>270841.64</v>
      </c>
    </row>
    <row r="669" spans="1:11">
      <c r="A669" s="331" t="s">
        <v>1771</v>
      </c>
      <c r="B669" s="331" t="s">
        <v>1669</v>
      </c>
      <c r="C669" s="344">
        <v>113553</v>
      </c>
      <c r="D669" s="331"/>
      <c r="E669" s="331"/>
      <c r="F669" s="331"/>
      <c r="G669" s="331"/>
      <c r="H669" s="332">
        <f t="shared" si="10"/>
        <v>113553</v>
      </c>
      <c r="K669" s="312">
        <f>H669</f>
        <v>113553</v>
      </c>
    </row>
    <row r="670" spans="1:11">
      <c r="A670" s="331" t="s">
        <v>1772</v>
      </c>
      <c r="B670" s="331" t="s">
        <v>1773</v>
      </c>
      <c r="C670" s="344">
        <v>2415.5</v>
      </c>
      <c r="D670" s="331"/>
      <c r="E670" s="331"/>
      <c r="F670" s="331"/>
      <c r="G670" s="331"/>
      <c r="H670" s="332">
        <f t="shared" si="10"/>
        <v>2415.5</v>
      </c>
    </row>
    <row r="671" spans="1:11">
      <c r="A671" s="331" t="s">
        <v>1774</v>
      </c>
      <c r="B671" s="331" t="s">
        <v>1775</v>
      </c>
      <c r="C671" s="344">
        <v>45865.340000000004</v>
      </c>
      <c r="D671" s="331"/>
      <c r="E671" s="331"/>
      <c r="F671" s="331"/>
      <c r="G671" s="331"/>
      <c r="H671" s="332">
        <f t="shared" si="10"/>
        <v>45865.340000000004</v>
      </c>
    </row>
    <row r="672" spans="1:11">
      <c r="A672" s="331" t="s">
        <v>1776</v>
      </c>
      <c r="B672" s="331" t="s">
        <v>1673</v>
      </c>
      <c r="C672" s="344">
        <v>81117.8</v>
      </c>
      <c r="D672" s="331"/>
      <c r="E672" s="331"/>
      <c r="F672" s="331"/>
      <c r="G672" s="331"/>
      <c r="H672" s="332">
        <f t="shared" si="10"/>
        <v>81117.8</v>
      </c>
    </row>
    <row r="673" spans="1:8">
      <c r="A673" s="331" t="s">
        <v>1777</v>
      </c>
      <c r="B673" s="331" t="s">
        <v>1778</v>
      </c>
      <c r="C673" s="344">
        <v>26040</v>
      </c>
      <c r="D673" s="331"/>
      <c r="E673" s="331"/>
      <c r="F673" s="331"/>
      <c r="G673" s="331"/>
      <c r="H673" s="332">
        <f t="shared" si="10"/>
        <v>26040</v>
      </c>
    </row>
    <row r="674" spans="1:8">
      <c r="A674" s="331" t="s">
        <v>1779</v>
      </c>
      <c r="B674" s="331" t="s">
        <v>1780</v>
      </c>
      <c r="C674" s="344">
        <v>1850</v>
      </c>
      <c r="D674" s="331"/>
      <c r="E674" s="331"/>
      <c r="F674" s="331"/>
      <c r="G674" s="331"/>
      <c r="H674" s="332">
        <f t="shared" si="10"/>
        <v>1850</v>
      </c>
    </row>
    <row r="675" spans="1:8">
      <c r="A675" s="336" t="s">
        <v>1781</v>
      </c>
      <c r="B675" s="336" t="s">
        <v>1782</v>
      </c>
      <c r="C675" s="345">
        <f>SUM(C676)</f>
        <v>793717.29</v>
      </c>
      <c r="D675" s="336"/>
      <c r="E675" s="345">
        <f>SUM(E676)</f>
        <v>0</v>
      </c>
      <c r="F675" s="336"/>
      <c r="G675" s="345">
        <f>SUM(G676)</f>
        <v>0</v>
      </c>
      <c r="H675" s="337">
        <f t="shared" si="10"/>
        <v>793717.29</v>
      </c>
    </row>
    <row r="676" spans="1:8">
      <c r="A676" s="331" t="s">
        <v>1783</v>
      </c>
      <c r="B676" s="331" t="s">
        <v>1784</v>
      </c>
      <c r="C676" s="344">
        <v>793717.29</v>
      </c>
      <c r="D676" s="331"/>
      <c r="E676" s="331"/>
      <c r="F676" s="331"/>
      <c r="G676" s="331"/>
      <c r="H676" s="332">
        <f t="shared" si="10"/>
        <v>793717.29</v>
      </c>
    </row>
    <row r="677" spans="1:8">
      <c r="A677" s="336" t="s">
        <v>1785</v>
      </c>
      <c r="B677" s="336" t="s">
        <v>1681</v>
      </c>
      <c r="C677" s="345">
        <f>SUM(C678:C681)</f>
        <v>47432.4</v>
      </c>
      <c r="D677" s="336"/>
      <c r="E677" s="345">
        <f>SUM(E678:E681)</f>
        <v>0</v>
      </c>
      <c r="F677" s="336"/>
      <c r="G677" s="345">
        <f>SUM(G678:G681)</f>
        <v>0</v>
      </c>
      <c r="H677" s="337">
        <f t="shared" si="10"/>
        <v>47432.4</v>
      </c>
    </row>
    <row r="678" spans="1:8">
      <c r="A678" s="331" t="s">
        <v>1786</v>
      </c>
      <c r="B678" s="331" t="s">
        <v>1683</v>
      </c>
      <c r="C678" s="344">
        <v>6986.5999999999995</v>
      </c>
      <c r="D678" s="331"/>
      <c r="E678" s="331"/>
      <c r="F678" s="331"/>
      <c r="G678" s="331"/>
      <c r="H678" s="332">
        <f t="shared" si="10"/>
        <v>6986.5999999999995</v>
      </c>
    </row>
    <row r="679" spans="1:8">
      <c r="A679" s="331" t="s">
        <v>1787</v>
      </c>
      <c r="B679" s="331" t="s">
        <v>1788</v>
      </c>
      <c r="C679" s="344">
        <v>11153.26</v>
      </c>
      <c r="D679" s="331"/>
      <c r="E679" s="331"/>
      <c r="F679" s="331"/>
      <c r="G679" s="331"/>
      <c r="H679" s="332">
        <f t="shared" si="10"/>
        <v>11153.26</v>
      </c>
    </row>
    <row r="680" spans="1:8">
      <c r="A680" s="331" t="s">
        <v>1789</v>
      </c>
      <c r="B680" s="331" t="s">
        <v>1790</v>
      </c>
      <c r="C680" s="344">
        <v>3817.4599999999991</v>
      </c>
      <c r="D680" s="331"/>
      <c r="E680" s="331"/>
      <c r="F680" s="331"/>
      <c r="G680" s="331"/>
      <c r="H680" s="332">
        <f t="shared" si="10"/>
        <v>3817.4599999999991</v>
      </c>
    </row>
    <row r="681" spans="1:8">
      <c r="A681" s="331" t="s">
        <v>1791</v>
      </c>
      <c r="B681" s="331" t="s">
        <v>1792</v>
      </c>
      <c r="C681" s="344">
        <v>25475.08</v>
      </c>
      <c r="D681" s="331"/>
      <c r="E681" s="331"/>
      <c r="F681" s="331"/>
      <c r="G681" s="331"/>
      <c r="H681" s="332">
        <f t="shared" si="10"/>
        <v>25475.08</v>
      </c>
    </row>
    <row r="682" spans="1:8">
      <c r="A682" s="336" t="s">
        <v>1793</v>
      </c>
      <c r="B682" s="336" t="s">
        <v>1687</v>
      </c>
      <c r="C682" s="345">
        <f>SUM(C683:C685)</f>
        <v>150975.36000000002</v>
      </c>
      <c r="D682" s="336"/>
      <c r="E682" s="345">
        <f>SUM(E683:E685)</f>
        <v>0</v>
      </c>
      <c r="F682" s="336"/>
      <c r="G682" s="345">
        <f>SUM(G683:G685)</f>
        <v>0</v>
      </c>
      <c r="H682" s="337">
        <f t="shared" si="10"/>
        <v>150975.36000000002</v>
      </c>
    </row>
    <row r="683" spans="1:8">
      <c r="A683" s="331" t="s">
        <v>1794</v>
      </c>
      <c r="B683" s="331" t="s">
        <v>1795</v>
      </c>
      <c r="C683" s="344">
        <v>31334.769999999997</v>
      </c>
      <c r="D683" s="331"/>
      <c r="E683" s="331"/>
      <c r="F683" s="331"/>
      <c r="G683" s="331"/>
      <c r="H683" s="332">
        <f t="shared" si="10"/>
        <v>31334.769999999997</v>
      </c>
    </row>
    <row r="684" spans="1:8">
      <c r="A684" s="331" t="s">
        <v>1796</v>
      </c>
      <c r="B684" s="331" t="s">
        <v>1797</v>
      </c>
      <c r="C684" s="344">
        <v>97016.49000000002</v>
      </c>
      <c r="D684" s="331"/>
      <c r="E684" s="331"/>
      <c r="F684" s="331"/>
      <c r="G684" s="331"/>
      <c r="H684" s="332">
        <f t="shared" si="10"/>
        <v>97016.49000000002</v>
      </c>
    </row>
    <row r="685" spans="1:8">
      <c r="A685" s="331" t="s">
        <v>1798</v>
      </c>
      <c r="B685" s="331" t="s">
        <v>1691</v>
      </c>
      <c r="C685" s="344">
        <v>22624.1</v>
      </c>
      <c r="D685" s="331"/>
      <c r="E685" s="331"/>
      <c r="F685" s="331"/>
      <c r="G685" s="331"/>
      <c r="H685" s="332">
        <f t="shared" si="10"/>
        <v>22624.1</v>
      </c>
    </row>
    <row r="686" spans="1:8">
      <c r="A686" s="336" t="s">
        <v>1799</v>
      </c>
      <c r="B686" s="336" t="s">
        <v>1800</v>
      </c>
      <c r="C686" s="345">
        <f>SUM(C687:C712)</f>
        <v>9382480.2300000042</v>
      </c>
      <c r="D686" s="336"/>
      <c r="E686" s="345">
        <f>SUM(E687:E712)</f>
        <v>340592.67</v>
      </c>
      <c r="F686" s="336"/>
      <c r="G686" s="345">
        <f>SUM(G687:G712)</f>
        <v>1156210</v>
      </c>
      <c r="H686" s="337">
        <f t="shared" si="10"/>
        <v>8566862.9000000041</v>
      </c>
    </row>
    <row r="687" spans="1:8">
      <c r="A687" s="331" t="s">
        <v>1801</v>
      </c>
      <c r="B687" s="331" t="s">
        <v>1802</v>
      </c>
      <c r="C687" s="344">
        <v>132193.76000000004</v>
      </c>
      <c r="D687" s="331"/>
      <c r="E687" s="331"/>
      <c r="F687" s="331"/>
      <c r="G687" s="331"/>
      <c r="H687" s="332">
        <f t="shared" si="10"/>
        <v>132193.76000000004</v>
      </c>
    </row>
    <row r="688" spans="1:8">
      <c r="A688" s="331" t="s">
        <v>1803</v>
      </c>
      <c r="B688" s="331" t="s">
        <v>1804</v>
      </c>
      <c r="C688" s="344">
        <v>2136094.2100000004</v>
      </c>
      <c r="D688" s="331"/>
      <c r="E688" s="331"/>
      <c r="F688" s="331"/>
      <c r="G688" s="331"/>
      <c r="H688" s="332">
        <f t="shared" si="10"/>
        <v>2136094.2100000004</v>
      </c>
    </row>
    <row r="689" spans="1:10">
      <c r="A689" s="331" t="s">
        <v>1805</v>
      </c>
      <c r="B689" s="331" t="s">
        <v>1697</v>
      </c>
      <c r="C689" s="344">
        <v>103895.73</v>
      </c>
      <c r="D689" s="331"/>
      <c r="E689" s="331"/>
      <c r="F689" s="331"/>
      <c r="G689" s="331"/>
      <c r="H689" s="332">
        <f t="shared" si="10"/>
        <v>103895.73</v>
      </c>
    </row>
    <row r="690" spans="1:10">
      <c r="A690" s="331" t="s">
        <v>1806</v>
      </c>
      <c r="B690" s="331" t="s">
        <v>1699</v>
      </c>
      <c r="C690" s="344">
        <v>494748.62</v>
      </c>
      <c r="D690" s="331"/>
      <c r="E690" s="331"/>
      <c r="F690" s="331"/>
      <c r="G690" s="331"/>
      <c r="H690" s="332">
        <f t="shared" si="10"/>
        <v>494748.62</v>
      </c>
    </row>
    <row r="691" spans="1:10">
      <c r="A691" s="331" t="s">
        <v>1807</v>
      </c>
      <c r="B691" s="331" t="s">
        <v>1808</v>
      </c>
      <c r="C691" s="344">
        <v>3011747.5500000003</v>
      </c>
      <c r="D691" s="331"/>
      <c r="E691" s="331"/>
      <c r="F691" s="331"/>
      <c r="G691" s="331"/>
      <c r="H691" s="332">
        <f t="shared" si="10"/>
        <v>3011747.5500000003</v>
      </c>
    </row>
    <row r="692" spans="1:10">
      <c r="A692" s="331" t="s">
        <v>1809</v>
      </c>
      <c r="B692" s="331" t="s">
        <v>1701</v>
      </c>
      <c r="C692" s="344">
        <v>567518.43000000005</v>
      </c>
      <c r="D692" s="331"/>
      <c r="E692" s="331"/>
      <c r="F692" s="331"/>
      <c r="G692" s="331"/>
      <c r="H692" s="332">
        <f t="shared" si="10"/>
        <v>567518.43000000005</v>
      </c>
    </row>
    <row r="693" spans="1:10">
      <c r="A693" s="331" t="s">
        <v>1810</v>
      </c>
      <c r="B693" s="331" t="s">
        <v>1703</v>
      </c>
      <c r="C693" s="344">
        <v>11301.449999999997</v>
      </c>
      <c r="D693" s="331"/>
      <c r="E693" s="331"/>
      <c r="F693" s="331"/>
      <c r="G693" s="331"/>
      <c r="H693" s="332">
        <f t="shared" si="10"/>
        <v>11301.449999999997</v>
      </c>
    </row>
    <row r="694" spans="1:10">
      <c r="A694" s="331" t="s">
        <v>1811</v>
      </c>
      <c r="B694" s="331" t="s">
        <v>1705</v>
      </c>
      <c r="C694" s="344">
        <v>10824.130000000001</v>
      </c>
      <c r="D694" s="331"/>
      <c r="E694" s="331"/>
      <c r="F694" s="331"/>
      <c r="G694" s="331"/>
      <c r="H694" s="332">
        <f t="shared" si="10"/>
        <v>10824.130000000001</v>
      </c>
    </row>
    <row r="695" spans="1:10">
      <c r="A695" s="331" t="s">
        <v>1812</v>
      </c>
      <c r="B695" s="331" t="s">
        <v>1813</v>
      </c>
      <c r="C695" s="344">
        <v>2318.25</v>
      </c>
      <c r="D695" s="331"/>
      <c r="E695" s="331"/>
      <c r="F695" s="331"/>
      <c r="G695" s="331"/>
      <c r="H695" s="332">
        <f t="shared" si="10"/>
        <v>2318.25</v>
      </c>
    </row>
    <row r="696" spans="1:10">
      <c r="A696" s="331" t="s">
        <v>1814</v>
      </c>
      <c r="B696" s="331" t="s">
        <v>1709</v>
      </c>
      <c r="C696" s="344">
        <v>4615.26</v>
      </c>
      <c r="D696" s="331"/>
      <c r="E696" s="331"/>
      <c r="F696" s="331"/>
      <c r="G696" s="331"/>
      <c r="H696" s="332">
        <f t="shared" si="10"/>
        <v>4615.26</v>
      </c>
    </row>
    <row r="697" spans="1:10">
      <c r="A697" s="331" t="s">
        <v>1815</v>
      </c>
      <c r="B697" s="331" t="s">
        <v>1816</v>
      </c>
      <c r="C697" s="344">
        <v>320726.06000000006</v>
      </c>
      <c r="D697" s="331"/>
      <c r="E697" s="351">
        <v>110544.67</v>
      </c>
      <c r="F697" s="331"/>
      <c r="G697" s="331"/>
      <c r="H697" s="332">
        <f t="shared" si="10"/>
        <v>431270.73000000004</v>
      </c>
    </row>
    <row r="698" spans="1:10">
      <c r="A698" s="331" t="s">
        <v>1817</v>
      </c>
      <c r="B698" s="331" t="s">
        <v>1818</v>
      </c>
      <c r="C698" s="344">
        <v>93718.71</v>
      </c>
      <c r="D698" s="331"/>
      <c r="E698" s="331"/>
      <c r="F698" s="331"/>
      <c r="G698" s="331"/>
      <c r="H698" s="332">
        <f t="shared" si="10"/>
        <v>93718.71</v>
      </c>
    </row>
    <row r="699" spans="1:10">
      <c r="A699" s="331" t="s">
        <v>1819</v>
      </c>
      <c r="B699" s="331" t="s">
        <v>1820</v>
      </c>
      <c r="C699" s="344">
        <v>61803.199999999997</v>
      </c>
      <c r="D699" s="331"/>
      <c r="E699" s="331"/>
      <c r="F699" s="331"/>
      <c r="G699" s="331"/>
      <c r="H699" s="332">
        <f t="shared" si="10"/>
        <v>61803.199999999997</v>
      </c>
    </row>
    <row r="700" spans="1:10">
      <c r="A700" s="331" t="s">
        <v>1821</v>
      </c>
      <c r="B700" s="331" t="s">
        <v>1715</v>
      </c>
      <c r="C700" s="344">
        <v>47335.069999999992</v>
      </c>
      <c r="D700" s="331"/>
      <c r="E700" s="331"/>
      <c r="F700" s="331"/>
      <c r="G700" s="331"/>
      <c r="H700" s="332">
        <f t="shared" si="10"/>
        <v>47335.069999999992</v>
      </c>
    </row>
    <row r="701" spans="1:10">
      <c r="A701" s="331" t="s">
        <v>1822</v>
      </c>
      <c r="B701" s="331" t="s">
        <v>789</v>
      </c>
      <c r="C701" s="344">
        <v>249569.86000000004</v>
      </c>
      <c r="D701" s="331"/>
      <c r="E701" s="331"/>
      <c r="F701" s="331"/>
      <c r="G701" s="331"/>
      <c r="H701" s="332">
        <f t="shared" si="10"/>
        <v>249569.86000000004</v>
      </c>
    </row>
    <row r="702" spans="1:10">
      <c r="A702" s="331" t="s">
        <v>1823</v>
      </c>
      <c r="B702" s="331" t="s">
        <v>1718</v>
      </c>
      <c r="C702" s="344">
        <v>34069.4</v>
      </c>
      <c r="D702" s="331"/>
      <c r="E702" s="331"/>
      <c r="F702" s="331"/>
      <c r="G702" s="331"/>
      <c r="H702" s="332">
        <f t="shared" si="10"/>
        <v>34069.4</v>
      </c>
      <c r="J702" s="324">
        <f>H702</f>
        <v>34069.4</v>
      </c>
    </row>
    <row r="703" spans="1:10">
      <c r="A703" s="331" t="s">
        <v>1824</v>
      </c>
      <c r="B703" s="331" t="s">
        <v>1825</v>
      </c>
      <c r="C703" s="344">
        <v>-3985.0199999999995</v>
      </c>
      <c r="D703" s="331"/>
      <c r="E703" s="331"/>
      <c r="F703" s="331"/>
      <c r="G703" s="331"/>
      <c r="H703" s="332">
        <f t="shared" si="10"/>
        <v>-3985.0199999999995</v>
      </c>
    </row>
    <row r="704" spans="1:10">
      <c r="A704" s="331" t="s">
        <v>1826</v>
      </c>
      <c r="B704" s="331" t="s">
        <v>1827</v>
      </c>
      <c r="C704" s="344">
        <v>896196.54</v>
      </c>
      <c r="D704" s="331"/>
      <c r="E704" s="331"/>
      <c r="F704" s="331"/>
      <c r="G704" s="331"/>
      <c r="H704" s="332">
        <f t="shared" si="10"/>
        <v>896196.54</v>
      </c>
    </row>
    <row r="705" spans="1:13">
      <c r="A705" s="331" t="s">
        <v>1828</v>
      </c>
      <c r="B705" s="331" t="s">
        <v>1829</v>
      </c>
      <c r="C705" s="344">
        <v>76572.450000000012</v>
      </c>
      <c r="D705" s="331"/>
      <c r="E705" s="331"/>
      <c r="F705" s="331"/>
      <c r="G705" s="331"/>
      <c r="H705" s="332">
        <f t="shared" si="10"/>
        <v>76572.450000000012</v>
      </c>
    </row>
    <row r="706" spans="1:13">
      <c r="A706" s="331" t="s">
        <v>1830</v>
      </c>
      <c r="B706" s="331" t="s">
        <v>1722</v>
      </c>
      <c r="C706" s="344">
        <v>164804.02000000002</v>
      </c>
      <c r="D706" s="331"/>
      <c r="E706" s="331"/>
      <c r="F706" s="331"/>
      <c r="G706" s="331"/>
      <c r="H706" s="332">
        <f t="shared" si="10"/>
        <v>164804.02000000002</v>
      </c>
    </row>
    <row r="707" spans="1:13">
      <c r="A707" s="331" t="s">
        <v>1831</v>
      </c>
      <c r="B707" s="331" t="s">
        <v>1832</v>
      </c>
      <c r="C707" s="344">
        <v>171150.63</v>
      </c>
      <c r="D707" s="331"/>
      <c r="E707" s="331"/>
      <c r="F707" s="331"/>
      <c r="G707" s="331"/>
      <c r="H707" s="332">
        <f t="shared" si="10"/>
        <v>171150.63</v>
      </c>
    </row>
    <row r="708" spans="1:13">
      <c r="A708" s="331" t="s">
        <v>1833</v>
      </c>
      <c r="B708" s="331" t="s">
        <v>1834</v>
      </c>
      <c r="C708" s="344">
        <v>38030.92</v>
      </c>
      <c r="D708" s="331"/>
      <c r="E708" s="331"/>
      <c r="F708" s="331"/>
      <c r="G708" s="331"/>
      <c r="H708" s="332">
        <f t="shared" si="10"/>
        <v>38030.92</v>
      </c>
    </row>
    <row r="709" spans="1:13">
      <c r="A709" s="331" t="s">
        <v>1835</v>
      </c>
      <c r="B709" s="331" t="s">
        <v>1836</v>
      </c>
      <c r="C709" s="344">
        <v>138973.13</v>
      </c>
      <c r="D709" s="331"/>
      <c r="E709" s="331"/>
      <c r="F709" s="331"/>
      <c r="G709" s="331"/>
      <c r="H709" s="332">
        <f t="shared" si="10"/>
        <v>138973.13</v>
      </c>
      <c r="M709" s="312">
        <f>H709</f>
        <v>138973.13</v>
      </c>
    </row>
    <row r="710" spans="1:13">
      <c r="A710" s="331" t="s">
        <v>1837</v>
      </c>
      <c r="B710" s="331" t="s">
        <v>1396</v>
      </c>
      <c r="C710" s="344">
        <v>509276.92000000004</v>
      </c>
      <c r="D710" s="331"/>
      <c r="E710" s="351">
        <v>230048</v>
      </c>
      <c r="F710" s="331"/>
      <c r="G710" s="351">
        <f>509276.92+646933.08</f>
        <v>1156210</v>
      </c>
      <c r="H710" s="332">
        <f t="shared" si="10"/>
        <v>-416885.07999999996</v>
      </c>
    </row>
    <row r="711" spans="1:13">
      <c r="A711" s="331" t="s">
        <v>1838</v>
      </c>
      <c r="B711" s="331" t="s">
        <v>1839</v>
      </c>
      <c r="C711" s="344">
        <v>2.0000000484287739E-2</v>
      </c>
      <c r="D711" s="331"/>
      <c r="E711" s="331"/>
      <c r="F711" s="331"/>
      <c r="G711" s="331"/>
      <c r="H711" s="332">
        <f t="shared" si="10"/>
        <v>2.0000000484287739E-2</v>
      </c>
    </row>
    <row r="712" spans="1:13">
      <c r="A712" s="331" t="s">
        <v>1840</v>
      </c>
      <c r="B712" s="331" t="s">
        <v>1841</v>
      </c>
      <c r="C712" s="344">
        <v>108980.93</v>
      </c>
      <c r="D712" s="331"/>
      <c r="E712" s="331"/>
      <c r="F712" s="331"/>
      <c r="G712" s="331"/>
      <c r="H712" s="332">
        <f t="shared" si="10"/>
        <v>108980.93</v>
      </c>
    </row>
    <row r="713" spans="1:13">
      <c r="A713" s="336" t="s">
        <v>1842</v>
      </c>
      <c r="B713" s="336" t="s">
        <v>1733</v>
      </c>
      <c r="C713" s="345">
        <f>SUM(C714:C717)</f>
        <v>253893.22</v>
      </c>
      <c r="D713" s="336"/>
      <c r="E713" s="345">
        <f>SUM(E714:E717)</f>
        <v>0</v>
      </c>
      <c r="F713" s="336"/>
      <c r="G713" s="345">
        <f>SUM(G714:G717)</f>
        <v>0</v>
      </c>
      <c r="H713" s="337">
        <f t="shared" si="10"/>
        <v>253893.22</v>
      </c>
    </row>
    <row r="714" spans="1:13">
      <c r="A714" s="331" t="s">
        <v>1843</v>
      </c>
      <c r="B714" s="331" t="s">
        <v>1844</v>
      </c>
      <c r="C714" s="344">
        <v>138159.47999999998</v>
      </c>
      <c r="D714" s="331"/>
      <c r="E714" s="331"/>
      <c r="F714" s="331"/>
      <c r="G714" s="331"/>
      <c r="H714" s="332">
        <f t="shared" si="10"/>
        <v>138159.47999999998</v>
      </c>
    </row>
    <row r="715" spans="1:13">
      <c r="A715" s="331" t="s">
        <v>1845</v>
      </c>
      <c r="B715" s="331" t="s">
        <v>1737</v>
      </c>
      <c r="C715" s="344">
        <v>34352.47</v>
      </c>
      <c r="D715" s="331"/>
      <c r="E715" s="331"/>
      <c r="F715" s="331"/>
      <c r="G715" s="331"/>
      <c r="H715" s="332">
        <f t="shared" si="10"/>
        <v>34352.47</v>
      </c>
    </row>
    <row r="716" spans="1:13">
      <c r="A716" s="331" t="s">
        <v>1846</v>
      </c>
      <c r="B716" s="331" t="s">
        <v>1739</v>
      </c>
      <c r="C716" s="344">
        <v>30857.260000000002</v>
      </c>
      <c r="D716" s="331"/>
      <c r="E716" s="331"/>
      <c r="F716" s="331"/>
      <c r="G716" s="331"/>
      <c r="H716" s="332">
        <f t="shared" si="10"/>
        <v>30857.260000000002</v>
      </c>
    </row>
    <row r="717" spans="1:13">
      <c r="A717" s="331" t="s">
        <v>1847</v>
      </c>
      <c r="B717" s="331" t="s">
        <v>1848</v>
      </c>
      <c r="C717" s="344">
        <v>50524.010000000009</v>
      </c>
      <c r="D717" s="331"/>
      <c r="E717" s="331"/>
      <c r="F717" s="331"/>
      <c r="G717" s="331"/>
      <c r="H717" s="332">
        <f t="shared" ref="H717:H748" si="11">C717+E717-G717</f>
        <v>50524.010000000009</v>
      </c>
    </row>
    <row r="718" spans="1:13">
      <c r="A718" s="323" t="s">
        <v>1849</v>
      </c>
      <c r="B718" s="323" t="s">
        <v>1850</v>
      </c>
      <c r="C718" s="346">
        <f>C719+C722</f>
        <v>66059.5</v>
      </c>
      <c r="D718" s="323"/>
      <c r="E718" s="323"/>
      <c r="F718" s="323"/>
      <c r="G718" s="323"/>
      <c r="H718" s="324">
        <f t="shared" si="11"/>
        <v>66059.5</v>
      </c>
    </row>
    <row r="719" spans="1:13">
      <c r="A719" s="336" t="s">
        <v>1851</v>
      </c>
      <c r="B719" s="336" t="s">
        <v>1852</v>
      </c>
      <c r="C719" s="345">
        <f>SUM(C720:C721)</f>
        <v>65357</v>
      </c>
      <c r="D719" s="336"/>
      <c r="E719" s="345">
        <f>SUM(E720:E721)</f>
        <v>0</v>
      </c>
      <c r="F719" s="336"/>
      <c r="G719" s="345">
        <f>SUM(G720:G721)</f>
        <v>0</v>
      </c>
      <c r="H719" s="337">
        <f t="shared" si="11"/>
        <v>65357</v>
      </c>
    </row>
    <row r="720" spans="1:13">
      <c r="A720" s="331" t="s">
        <v>1853</v>
      </c>
      <c r="B720" s="331" t="s">
        <v>1661</v>
      </c>
      <c r="C720" s="344">
        <v>18130</v>
      </c>
      <c r="D720" s="331"/>
      <c r="E720" s="331"/>
      <c r="F720" s="331"/>
      <c r="G720" s="331"/>
      <c r="H720" s="332">
        <f t="shared" si="11"/>
        <v>18130</v>
      </c>
    </row>
    <row r="721" spans="1:10">
      <c r="A721" s="331" t="s">
        <v>1854</v>
      </c>
      <c r="B721" s="331" t="s">
        <v>1855</v>
      </c>
      <c r="C721" s="344">
        <v>47227</v>
      </c>
      <c r="D721" s="331"/>
      <c r="E721" s="331"/>
      <c r="F721" s="331"/>
      <c r="G721" s="331"/>
      <c r="H721" s="332">
        <f t="shared" si="11"/>
        <v>47227</v>
      </c>
    </row>
    <row r="722" spans="1:10">
      <c r="A722" s="336" t="s">
        <v>1856</v>
      </c>
      <c r="B722" s="336" t="s">
        <v>1857</v>
      </c>
      <c r="C722" s="345">
        <f>SUM(C723)</f>
        <v>702.5</v>
      </c>
      <c r="D722" s="336"/>
      <c r="E722" s="345">
        <f>SUM(E723)</f>
        <v>0</v>
      </c>
      <c r="F722" s="336"/>
      <c r="G722" s="345">
        <f>SUM(G723)</f>
        <v>0</v>
      </c>
      <c r="H722" s="337">
        <f t="shared" si="11"/>
        <v>702.5</v>
      </c>
    </row>
    <row r="723" spans="1:10">
      <c r="A723" s="331" t="s">
        <v>1858</v>
      </c>
      <c r="B723" s="331" t="s">
        <v>1661</v>
      </c>
      <c r="C723" s="344">
        <v>702.5</v>
      </c>
      <c r="D723" s="331"/>
      <c r="E723" s="331"/>
      <c r="F723" s="331"/>
      <c r="G723" s="331"/>
      <c r="H723" s="332">
        <f t="shared" si="11"/>
        <v>702.5</v>
      </c>
    </row>
    <row r="724" spans="1:10">
      <c r="A724" s="323" t="s">
        <v>1859</v>
      </c>
      <c r="B724" s="323" t="s">
        <v>1860</v>
      </c>
      <c r="C724" s="346">
        <f>C725+C727</f>
        <v>275709.7300000001</v>
      </c>
      <c r="D724" s="323"/>
      <c r="E724" s="346">
        <f>E725+E727</f>
        <v>428646.48</v>
      </c>
      <c r="F724" s="323"/>
      <c r="G724" s="346">
        <f>G725+G727</f>
        <v>0</v>
      </c>
      <c r="H724" s="324">
        <f t="shared" si="11"/>
        <v>704356.21000000008</v>
      </c>
    </row>
    <row r="725" spans="1:10">
      <c r="A725" s="336" t="s">
        <v>1861</v>
      </c>
      <c r="B725" s="336" t="s">
        <v>1862</v>
      </c>
      <c r="C725" s="345">
        <f>SUM(C726)</f>
        <v>-392</v>
      </c>
      <c r="D725" s="336"/>
      <c r="E725" s="345">
        <f>SUM(E726)</f>
        <v>0</v>
      </c>
      <c r="F725" s="336"/>
      <c r="G725" s="345">
        <f>SUM(G726)</f>
        <v>0</v>
      </c>
      <c r="H725" s="337">
        <f t="shared" si="11"/>
        <v>-392</v>
      </c>
    </row>
    <row r="726" spans="1:10">
      <c r="A726" s="331" t="s">
        <v>1863</v>
      </c>
      <c r="B726" s="331" t="s">
        <v>1864</v>
      </c>
      <c r="C726" s="344">
        <v>-392</v>
      </c>
      <c r="D726" s="331"/>
      <c r="E726" s="331"/>
      <c r="F726" s="331"/>
      <c r="G726" s="331"/>
      <c r="H726" s="332">
        <f t="shared" si="11"/>
        <v>-392</v>
      </c>
    </row>
    <row r="727" spans="1:10">
      <c r="A727" s="336" t="s">
        <v>1865</v>
      </c>
      <c r="B727" s="336" t="s">
        <v>1866</v>
      </c>
      <c r="C727" s="345">
        <f>SUM(C728)</f>
        <v>276101.7300000001</v>
      </c>
      <c r="D727" s="336"/>
      <c r="E727" s="345">
        <f>SUM(E728)</f>
        <v>428646.48</v>
      </c>
      <c r="F727" s="336"/>
      <c r="G727" s="345">
        <f>SUM(G728)</f>
        <v>0</v>
      </c>
      <c r="H727" s="337">
        <f t="shared" si="11"/>
        <v>704748.21000000008</v>
      </c>
      <c r="J727" s="324"/>
    </row>
    <row r="728" spans="1:10">
      <c r="A728" s="331" t="s">
        <v>1867</v>
      </c>
      <c r="B728" s="331" t="s">
        <v>1866</v>
      </c>
      <c r="C728" s="344">
        <v>276101.7300000001</v>
      </c>
      <c r="D728" s="331"/>
      <c r="E728" s="351">
        <v>428646.48</v>
      </c>
      <c r="F728" s="331"/>
      <c r="G728" s="331"/>
      <c r="H728" s="332">
        <f t="shared" si="11"/>
        <v>704748.21000000008</v>
      </c>
    </row>
    <row r="729" spans="1:10">
      <c r="A729" s="340">
        <v>6</v>
      </c>
      <c r="B729" s="340" t="s">
        <v>1868</v>
      </c>
      <c r="C729" s="347">
        <v>14328572.180000002</v>
      </c>
      <c r="D729" s="340"/>
      <c r="E729" s="347"/>
      <c r="F729" s="340"/>
      <c r="G729" s="340"/>
      <c r="H729" s="341">
        <f t="shared" si="11"/>
        <v>14328572.180000002</v>
      </c>
    </row>
    <row r="730" spans="1:10" hidden="1" outlineLevel="1">
      <c r="A730" s="310" t="s">
        <v>1869</v>
      </c>
      <c r="B730" s="310" t="s">
        <v>1870</v>
      </c>
      <c r="C730" s="311">
        <v>12947180.830000002</v>
      </c>
      <c r="H730" s="348">
        <f t="shared" si="11"/>
        <v>12947180.830000002</v>
      </c>
    </row>
    <row r="731" spans="1:10" hidden="1" outlineLevel="1">
      <c r="A731" s="310" t="s">
        <v>1871</v>
      </c>
      <c r="B731" s="310" t="s">
        <v>1872</v>
      </c>
      <c r="C731" s="311">
        <v>12947180.830000002</v>
      </c>
      <c r="H731" s="348">
        <f t="shared" si="11"/>
        <v>12947180.830000002</v>
      </c>
    </row>
    <row r="732" spans="1:10" hidden="1" outlineLevel="1">
      <c r="A732" s="310" t="s">
        <v>1873</v>
      </c>
      <c r="B732" s="310" t="s">
        <v>1731</v>
      </c>
      <c r="C732" s="311">
        <v>12888833.110000001</v>
      </c>
      <c r="H732" s="348">
        <f t="shared" si="11"/>
        <v>12888833.110000001</v>
      </c>
    </row>
    <row r="733" spans="1:10" hidden="1" outlineLevel="1">
      <c r="A733" s="310" t="s">
        <v>1874</v>
      </c>
      <c r="B733" s="310" t="s">
        <v>1875</v>
      </c>
      <c r="C733" s="311">
        <v>59844.47</v>
      </c>
      <c r="H733" s="348">
        <f t="shared" si="11"/>
        <v>59844.47</v>
      </c>
    </row>
    <row r="734" spans="1:10" hidden="1" outlineLevel="1">
      <c r="A734" s="310" t="s">
        <v>1876</v>
      </c>
      <c r="B734" s="310" t="s">
        <v>1877</v>
      </c>
      <c r="C734" s="311">
        <v>-1496.75</v>
      </c>
      <c r="H734" s="348">
        <f t="shared" si="11"/>
        <v>-1496.75</v>
      </c>
    </row>
    <row r="735" spans="1:10" hidden="1" outlineLevel="1">
      <c r="A735" s="310" t="s">
        <v>1878</v>
      </c>
      <c r="B735" s="310" t="s">
        <v>1879</v>
      </c>
      <c r="C735" s="311">
        <v>1381391.35</v>
      </c>
      <c r="H735" s="348">
        <f t="shared" si="11"/>
        <v>1381391.35</v>
      </c>
    </row>
    <row r="736" spans="1:10" hidden="1" outlineLevel="1">
      <c r="A736" s="310" t="s">
        <v>1880</v>
      </c>
      <c r="B736" s="310" t="s">
        <v>1881</v>
      </c>
      <c r="C736" s="311">
        <v>1381391.35</v>
      </c>
      <c r="H736" s="348">
        <f t="shared" si="11"/>
        <v>1381391.35</v>
      </c>
    </row>
    <row r="737" spans="1:8" hidden="1" outlineLevel="1">
      <c r="A737" s="310" t="s">
        <v>1882</v>
      </c>
      <c r="B737" s="310" t="s">
        <v>1731</v>
      </c>
      <c r="C737" s="311">
        <v>922055.42</v>
      </c>
      <c r="H737" s="348">
        <f t="shared" si="11"/>
        <v>922055.42</v>
      </c>
    </row>
    <row r="738" spans="1:8" hidden="1" outlineLevel="1">
      <c r="A738" s="310" t="s">
        <v>1883</v>
      </c>
      <c r="B738" s="310" t="s">
        <v>1875</v>
      </c>
      <c r="C738" s="311">
        <v>459335.93</v>
      </c>
      <c r="H738" s="348">
        <f t="shared" si="11"/>
        <v>459335.93</v>
      </c>
    </row>
    <row r="739" spans="1:8" collapsed="1">
      <c r="A739" s="340">
        <v>7</v>
      </c>
      <c r="B739" s="340" t="s">
        <v>1884</v>
      </c>
      <c r="C739" s="347">
        <v>-14328572.18</v>
      </c>
      <c r="D739" s="340"/>
      <c r="E739" s="340"/>
      <c r="F739" s="340"/>
      <c r="G739" s="340"/>
      <c r="H739" s="341">
        <f t="shared" si="11"/>
        <v>-14328572.18</v>
      </c>
    </row>
    <row r="740" spans="1:8" hidden="1" outlineLevel="1">
      <c r="A740" s="310" t="s">
        <v>1885</v>
      </c>
      <c r="B740" s="310" t="s">
        <v>1870</v>
      </c>
      <c r="C740" s="311">
        <v>-12943249.73</v>
      </c>
      <c r="H740" s="348">
        <f t="shared" si="11"/>
        <v>-12943249.73</v>
      </c>
    </row>
    <row r="741" spans="1:8" hidden="1" outlineLevel="1">
      <c r="A741" s="310" t="s">
        <v>1886</v>
      </c>
      <c r="B741" s="310" t="s">
        <v>1872</v>
      </c>
      <c r="C741" s="311">
        <v>-12943249.73</v>
      </c>
      <c r="H741" s="348">
        <f t="shared" si="11"/>
        <v>-12943249.73</v>
      </c>
    </row>
    <row r="742" spans="1:8" hidden="1" outlineLevel="1">
      <c r="A742" s="310" t="s">
        <v>1887</v>
      </c>
      <c r="B742" s="310" t="s">
        <v>1731</v>
      </c>
      <c r="C742" s="311">
        <v>-12888882.370000001</v>
      </c>
      <c r="H742" s="348">
        <f t="shared" si="11"/>
        <v>-12888882.370000001</v>
      </c>
    </row>
    <row r="743" spans="1:8" hidden="1" outlineLevel="1">
      <c r="A743" s="310" t="s">
        <v>1888</v>
      </c>
      <c r="B743" s="310" t="s">
        <v>1875</v>
      </c>
      <c r="C743" s="311">
        <v>-55864.11</v>
      </c>
      <c r="H743" s="348">
        <f t="shared" si="11"/>
        <v>-55864.11</v>
      </c>
    </row>
    <row r="744" spans="1:8" hidden="1" outlineLevel="1">
      <c r="A744" s="310" t="s">
        <v>1889</v>
      </c>
      <c r="B744" s="310" t="s">
        <v>1877</v>
      </c>
      <c r="C744" s="311">
        <v>1496.75</v>
      </c>
      <c r="H744" s="348">
        <f t="shared" si="11"/>
        <v>1496.75</v>
      </c>
    </row>
    <row r="745" spans="1:8" hidden="1" outlineLevel="1">
      <c r="A745" s="310" t="s">
        <v>1890</v>
      </c>
      <c r="B745" s="310" t="s">
        <v>1879</v>
      </c>
      <c r="C745" s="311">
        <v>-1385322.4500000002</v>
      </c>
      <c r="H745" s="348">
        <f t="shared" si="11"/>
        <v>-1385322.4500000002</v>
      </c>
    </row>
    <row r="746" spans="1:8" hidden="1" outlineLevel="1">
      <c r="A746" s="310" t="s">
        <v>1891</v>
      </c>
      <c r="B746" s="310" t="s">
        <v>1881</v>
      </c>
      <c r="C746" s="311">
        <v>-1385322.4500000002</v>
      </c>
      <c r="H746" s="348">
        <f t="shared" si="11"/>
        <v>-1385322.4500000002</v>
      </c>
    </row>
    <row r="747" spans="1:8" hidden="1" outlineLevel="1">
      <c r="A747" s="310" t="s">
        <v>1892</v>
      </c>
      <c r="B747" s="310" t="s">
        <v>1731</v>
      </c>
      <c r="C747" s="311">
        <v>-922006.16</v>
      </c>
      <c r="H747" s="348">
        <f t="shared" si="11"/>
        <v>-922006.16</v>
      </c>
    </row>
    <row r="748" spans="1:8" hidden="1" outlineLevel="1">
      <c r="A748" s="310" t="s">
        <v>1893</v>
      </c>
      <c r="B748" s="310" t="s">
        <v>1875</v>
      </c>
      <c r="C748" s="311">
        <v>-463316.29000000004</v>
      </c>
      <c r="H748" s="348">
        <f t="shared" si="11"/>
        <v>-463316.29000000004</v>
      </c>
    </row>
    <row r="749" spans="1:8" collapsed="1"/>
    <row r="751" spans="1:8" ht="15" thickBot="1">
      <c r="B751" s="310" t="s">
        <v>108</v>
      </c>
      <c r="C751" s="349">
        <f>C7</f>
        <v>112969159.10999997</v>
      </c>
      <c r="H751" s="349">
        <f>H7</f>
        <v>111865189.79999998</v>
      </c>
    </row>
    <row r="752" spans="1:8" ht="15" thickTop="1"/>
    <row r="753" spans="2:8">
      <c r="B753" s="310" t="s">
        <v>107</v>
      </c>
      <c r="C753" s="311">
        <f>-C161</f>
        <v>100152309.33000001</v>
      </c>
      <c r="H753" s="311">
        <f>-H161</f>
        <v>99032205.250000015</v>
      </c>
    </row>
    <row r="754" spans="2:8">
      <c r="B754" s="310" t="s">
        <v>109</v>
      </c>
      <c r="C754" s="311">
        <f>-C497</f>
        <v>13756561.209999999</v>
      </c>
      <c r="H754" s="311">
        <f>-H497</f>
        <v>13821409.959999999</v>
      </c>
    </row>
    <row r="755" spans="2:8">
      <c r="B755" s="310" t="s">
        <v>1894</v>
      </c>
      <c r="C755" s="311">
        <f>-C516-C566</f>
        <v>-982068.88000000268</v>
      </c>
      <c r="H755" s="311">
        <f>-H516-H566</f>
        <v>-988685.21000000834</v>
      </c>
    </row>
    <row r="756" spans="2:8" ht="15" thickBot="1">
      <c r="C756" s="349">
        <f>SUM(C753:C755)</f>
        <v>112926801.66</v>
      </c>
      <c r="H756" s="349">
        <f>SUM(H753:H755)</f>
        <v>111864930</v>
      </c>
    </row>
    <row r="757" spans="2:8" ht="15" thickTop="1">
      <c r="C757" s="350">
        <f>C751-C756</f>
        <v>42357.449999973178</v>
      </c>
      <c r="H757" s="350">
        <f>H751-H756</f>
        <v>259.79999998211861</v>
      </c>
    </row>
    <row r="759" spans="2:8">
      <c r="H759" s="312">
        <v>-106178.39999999851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topLeftCell="A33" workbookViewId="0">
      <selection activeCell="E39" sqref="E39"/>
    </sheetView>
  </sheetViews>
  <sheetFormatPr defaultColWidth="9.1796875" defaultRowHeight="12.5"/>
  <cols>
    <col min="1" max="1" width="8" customWidth="1"/>
    <col min="2" max="2" width="12.7265625" customWidth="1"/>
    <col min="3" max="3" width="43.453125" customWidth="1"/>
    <col min="4" max="4" width="16.7265625" style="148" bestFit="1" customWidth="1"/>
    <col min="5" max="5" width="15.1796875" style="148" customWidth="1"/>
    <col min="7" max="7" width="18" bestFit="1" customWidth="1"/>
    <col min="8" max="8" width="29.54296875" customWidth="1"/>
    <col min="9" max="9" width="15.26953125" bestFit="1" customWidth="1"/>
  </cols>
  <sheetData>
    <row r="1" spans="1:10" ht="13" thickBot="1">
      <c r="A1" s="154"/>
      <c r="B1" s="154"/>
      <c r="C1" s="155"/>
      <c r="D1" s="155"/>
      <c r="E1" s="155"/>
    </row>
    <row r="2" spans="1:10" ht="13" thickBot="1">
      <c r="A2" s="154"/>
      <c r="B2" s="154"/>
      <c r="C2" s="154"/>
      <c r="D2" s="156"/>
      <c r="E2" s="157" t="s">
        <v>399</v>
      </c>
    </row>
    <row r="3" spans="1:10" ht="13" thickBot="1">
      <c r="A3" s="154"/>
      <c r="B3" s="154"/>
      <c r="C3" s="155"/>
      <c r="D3" s="156"/>
      <c r="E3" s="158"/>
    </row>
    <row r="4" spans="1:10" ht="13.5" thickTop="1" thickBot="1">
      <c r="A4" s="935" t="s">
        <v>400</v>
      </c>
      <c r="B4" s="936"/>
      <c r="C4" s="936"/>
      <c r="D4" s="936"/>
      <c r="E4" s="937"/>
    </row>
    <row r="5" spans="1:10" ht="13.5" thickTop="1" thickBot="1">
      <c r="A5" s="159" t="s">
        <v>401</v>
      </c>
      <c r="B5" s="196">
        <v>41274</v>
      </c>
      <c r="C5" s="160"/>
      <c r="D5" s="161" t="s">
        <v>402</v>
      </c>
      <c r="E5" s="162" t="s">
        <v>403</v>
      </c>
    </row>
    <row r="6" spans="1:10" ht="13.5" thickTop="1" thickBot="1">
      <c r="A6" s="163" t="s">
        <v>404</v>
      </c>
      <c r="B6" s="164" t="s">
        <v>405</v>
      </c>
      <c r="C6" s="165"/>
      <c r="D6" s="166"/>
      <c r="E6" s="167" t="s">
        <v>26</v>
      </c>
      <c r="G6" s="149"/>
    </row>
    <row r="7" spans="1:10" ht="13" thickTop="1">
      <c r="A7" s="154"/>
      <c r="B7" s="154"/>
      <c r="C7" s="155"/>
      <c r="D7" s="156"/>
      <c r="E7" s="156"/>
    </row>
    <row r="8" spans="1:10">
      <c r="A8" s="168" t="s">
        <v>113</v>
      </c>
      <c r="B8" s="168" t="s">
        <v>406</v>
      </c>
      <c r="C8" s="169" t="s">
        <v>114</v>
      </c>
      <c r="D8" s="170" t="s">
        <v>389</v>
      </c>
      <c r="E8" s="170" t="s">
        <v>390</v>
      </c>
    </row>
    <row r="9" spans="1:10">
      <c r="A9" s="168"/>
      <c r="B9" s="168"/>
      <c r="C9" s="169"/>
      <c r="D9" s="170"/>
      <c r="E9" s="170"/>
    </row>
    <row r="10" spans="1:10">
      <c r="A10" s="171"/>
      <c r="B10" s="172"/>
      <c r="C10" s="171"/>
      <c r="D10" s="173"/>
      <c r="E10" s="173"/>
    </row>
    <row r="11" spans="1:10">
      <c r="A11" s="174"/>
      <c r="B11" s="174"/>
      <c r="C11" s="175"/>
      <c r="D11" s="176"/>
      <c r="E11" s="177"/>
      <c r="G11" s="121"/>
      <c r="J11" s="46"/>
    </row>
    <row r="12" spans="1:10" ht="14.5">
      <c r="A12" s="174"/>
      <c r="B12" s="174"/>
      <c r="C12" s="175"/>
      <c r="D12" s="177"/>
      <c r="E12" s="176">
        <f>D11-(D11/1.16)</f>
        <v>0</v>
      </c>
      <c r="I12" s="194"/>
      <c r="J12" s="46"/>
    </row>
    <row r="13" spans="1:10" ht="14.5">
      <c r="A13" s="174"/>
      <c r="B13" s="174"/>
      <c r="C13" s="175"/>
      <c r="D13" s="177"/>
      <c r="E13" s="176">
        <f>(D11-E12)*15%</f>
        <v>0</v>
      </c>
      <c r="I13" s="195"/>
      <c r="J13" s="192"/>
    </row>
    <row r="14" spans="1:10">
      <c r="A14" s="174"/>
      <c r="B14" s="174"/>
      <c r="C14" s="175"/>
      <c r="D14" s="177"/>
      <c r="E14" s="176">
        <f>D11-E12-E13</f>
        <v>0</v>
      </c>
      <c r="I14" s="153"/>
      <c r="J14" s="46"/>
    </row>
    <row r="15" spans="1:10">
      <c r="A15" s="174"/>
      <c r="B15" s="174"/>
      <c r="C15" s="175"/>
      <c r="D15" s="176"/>
      <c r="E15" s="176"/>
      <c r="G15" s="178"/>
      <c r="I15" s="153"/>
      <c r="J15" s="46"/>
    </row>
    <row r="16" spans="1:10">
      <c r="A16" s="179"/>
      <c r="B16" s="179"/>
      <c r="C16" s="175"/>
      <c r="D16" s="176"/>
      <c r="E16" s="177"/>
      <c r="I16" s="153"/>
      <c r="J16" s="46"/>
    </row>
    <row r="17" spans="1:10">
      <c r="A17" s="179"/>
      <c r="B17" s="179"/>
      <c r="C17" s="175"/>
      <c r="D17" s="177"/>
      <c r="E17" s="176">
        <f>D16</f>
        <v>0</v>
      </c>
      <c r="J17" s="46"/>
    </row>
    <row r="18" spans="1:10">
      <c r="A18" s="174"/>
      <c r="B18" s="174"/>
      <c r="C18" s="175"/>
      <c r="D18" s="177"/>
      <c r="E18" s="176"/>
      <c r="G18" s="149"/>
    </row>
    <row r="19" spans="1:10">
      <c r="A19" s="179"/>
      <c r="B19" s="179"/>
      <c r="C19" s="175"/>
      <c r="D19" s="176"/>
      <c r="E19" s="176"/>
    </row>
    <row r="20" spans="1:10">
      <c r="A20" s="179"/>
      <c r="B20" s="179"/>
      <c r="C20" s="175"/>
      <c r="D20" s="176"/>
      <c r="E20" s="176">
        <f>D19</f>
        <v>0</v>
      </c>
      <c r="G20" s="178"/>
    </row>
    <row r="21" spans="1:10">
      <c r="A21" s="174"/>
      <c r="B21" s="174"/>
      <c r="C21" s="175"/>
      <c r="D21" s="177"/>
      <c r="E21" s="176">
        <f>D20</f>
        <v>0</v>
      </c>
      <c r="G21" s="121"/>
    </row>
    <row r="22" spans="1:10">
      <c r="A22" s="179"/>
      <c r="B22" s="179"/>
      <c r="C22" s="175"/>
      <c r="D22" s="176"/>
      <c r="E22" s="176"/>
    </row>
    <row r="23" spans="1:10" hidden="1">
      <c r="A23" s="179"/>
      <c r="B23" s="174"/>
      <c r="C23" s="175"/>
      <c r="D23" s="176"/>
      <c r="E23" s="176"/>
    </row>
    <row r="24" spans="1:10" hidden="1">
      <c r="A24" s="179"/>
      <c r="B24" s="174"/>
      <c r="C24" s="175"/>
      <c r="D24" s="176"/>
      <c r="E24" s="176"/>
    </row>
    <row r="25" spans="1:10" hidden="1">
      <c r="A25" s="174"/>
      <c r="B25" s="174"/>
      <c r="C25" s="175"/>
      <c r="D25" s="176"/>
      <c r="E25" s="176"/>
    </row>
    <row r="26" spans="1:10" hidden="1">
      <c r="A26" s="179"/>
      <c r="B26" s="174"/>
      <c r="C26" s="175"/>
      <c r="D26" s="176"/>
      <c r="E26" s="176"/>
      <c r="G26" s="178"/>
    </row>
    <row r="27" spans="1:10" hidden="1">
      <c r="A27" s="179"/>
      <c r="B27" s="174"/>
      <c r="C27" s="175"/>
      <c r="D27" s="176"/>
      <c r="E27" s="176"/>
    </row>
    <row r="28" spans="1:10" hidden="1">
      <c r="A28" s="171"/>
      <c r="B28" s="172"/>
      <c r="C28" s="175"/>
      <c r="D28" s="176"/>
      <c r="E28" s="176"/>
    </row>
    <row r="29" spans="1:10" hidden="1">
      <c r="A29" s="174"/>
      <c r="B29" s="174"/>
      <c r="C29" s="175"/>
      <c r="D29" s="176"/>
      <c r="E29" s="176"/>
    </row>
    <row r="30" spans="1:10" hidden="1">
      <c r="A30" s="174"/>
      <c r="B30" s="174"/>
      <c r="C30" s="175"/>
      <c r="D30" s="176"/>
      <c r="E30" s="176"/>
    </row>
    <row r="31" spans="1:10" hidden="1">
      <c r="A31" s="174"/>
      <c r="B31" s="174"/>
      <c r="C31" s="175"/>
      <c r="D31" s="176"/>
      <c r="E31" s="176"/>
    </row>
    <row r="32" spans="1:10" hidden="1">
      <c r="A32" s="174"/>
      <c r="B32" s="174"/>
      <c r="C32" s="175"/>
      <c r="D32" s="176"/>
      <c r="E32" s="176"/>
    </row>
    <row r="33" spans="1:7">
      <c r="A33" s="179"/>
      <c r="B33" s="179"/>
      <c r="C33" s="175"/>
      <c r="D33" s="176"/>
      <c r="E33" s="176">
        <f>D22</f>
        <v>0</v>
      </c>
    </row>
    <row r="34" spans="1:7">
      <c r="A34" s="179"/>
      <c r="B34" s="179"/>
      <c r="C34" s="175"/>
      <c r="D34" s="176"/>
      <c r="E34" s="176"/>
    </row>
    <row r="35" spans="1:7">
      <c r="A35" s="179"/>
      <c r="B35" s="179"/>
      <c r="C35" s="175"/>
      <c r="D35" s="176"/>
      <c r="E35" s="176"/>
    </row>
    <row r="36" spans="1:7">
      <c r="A36" s="179"/>
      <c r="B36" s="179"/>
      <c r="C36" s="175"/>
      <c r="D36" s="176"/>
      <c r="E36" s="176">
        <f>D35</f>
        <v>0</v>
      </c>
    </row>
    <row r="37" spans="1:7">
      <c r="A37" s="174"/>
      <c r="B37" s="174"/>
      <c r="C37" s="175"/>
      <c r="D37" s="176"/>
      <c r="E37" s="176"/>
    </row>
    <row r="38" spans="1:7">
      <c r="A38" s="179"/>
      <c r="B38" s="179"/>
      <c r="C38" s="175"/>
      <c r="D38" s="176"/>
      <c r="E38" s="176"/>
      <c r="G38" s="121"/>
    </row>
    <row r="39" spans="1:7">
      <c r="A39" s="179"/>
      <c r="B39" s="179"/>
      <c r="C39" s="175"/>
      <c r="D39" s="176"/>
      <c r="E39" s="176">
        <f>D38</f>
        <v>0</v>
      </c>
      <c r="G39" s="149"/>
    </row>
    <row r="40" spans="1:7">
      <c r="A40" s="174"/>
      <c r="B40" s="174"/>
      <c r="C40" s="175"/>
      <c r="D40" s="176"/>
      <c r="E40" s="176"/>
    </row>
    <row r="41" spans="1:7">
      <c r="A41" s="179"/>
      <c r="B41" s="179"/>
      <c r="C41" s="175"/>
      <c r="D41" s="176"/>
      <c r="E41" s="176"/>
      <c r="G41" s="149"/>
    </row>
    <row r="42" spans="1:7">
      <c r="A42" s="179"/>
      <c r="B42" s="179"/>
      <c r="C42" s="175"/>
      <c r="D42" s="176"/>
      <c r="E42" s="176">
        <f>D41</f>
        <v>0</v>
      </c>
    </row>
    <row r="43" spans="1:7" hidden="1">
      <c r="A43" s="174"/>
      <c r="B43" s="174"/>
      <c r="C43" s="175"/>
      <c r="D43" s="176"/>
      <c r="E43" s="176"/>
    </row>
    <row r="44" spans="1:7" hidden="1">
      <c r="A44" s="174"/>
      <c r="B44" s="174"/>
      <c r="C44" s="175"/>
      <c r="D44" s="176"/>
      <c r="E44" s="176"/>
    </row>
    <row r="45" spans="1:7" hidden="1">
      <c r="A45" s="174"/>
      <c r="B45" s="174"/>
      <c r="C45" s="175"/>
      <c r="D45" s="176"/>
      <c r="E45" s="176"/>
    </row>
    <row r="46" spans="1:7" hidden="1">
      <c r="A46" s="174"/>
      <c r="B46" s="174"/>
      <c r="C46" s="175"/>
      <c r="D46" s="176"/>
      <c r="E46" s="176"/>
    </row>
    <row r="47" spans="1:7" hidden="1">
      <c r="A47" s="174"/>
      <c r="B47" s="174"/>
      <c r="C47" s="175"/>
      <c r="D47" s="176"/>
      <c r="E47" s="176"/>
    </row>
    <row r="48" spans="1:7" hidden="1">
      <c r="A48" s="174"/>
      <c r="B48" s="174"/>
      <c r="C48" s="175"/>
      <c r="D48" s="176"/>
      <c r="E48" s="176"/>
    </row>
    <row r="49" spans="1:5">
      <c r="A49" s="174"/>
      <c r="B49" s="174"/>
      <c r="C49" s="175"/>
      <c r="D49" s="176"/>
      <c r="E49" s="176"/>
    </row>
    <row r="50" spans="1:5">
      <c r="A50" s="179"/>
      <c r="B50" s="179"/>
      <c r="C50" s="175"/>
      <c r="D50" s="176"/>
      <c r="E50" s="176"/>
    </row>
    <row r="51" spans="1:5">
      <c r="A51" s="179"/>
      <c r="B51" s="179"/>
      <c r="C51" s="175"/>
      <c r="D51" s="176"/>
      <c r="E51" s="176">
        <f>D50</f>
        <v>0</v>
      </c>
    </row>
    <row r="52" spans="1:5">
      <c r="A52" s="174"/>
      <c r="B52" s="174"/>
      <c r="C52" s="175"/>
      <c r="D52" s="176"/>
      <c r="E52" s="176"/>
    </row>
    <row r="53" spans="1:5">
      <c r="A53" s="174"/>
      <c r="B53" s="174"/>
      <c r="C53" s="175"/>
      <c r="D53" s="176"/>
      <c r="E53" s="176"/>
    </row>
    <row r="54" spans="1:5">
      <c r="A54" s="174"/>
      <c r="B54" s="174"/>
      <c r="C54" s="175"/>
      <c r="D54" s="176"/>
      <c r="E54" s="176"/>
    </row>
    <row r="55" spans="1:5">
      <c r="A55" s="174"/>
      <c r="B55" s="174"/>
      <c r="C55" s="175"/>
      <c r="D55" s="176"/>
      <c r="E55" s="176"/>
    </row>
    <row r="56" spans="1:5">
      <c r="A56" s="174"/>
      <c r="B56" s="174"/>
      <c r="C56" s="175"/>
      <c r="D56" s="176"/>
      <c r="E56" s="176"/>
    </row>
    <row r="57" spans="1:5">
      <c r="A57" s="174"/>
      <c r="B57" s="174"/>
      <c r="C57" s="175"/>
      <c r="D57" s="176"/>
      <c r="E57" s="176"/>
    </row>
    <row r="58" spans="1:5">
      <c r="A58" s="174"/>
      <c r="B58" s="174"/>
      <c r="C58" s="175"/>
      <c r="D58" s="176"/>
      <c r="E58" s="176"/>
    </row>
    <row r="59" spans="1:5">
      <c r="A59" s="171"/>
      <c r="B59" s="172"/>
      <c r="C59" s="171"/>
      <c r="D59" s="176"/>
      <c r="E59" s="176"/>
    </row>
    <row r="60" spans="1:5">
      <c r="A60" s="171"/>
      <c r="B60" s="172"/>
      <c r="C60" s="171"/>
      <c r="D60" s="176"/>
      <c r="E60" s="176"/>
    </row>
    <row r="61" spans="1:5">
      <c r="A61" s="171"/>
      <c r="B61" s="172"/>
      <c r="C61" s="171"/>
      <c r="D61" s="176"/>
      <c r="E61" s="176"/>
    </row>
    <row r="62" spans="1:5">
      <c r="A62" s="171"/>
      <c r="B62" s="172"/>
      <c r="C62" s="171"/>
      <c r="D62" s="176"/>
      <c r="E62" s="176"/>
    </row>
    <row r="63" spans="1:5">
      <c r="A63" s="171"/>
      <c r="B63" s="172"/>
      <c r="C63" s="171"/>
      <c r="D63" s="180"/>
      <c r="E63" s="180"/>
    </row>
    <row r="64" spans="1:5">
      <c r="A64" s="181"/>
      <c r="B64" s="182"/>
      <c r="C64" s="183"/>
      <c r="D64" s="184"/>
      <c r="E64" s="184"/>
    </row>
    <row r="65" spans="1:5">
      <c r="A65" s="185"/>
      <c r="B65" s="186"/>
      <c r="C65" s="187"/>
      <c r="D65" s="188"/>
      <c r="E65" s="188"/>
    </row>
    <row r="67" spans="1:5">
      <c r="A67" s="181" t="s">
        <v>407</v>
      </c>
      <c r="B67" s="189"/>
      <c r="C67" s="190"/>
      <c r="D67" s="191"/>
      <c r="E67" s="191"/>
    </row>
    <row r="68" spans="1:5">
      <c r="A68" s="181" t="s">
        <v>408</v>
      </c>
      <c r="B68" s="189"/>
      <c r="C68" s="190"/>
      <c r="D68" s="191"/>
      <c r="E68" s="191"/>
    </row>
  </sheetData>
  <mergeCells count="1">
    <mergeCell ref="A4:E4"/>
  </mergeCells>
  <pageMargins left="0.7" right="0.7" top="0.75" bottom="0.75" header="0.3" footer="0.3"/>
  <pageSetup scale="9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J22"/>
  <sheetViews>
    <sheetView showGridLines="0" workbookViewId="0">
      <selection activeCell="M5" sqref="M5"/>
    </sheetView>
  </sheetViews>
  <sheetFormatPr defaultRowHeight="12.5"/>
  <cols>
    <col min="4" max="4" width="31.453125" customWidth="1"/>
    <col min="5" max="5" width="15.7265625" customWidth="1"/>
    <col min="6" max="6" width="15.26953125" customWidth="1"/>
    <col min="7" max="7" width="14.26953125" customWidth="1"/>
  </cols>
  <sheetData>
    <row r="4" spans="4:10" ht="13" thickBot="1"/>
    <row r="5" spans="4:10" ht="13">
      <c r="D5" s="364" t="s">
        <v>2995</v>
      </c>
      <c r="E5" s="376"/>
      <c r="F5" s="375" t="s">
        <v>389</v>
      </c>
      <c r="G5" s="374" t="s">
        <v>390</v>
      </c>
      <c r="H5" s="365"/>
      <c r="I5" s="365"/>
      <c r="J5" s="366"/>
    </row>
    <row r="6" spans="4:10">
      <c r="D6" s="377" t="s">
        <v>2996</v>
      </c>
      <c r="E6" s="378">
        <v>211036007</v>
      </c>
      <c r="F6" s="379">
        <v>1938571.29</v>
      </c>
      <c r="G6" s="379"/>
      <c r="J6" s="368"/>
    </row>
    <row r="7" spans="4:10">
      <c r="D7" s="377" t="s">
        <v>2997</v>
      </c>
      <c r="E7" s="378">
        <v>211036001</v>
      </c>
      <c r="F7" s="379"/>
      <c r="G7" s="379">
        <v>1922733.04</v>
      </c>
      <c r="J7" s="368"/>
    </row>
    <row r="8" spans="4:10">
      <c r="D8" s="377" t="s">
        <v>2998</v>
      </c>
      <c r="E8" s="378">
        <v>211036003</v>
      </c>
      <c r="F8" s="379"/>
      <c r="G8" s="379">
        <v>15838.25</v>
      </c>
      <c r="J8" s="368"/>
    </row>
    <row r="9" spans="4:10" ht="13">
      <c r="D9" s="378"/>
      <c r="E9" s="380" t="s">
        <v>12</v>
      </c>
      <c r="F9" s="381">
        <f>SUM(F6:F8)</f>
        <v>1938571.29</v>
      </c>
      <c r="G9" s="381">
        <f>SUM(G6:G8)</f>
        <v>1938571.29</v>
      </c>
      <c r="J9" s="368"/>
    </row>
    <row r="10" spans="4:10" ht="13">
      <c r="D10" s="378"/>
      <c r="E10" s="380"/>
      <c r="F10" s="381"/>
      <c r="G10" s="381"/>
      <c r="J10" s="368"/>
    </row>
    <row r="11" spans="4:10" ht="13">
      <c r="D11" s="370" t="s">
        <v>2999</v>
      </c>
      <c r="F11" s="134"/>
      <c r="G11" s="134"/>
      <c r="J11" s="368"/>
    </row>
    <row r="12" spans="4:10">
      <c r="D12" s="369"/>
      <c r="J12" s="368"/>
    </row>
    <row r="13" spans="4:10">
      <c r="D13" s="367" t="s">
        <v>3000</v>
      </c>
      <c r="J13" s="368"/>
    </row>
    <row r="14" spans="4:10">
      <c r="D14" s="369"/>
      <c r="J14" s="368"/>
    </row>
    <row r="15" spans="4:10">
      <c r="D15" s="367" t="s">
        <v>3001</v>
      </c>
      <c r="J15" s="368"/>
    </row>
    <row r="16" spans="4:10">
      <c r="D16" s="369"/>
      <c r="J16" s="368"/>
    </row>
    <row r="17" spans="4:10">
      <c r="D17" s="367" t="s">
        <v>3002</v>
      </c>
      <c r="J17" s="368"/>
    </row>
    <row r="18" spans="4:10">
      <c r="D18" s="369"/>
      <c r="J18" s="368"/>
    </row>
    <row r="19" spans="4:10">
      <c r="D19" s="369"/>
      <c r="J19" s="368"/>
    </row>
    <row r="20" spans="4:10">
      <c r="D20" s="369"/>
      <c r="J20" s="368"/>
    </row>
    <row r="21" spans="4:10">
      <c r="D21" s="369"/>
      <c r="J21" s="368"/>
    </row>
    <row r="22" spans="4:10" ht="13" thickBot="1">
      <c r="D22" s="371"/>
      <c r="E22" s="372"/>
      <c r="F22" s="372"/>
      <c r="G22" s="372"/>
      <c r="H22" s="372"/>
      <c r="I22" s="372"/>
      <c r="J22" s="373"/>
    </row>
  </sheetData>
  <pageMargins left="0.7" right="0.7" top="0.75" bottom="0.75" header="0.3" footer="0.3"/>
  <pageSetup scale="9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3:H17"/>
  <sheetViews>
    <sheetView workbookViewId="0">
      <selection activeCell="E3" sqref="E3:I20"/>
    </sheetView>
  </sheetViews>
  <sheetFormatPr defaultRowHeight="12.5"/>
  <cols>
    <col min="4" max="4" width="2.81640625" customWidth="1"/>
    <col min="5" max="5" width="17.81640625" customWidth="1"/>
    <col min="6" max="6" width="31.453125" customWidth="1"/>
    <col min="7" max="7" width="18.453125" customWidth="1"/>
    <col min="8" max="8" width="17.7265625" customWidth="1"/>
  </cols>
  <sheetData>
    <row r="3" spans="5:8" ht="13">
      <c r="E3" s="1" t="s">
        <v>113</v>
      </c>
      <c r="F3" s="1" t="s">
        <v>3006</v>
      </c>
    </row>
    <row r="4" spans="5:8" ht="13">
      <c r="G4" s="1" t="s">
        <v>389</v>
      </c>
      <c r="H4" s="1" t="s">
        <v>390</v>
      </c>
    </row>
    <row r="5" spans="5:8">
      <c r="E5">
        <v>211046014</v>
      </c>
      <c r="F5" s="392" t="s">
        <v>3008</v>
      </c>
      <c r="G5" s="393">
        <v>3010</v>
      </c>
      <c r="H5" s="393"/>
    </row>
    <row r="6" spans="5:8">
      <c r="E6">
        <v>521016004</v>
      </c>
      <c r="F6" s="392" t="s">
        <v>3009</v>
      </c>
      <c r="G6" s="393"/>
      <c r="H6" s="393">
        <v>3010</v>
      </c>
    </row>
    <row r="7" spans="5:8" ht="13">
      <c r="F7" s="394" t="s">
        <v>12</v>
      </c>
      <c r="G7" s="395">
        <f>SUM(G5:G6)</f>
        <v>3010</v>
      </c>
      <c r="H7" s="395">
        <f>SUM(H5:H6)</f>
        <v>3010</v>
      </c>
    </row>
    <row r="8" spans="5:8">
      <c r="G8" s="393"/>
      <c r="H8" s="393"/>
    </row>
    <row r="9" spans="5:8">
      <c r="E9">
        <v>506016001</v>
      </c>
      <c r="F9" s="392" t="s">
        <v>3010</v>
      </c>
      <c r="G9" s="393">
        <v>176467</v>
      </c>
      <c r="H9" s="393"/>
    </row>
    <row r="10" spans="5:8">
      <c r="E10">
        <v>506036002</v>
      </c>
      <c r="F10" s="392" t="s">
        <v>3011</v>
      </c>
      <c r="G10" s="393">
        <v>334158</v>
      </c>
      <c r="H10" s="393"/>
    </row>
    <row r="11" spans="5:8">
      <c r="E11">
        <v>211011011</v>
      </c>
      <c r="F11" s="392" t="s">
        <v>3012</v>
      </c>
      <c r="G11" s="393"/>
      <c r="H11" s="393">
        <v>510625</v>
      </c>
    </row>
    <row r="12" spans="5:8" ht="13">
      <c r="F12" s="394" t="s">
        <v>12</v>
      </c>
      <c r="G12" s="395">
        <f>SUM(G9:G11)</f>
        <v>510625</v>
      </c>
      <c r="H12" s="395">
        <f>SUM(H9:H11)</f>
        <v>510625</v>
      </c>
    </row>
    <row r="13" spans="5:8">
      <c r="G13" s="393"/>
      <c r="H13" s="393"/>
    </row>
    <row r="14" spans="5:8">
      <c r="G14" s="393"/>
      <c r="H14" s="393"/>
    </row>
    <row r="15" spans="5:8">
      <c r="E15" s="392" t="s">
        <v>3014</v>
      </c>
    </row>
    <row r="17" spans="5:5">
      <c r="E17" s="392" t="s">
        <v>3013</v>
      </c>
    </row>
  </sheetData>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80"/>
  <sheetViews>
    <sheetView view="pageBreakPreview" topLeftCell="C635" zoomScale="95" zoomScaleNormal="100" zoomScaleSheetLayoutView="95" workbookViewId="0">
      <selection activeCell="J632" sqref="J632"/>
    </sheetView>
  </sheetViews>
  <sheetFormatPr defaultColWidth="9.1796875" defaultRowHeight="14.5"/>
  <cols>
    <col min="1" max="1" width="18.54296875" style="429" customWidth="1"/>
    <col min="2" max="2" width="57.54296875" style="429" customWidth="1"/>
    <col min="3" max="3" width="15.54296875" style="429" customWidth="1"/>
    <col min="4" max="4" width="45.453125" style="429" customWidth="1"/>
    <col min="5" max="5" width="9.26953125" style="429" customWidth="1"/>
    <col min="6" max="7" width="19.54296875" style="429" customWidth="1"/>
    <col min="8" max="8" width="20.81640625" style="429" customWidth="1"/>
    <col min="9" max="9" width="21.26953125" style="429" customWidth="1"/>
    <col min="10" max="10" width="22" style="430" customWidth="1"/>
    <col min="11" max="11" width="15" style="429" customWidth="1"/>
    <col min="12" max="12" width="14.1796875" style="429" customWidth="1"/>
    <col min="13" max="13" width="17.54296875" style="429" bestFit="1" customWidth="1"/>
    <col min="14" max="15" width="9.1796875" style="429"/>
    <col min="16" max="16" width="12.81640625" style="429" bestFit="1" customWidth="1"/>
    <col min="17" max="17" width="11.453125" style="429" bestFit="1" customWidth="1"/>
    <col min="18" max="18" width="9.1796875" style="429"/>
    <col min="19" max="19" width="11.453125" style="429" bestFit="1" customWidth="1"/>
    <col min="20" max="16384" width="9.1796875" style="429"/>
  </cols>
  <sheetData>
    <row r="1" spans="1:12">
      <c r="A1" s="388" t="s">
        <v>3326</v>
      </c>
      <c r="B1" s="388" t="s">
        <v>3327</v>
      </c>
      <c r="C1" s="388" t="s">
        <v>2332</v>
      </c>
      <c r="D1" s="1054" t="s">
        <v>3060</v>
      </c>
      <c r="E1" s="1047"/>
      <c r="F1" s="388" t="s">
        <v>3328</v>
      </c>
      <c r="G1" s="388" t="s">
        <v>3329</v>
      </c>
      <c r="H1" s="1054" t="s">
        <v>3330</v>
      </c>
      <c r="I1" s="1047"/>
      <c r="J1" s="388" t="s">
        <v>3331</v>
      </c>
    </row>
    <row r="2" spans="1:12" ht="15" customHeight="1">
      <c r="A2" s="1049" t="s">
        <v>6</v>
      </c>
      <c r="B2" s="1049" t="s">
        <v>2340</v>
      </c>
      <c r="C2" s="382" t="s">
        <v>2341</v>
      </c>
      <c r="D2" s="1049" t="s">
        <v>1943</v>
      </c>
      <c r="E2" s="1047"/>
      <c r="F2" s="383">
        <v>-7806.83</v>
      </c>
      <c r="G2" s="383">
        <v>416584.54</v>
      </c>
      <c r="H2" s="1046">
        <v>412535.59</v>
      </c>
      <c r="I2" s="1047"/>
      <c r="J2" s="383">
        <v>-11855.78</v>
      </c>
    </row>
    <row r="3" spans="1:12">
      <c r="A3" s="1050"/>
      <c r="B3" s="1051"/>
      <c r="C3" s="437" t="s">
        <v>12</v>
      </c>
      <c r="D3" s="1060" t="s">
        <v>111</v>
      </c>
      <c r="E3" s="1047"/>
      <c r="F3" s="474">
        <v>-7806.83</v>
      </c>
      <c r="G3" s="474">
        <v>416584.54</v>
      </c>
      <c r="H3" s="1061">
        <v>412535.59</v>
      </c>
      <c r="I3" s="1047"/>
      <c r="J3" s="474">
        <v>-11855.78</v>
      </c>
      <c r="K3" s="461">
        <f>J3</f>
        <v>-11855.78</v>
      </c>
      <c r="L3" s="462"/>
    </row>
    <row r="4" spans="1:12" ht="15" customHeight="1">
      <c r="A4" s="1050"/>
      <c r="B4" s="1049" t="s">
        <v>2356</v>
      </c>
      <c r="C4" s="382" t="s">
        <v>2357</v>
      </c>
      <c r="D4" s="1049" t="s">
        <v>1944</v>
      </c>
      <c r="E4" s="1047"/>
      <c r="F4" s="383">
        <v>-771579.39</v>
      </c>
      <c r="G4" s="383">
        <v>643300727.5</v>
      </c>
      <c r="H4" s="1046">
        <v>643091306.03999996</v>
      </c>
      <c r="I4" s="1047"/>
      <c r="J4" s="383">
        <v>-981000.85</v>
      </c>
      <c r="K4" s="462"/>
      <c r="L4" s="462"/>
    </row>
    <row r="5" spans="1:12">
      <c r="A5" s="1050"/>
      <c r="B5" s="1051"/>
      <c r="C5" s="437" t="s">
        <v>12</v>
      </c>
      <c r="D5" s="1060" t="s">
        <v>111</v>
      </c>
      <c r="E5" s="1047"/>
      <c r="F5" s="474">
        <v>-771579.39</v>
      </c>
      <c r="G5" s="474">
        <v>643300727.5</v>
      </c>
      <c r="H5" s="1061">
        <v>643091306.03999996</v>
      </c>
      <c r="I5" s="1047"/>
      <c r="J5" s="474">
        <v>-981000.85</v>
      </c>
      <c r="K5" s="461">
        <f>J5</f>
        <v>-981000.85</v>
      </c>
      <c r="L5" s="462"/>
    </row>
    <row r="6" spans="1:12" ht="15" customHeight="1">
      <c r="A6" s="1050"/>
      <c r="B6" s="1049" t="s">
        <v>2359</v>
      </c>
      <c r="C6" s="382" t="s">
        <v>2360</v>
      </c>
      <c r="D6" s="1049" t="s">
        <v>1945</v>
      </c>
      <c r="E6" s="1047"/>
      <c r="F6" s="383">
        <v>-186114</v>
      </c>
      <c r="G6" s="383">
        <v>94548001.799999997</v>
      </c>
      <c r="H6" s="1046">
        <v>94734115.799999997</v>
      </c>
      <c r="I6" s="1047"/>
      <c r="J6" s="383">
        <v>0</v>
      </c>
      <c r="K6" s="462"/>
      <c r="L6" s="462"/>
    </row>
    <row r="7" spans="1:12">
      <c r="A7" s="1050"/>
      <c r="B7" s="1051"/>
      <c r="C7" s="437" t="s">
        <v>12</v>
      </c>
      <c r="D7" s="1060" t="s">
        <v>111</v>
      </c>
      <c r="E7" s="1047"/>
      <c r="F7" s="474">
        <v>-186114</v>
      </c>
      <c r="G7" s="474">
        <v>94548001.799999997</v>
      </c>
      <c r="H7" s="1061">
        <v>94734115.799999997</v>
      </c>
      <c r="I7" s="1047"/>
      <c r="J7" s="474">
        <v>0</v>
      </c>
      <c r="K7" s="462"/>
      <c r="L7" s="462"/>
    </row>
    <row r="8" spans="1:12" ht="15" customHeight="1">
      <c r="A8" s="1050"/>
      <c r="B8" s="1049" t="s">
        <v>2361</v>
      </c>
      <c r="C8" s="382" t="s">
        <v>2362</v>
      </c>
      <c r="D8" s="1049" t="s">
        <v>1946</v>
      </c>
      <c r="E8" s="1047"/>
      <c r="F8" s="383">
        <v>-1422737.52</v>
      </c>
      <c r="G8" s="383">
        <v>42705620.82</v>
      </c>
      <c r="H8" s="1046">
        <v>43328412.829999998</v>
      </c>
      <c r="I8" s="1047"/>
      <c r="J8" s="383">
        <v>-799945.51</v>
      </c>
      <c r="K8" s="462"/>
      <c r="L8" s="462"/>
    </row>
    <row r="9" spans="1:12" ht="15" customHeight="1">
      <c r="A9" s="1050"/>
      <c r="B9" s="1050"/>
      <c r="C9" s="382" t="s">
        <v>2363</v>
      </c>
      <c r="D9" s="1049" t="s">
        <v>1947</v>
      </c>
      <c r="E9" s="1047"/>
      <c r="F9" s="383">
        <v>-331729.65999999997</v>
      </c>
      <c r="G9" s="383">
        <v>1233792.93</v>
      </c>
      <c r="H9" s="1046">
        <v>1565522.59</v>
      </c>
      <c r="I9" s="1047"/>
      <c r="J9" s="383">
        <v>0</v>
      </c>
      <c r="K9" s="462"/>
      <c r="L9" s="462"/>
    </row>
    <row r="10" spans="1:12" ht="15" customHeight="1">
      <c r="A10" s="1050"/>
      <c r="B10" s="1050"/>
      <c r="C10" s="382" t="s">
        <v>2364</v>
      </c>
      <c r="D10" s="1049" t="s">
        <v>1948</v>
      </c>
      <c r="E10" s="1047"/>
      <c r="F10" s="383">
        <v>-148660.01999999999</v>
      </c>
      <c r="G10" s="383">
        <v>852000.2</v>
      </c>
      <c r="H10" s="1046">
        <v>1000660.22</v>
      </c>
      <c r="I10" s="1047"/>
      <c r="J10" s="383">
        <v>0</v>
      </c>
      <c r="K10" s="462"/>
      <c r="L10" s="462"/>
    </row>
    <row r="11" spans="1:12" ht="15" customHeight="1">
      <c r="A11" s="1050"/>
      <c r="B11" s="1050"/>
      <c r="C11" s="382" t="s">
        <v>2365</v>
      </c>
      <c r="D11" s="1049" t="s">
        <v>1949</v>
      </c>
      <c r="E11" s="1047"/>
      <c r="F11" s="383">
        <v>-240608.12</v>
      </c>
      <c r="G11" s="383">
        <v>668934.27</v>
      </c>
      <c r="H11" s="1046">
        <v>909542.39</v>
      </c>
      <c r="I11" s="1047"/>
      <c r="J11" s="383">
        <v>0</v>
      </c>
      <c r="K11" s="462"/>
      <c r="L11" s="462"/>
    </row>
    <row r="12" spans="1:12" ht="15" customHeight="1">
      <c r="A12" s="1050"/>
      <c r="B12" s="1050"/>
      <c r="C12" s="382" t="s">
        <v>2366</v>
      </c>
      <c r="D12" s="1049" t="s">
        <v>1950</v>
      </c>
      <c r="E12" s="1047"/>
      <c r="F12" s="383">
        <v>-158535.32999999999</v>
      </c>
      <c r="G12" s="383">
        <v>434769.59</v>
      </c>
      <c r="H12" s="1046">
        <v>593304.92000000004</v>
      </c>
      <c r="I12" s="1047"/>
      <c r="J12" s="383">
        <v>0</v>
      </c>
      <c r="K12" s="462"/>
      <c r="L12" s="462"/>
    </row>
    <row r="13" spans="1:12" ht="15" customHeight="1">
      <c r="A13" s="1050"/>
      <c r="B13" s="1050"/>
      <c r="C13" s="382" t="s">
        <v>2367</v>
      </c>
      <c r="D13" s="1049" t="s">
        <v>1951</v>
      </c>
      <c r="E13" s="1047"/>
      <c r="F13" s="383">
        <v>-146208.44</v>
      </c>
      <c r="G13" s="383">
        <v>443448.74</v>
      </c>
      <c r="H13" s="1046">
        <v>589657.18000000005</v>
      </c>
      <c r="I13" s="1047"/>
      <c r="J13" s="383">
        <v>0</v>
      </c>
      <c r="K13" s="462"/>
      <c r="L13" s="462"/>
    </row>
    <row r="14" spans="1:12" ht="15" customHeight="1">
      <c r="A14" s="1050"/>
      <c r="B14" s="1050"/>
      <c r="C14" s="382" t="s">
        <v>2368</v>
      </c>
      <c r="D14" s="1049" t="s">
        <v>1952</v>
      </c>
      <c r="E14" s="1047"/>
      <c r="F14" s="383">
        <v>-35269.29</v>
      </c>
      <c r="G14" s="383">
        <v>1056.44</v>
      </c>
      <c r="H14" s="1046">
        <v>946.03</v>
      </c>
      <c r="I14" s="1047"/>
      <c r="J14" s="383">
        <v>-35379.699999999997</v>
      </c>
      <c r="K14" s="462"/>
      <c r="L14" s="462"/>
    </row>
    <row r="15" spans="1:12" ht="15" customHeight="1">
      <c r="A15" s="1050"/>
      <c r="B15" s="1050"/>
      <c r="C15" s="382" t="s">
        <v>2369</v>
      </c>
      <c r="D15" s="1049" t="s">
        <v>1953</v>
      </c>
      <c r="E15" s="1047"/>
      <c r="F15" s="383">
        <v>-832010.02</v>
      </c>
      <c r="G15" s="383">
        <v>135536965.36000001</v>
      </c>
      <c r="H15" s="1046">
        <v>132932137.8</v>
      </c>
      <c r="I15" s="1047"/>
      <c r="J15" s="383">
        <v>-3436837.58</v>
      </c>
      <c r="K15" s="462"/>
      <c r="L15" s="462"/>
    </row>
    <row r="16" spans="1:12" ht="15" customHeight="1">
      <c r="A16" s="1050"/>
      <c r="B16" s="1050"/>
      <c r="C16" s="382" t="s">
        <v>2370</v>
      </c>
      <c r="D16" s="1049" t="s">
        <v>1954</v>
      </c>
      <c r="E16" s="1047"/>
      <c r="F16" s="383">
        <v>-549761.24</v>
      </c>
      <c r="G16" s="383">
        <v>109715789.59999999</v>
      </c>
      <c r="H16" s="1046">
        <v>110248195.98</v>
      </c>
      <c r="I16" s="1047"/>
      <c r="J16" s="383">
        <v>-17354.86</v>
      </c>
      <c r="K16" s="462"/>
      <c r="L16" s="462"/>
    </row>
    <row r="17" spans="1:12" ht="15" customHeight="1">
      <c r="A17" s="1050"/>
      <c r="B17" s="1050"/>
      <c r="C17" s="382" t="s">
        <v>2371</v>
      </c>
      <c r="D17" s="1049" t="s">
        <v>1955</v>
      </c>
      <c r="E17" s="1047"/>
      <c r="F17" s="383">
        <v>-26683.439999999999</v>
      </c>
      <c r="G17" s="383">
        <v>3245047.26</v>
      </c>
      <c r="H17" s="1046">
        <v>3158474</v>
      </c>
      <c r="I17" s="1047"/>
      <c r="J17" s="383">
        <v>-113256.7</v>
      </c>
      <c r="K17" s="462"/>
      <c r="L17" s="462"/>
    </row>
    <row r="18" spans="1:12" ht="15" customHeight="1">
      <c r="A18" s="1050"/>
      <c r="B18" s="1050"/>
      <c r="C18" s="382" t="s">
        <v>2372</v>
      </c>
      <c r="D18" s="1049" t="s">
        <v>1956</v>
      </c>
      <c r="E18" s="1047"/>
      <c r="F18" s="383">
        <v>-3598.42</v>
      </c>
      <c r="G18" s="383">
        <v>2077.69</v>
      </c>
      <c r="H18" s="1046">
        <v>0</v>
      </c>
      <c r="I18" s="1047"/>
      <c r="J18" s="383">
        <v>-5676.11</v>
      </c>
      <c r="K18" s="462"/>
      <c r="L18" s="462"/>
    </row>
    <row r="19" spans="1:12" ht="15" customHeight="1">
      <c r="A19" s="1050"/>
      <c r="B19" s="1050"/>
      <c r="C19" s="382" t="s">
        <v>2373</v>
      </c>
      <c r="D19" s="1049" t="s">
        <v>1957</v>
      </c>
      <c r="E19" s="1047"/>
      <c r="F19" s="383">
        <v>-156850.28</v>
      </c>
      <c r="G19" s="383">
        <v>1532339.67</v>
      </c>
      <c r="H19" s="1046">
        <v>1685072.05</v>
      </c>
      <c r="I19" s="1047"/>
      <c r="J19" s="383">
        <v>-4117.8999999999996</v>
      </c>
      <c r="K19" s="462"/>
      <c r="L19" s="462"/>
    </row>
    <row r="20" spans="1:12" ht="15" customHeight="1">
      <c r="A20" s="1050"/>
      <c r="B20" s="1050"/>
      <c r="C20" s="382" t="s">
        <v>3061</v>
      </c>
      <c r="D20" s="1049" t="s">
        <v>3062</v>
      </c>
      <c r="E20" s="1047"/>
      <c r="F20" s="383">
        <v>0</v>
      </c>
      <c r="G20" s="383">
        <v>5255499.66</v>
      </c>
      <c r="H20" s="1046">
        <v>5262499.66</v>
      </c>
      <c r="I20" s="1047"/>
      <c r="J20" s="383">
        <v>7000</v>
      </c>
      <c r="K20" s="462"/>
      <c r="L20" s="462"/>
    </row>
    <row r="21" spans="1:12">
      <c r="A21" s="1050"/>
      <c r="B21" s="1051"/>
      <c r="C21" s="437" t="s">
        <v>12</v>
      </c>
      <c r="D21" s="1060" t="s">
        <v>111</v>
      </c>
      <c r="E21" s="1047"/>
      <c r="F21" s="474">
        <v>-4052651.78</v>
      </c>
      <c r="G21" s="474">
        <v>301627342.23000002</v>
      </c>
      <c r="H21" s="1061">
        <v>301274425.64999998</v>
      </c>
      <c r="I21" s="1047"/>
      <c r="J21" s="474">
        <v>-4405568.3600000003</v>
      </c>
      <c r="K21" s="461">
        <f>J21</f>
        <v>-4405568.3600000003</v>
      </c>
      <c r="L21" s="462"/>
    </row>
    <row r="22" spans="1:12" ht="15" customHeight="1">
      <c r="A22" s="1050"/>
      <c r="B22" s="1049" t="s">
        <v>2374</v>
      </c>
      <c r="C22" s="382" t="s">
        <v>2375</v>
      </c>
      <c r="D22" s="1049" t="s">
        <v>1958</v>
      </c>
      <c r="E22" s="1047"/>
      <c r="F22" s="383">
        <v>0</v>
      </c>
      <c r="G22" s="383">
        <v>0</v>
      </c>
      <c r="H22" s="1046">
        <v>0</v>
      </c>
      <c r="I22" s="1047"/>
      <c r="J22" s="383">
        <v>0</v>
      </c>
      <c r="K22" s="462"/>
      <c r="L22" s="462"/>
    </row>
    <row r="23" spans="1:12">
      <c r="A23" s="1050"/>
      <c r="B23" s="1051"/>
      <c r="C23" s="437" t="s">
        <v>12</v>
      </c>
      <c r="D23" s="1060" t="s">
        <v>111</v>
      </c>
      <c r="E23" s="1047"/>
      <c r="F23" s="474">
        <v>0</v>
      </c>
      <c r="G23" s="474">
        <v>0</v>
      </c>
      <c r="H23" s="1061">
        <v>0</v>
      </c>
      <c r="I23" s="1047"/>
      <c r="J23" s="474">
        <v>0</v>
      </c>
      <c r="K23" s="462"/>
      <c r="L23" s="462"/>
    </row>
    <row r="24" spans="1:12" ht="15" customHeight="1">
      <c r="A24" s="1050"/>
      <c r="B24" s="1049" t="s">
        <v>2376</v>
      </c>
      <c r="C24" s="382" t="s">
        <v>2377</v>
      </c>
      <c r="D24" s="1049" t="s">
        <v>1959</v>
      </c>
      <c r="E24" s="1047"/>
      <c r="F24" s="383">
        <v>-9060000</v>
      </c>
      <c r="G24" s="383">
        <v>47000000</v>
      </c>
      <c r="H24" s="1046">
        <v>55060000</v>
      </c>
      <c r="I24" s="1047"/>
      <c r="J24" s="383">
        <v>-1000000</v>
      </c>
      <c r="K24" s="462"/>
      <c r="L24" s="462"/>
    </row>
    <row r="25" spans="1:12">
      <c r="A25" s="1050"/>
      <c r="B25" s="1051"/>
      <c r="C25" s="437" t="s">
        <v>12</v>
      </c>
      <c r="D25" s="1060" t="s">
        <v>111</v>
      </c>
      <c r="E25" s="1047"/>
      <c r="F25" s="474">
        <v>-9060000</v>
      </c>
      <c r="G25" s="474">
        <v>47000000</v>
      </c>
      <c r="H25" s="1061">
        <v>55060000</v>
      </c>
      <c r="I25" s="1047"/>
      <c r="J25" s="474">
        <v>-1000000</v>
      </c>
      <c r="K25" s="461">
        <f>J25</f>
        <v>-1000000</v>
      </c>
      <c r="L25" s="461">
        <f>SUM(K3:K25)</f>
        <v>-6398424.9900000002</v>
      </c>
    </row>
    <row r="26" spans="1:12" ht="15" customHeight="1">
      <c r="A26" s="1050"/>
      <c r="B26" s="1049" t="s">
        <v>2378</v>
      </c>
      <c r="C26" s="382" t="s">
        <v>2379</v>
      </c>
      <c r="D26" s="1049" t="s">
        <v>1960</v>
      </c>
      <c r="E26" s="1047"/>
      <c r="F26" s="383">
        <v>-2221428.2599999998</v>
      </c>
      <c r="G26" s="383">
        <v>2082158.39</v>
      </c>
      <c r="H26" s="1046">
        <v>2567395</v>
      </c>
      <c r="I26" s="1047"/>
      <c r="J26" s="383">
        <v>-1736191.65</v>
      </c>
    </row>
    <row r="27" spans="1:12" ht="15" customHeight="1">
      <c r="A27" s="1050"/>
      <c r="B27" s="1050"/>
      <c r="C27" s="382" t="s">
        <v>3063</v>
      </c>
      <c r="D27" s="1049" t="s">
        <v>3064</v>
      </c>
      <c r="E27" s="1047"/>
      <c r="F27" s="383">
        <v>0</v>
      </c>
      <c r="G27" s="383">
        <v>24000</v>
      </c>
      <c r="H27" s="1046">
        <v>24000</v>
      </c>
      <c r="I27" s="1047"/>
      <c r="J27" s="383">
        <v>0</v>
      </c>
    </row>
    <row r="28" spans="1:12">
      <c r="A28" s="1050"/>
      <c r="B28" s="1051"/>
      <c r="C28" s="437" t="s">
        <v>12</v>
      </c>
      <c r="D28" s="1060" t="s">
        <v>111</v>
      </c>
      <c r="E28" s="1047"/>
      <c r="F28" s="474">
        <v>-2221428.2599999998</v>
      </c>
      <c r="G28" s="474">
        <v>2106158.39</v>
      </c>
      <c r="H28" s="1061">
        <v>2591395</v>
      </c>
      <c r="I28" s="1047"/>
      <c r="J28" s="474">
        <v>-1736191.65</v>
      </c>
      <c r="K28" s="464">
        <f>J28</f>
        <v>-1736191.65</v>
      </c>
    </row>
    <row r="29" spans="1:12" ht="15" customHeight="1">
      <c r="A29" s="1050"/>
      <c r="B29" s="1049" t="s">
        <v>2380</v>
      </c>
      <c r="C29" s="382" t="s">
        <v>2381</v>
      </c>
      <c r="D29" s="1049" t="s">
        <v>2382</v>
      </c>
      <c r="E29" s="1047"/>
      <c r="F29" s="383">
        <v>-55842.45</v>
      </c>
      <c r="G29" s="383">
        <v>183633.74</v>
      </c>
      <c r="H29" s="1046">
        <v>45218.67</v>
      </c>
      <c r="I29" s="1047"/>
      <c r="J29" s="383">
        <v>-194257.52</v>
      </c>
      <c r="K29" s="465"/>
    </row>
    <row r="30" spans="1:12">
      <c r="A30" s="1050"/>
      <c r="B30" s="1051"/>
      <c r="C30" s="437" t="s">
        <v>12</v>
      </c>
      <c r="D30" s="1060" t="s">
        <v>111</v>
      </c>
      <c r="E30" s="1047"/>
      <c r="F30" s="474">
        <v>-55842.45</v>
      </c>
      <c r="G30" s="474">
        <v>183633.74</v>
      </c>
      <c r="H30" s="1061">
        <v>45218.67</v>
      </c>
      <c r="I30" s="1047"/>
      <c r="J30" s="474">
        <v>-194257.52</v>
      </c>
      <c r="K30" s="464">
        <f>J30</f>
        <v>-194257.52</v>
      </c>
    </row>
    <row r="31" spans="1:12" ht="15" customHeight="1">
      <c r="A31" s="1050"/>
      <c r="B31" s="1049" t="s">
        <v>2383</v>
      </c>
      <c r="C31" s="382" t="s">
        <v>2384</v>
      </c>
      <c r="D31" s="1049" t="s">
        <v>1961</v>
      </c>
      <c r="E31" s="1047"/>
      <c r="F31" s="383">
        <v>-19746949.920000002</v>
      </c>
      <c r="G31" s="383">
        <v>46832819.259999998</v>
      </c>
      <c r="H31" s="1046">
        <v>48255289.270000003</v>
      </c>
      <c r="I31" s="1047"/>
      <c r="J31" s="383">
        <v>-18324479.91</v>
      </c>
      <c r="K31" s="465"/>
    </row>
    <row r="32" spans="1:12" ht="15" customHeight="1">
      <c r="A32" s="1050"/>
      <c r="B32" s="1050"/>
      <c r="C32" s="382" t="s">
        <v>2385</v>
      </c>
      <c r="D32" s="1049" t="s">
        <v>1962</v>
      </c>
      <c r="E32" s="1047"/>
      <c r="F32" s="383">
        <v>-254613.48</v>
      </c>
      <c r="G32" s="383">
        <v>2714649.9</v>
      </c>
      <c r="H32" s="1046">
        <v>2536762.79</v>
      </c>
      <c r="I32" s="1047"/>
      <c r="J32" s="383">
        <v>-432500.59</v>
      </c>
      <c r="K32" s="465"/>
    </row>
    <row r="33" spans="1:11" ht="15" customHeight="1">
      <c r="A33" s="1050"/>
      <c r="B33" s="1050"/>
      <c r="C33" s="382" t="s">
        <v>2386</v>
      </c>
      <c r="D33" s="1049" t="s">
        <v>1963</v>
      </c>
      <c r="E33" s="1047"/>
      <c r="F33" s="383">
        <v>-19415663.120000001</v>
      </c>
      <c r="G33" s="383">
        <v>59750463.43</v>
      </c>
      <c r="H33" s="1046">
        <v>53387560.630000003</v>
      </c>
      <c r="I33" s="1047"/>
      <c r="J33" s="383">
        <v>-25778565.920000002</v>
      </c>
      <c r="K33" s="465"/>
    </row>
    <row r="34" spans="1:11" ht="15" customHeight="1">
      <c r="A34" s="1050"/>
      <c r="B34" s="1050"/>
      <c r="C34" s="382" t="s">
        <v>2387</v>
      </c>
      <c r="D34" s="1049" t="s">
        <v>1964</v>
      </c>
      <c r="E34" s="1047"/>
      <c r="F34" s="383">
        <v>-18055765.41</v>
      </c>
      <c r="G34" s="383">
        <v>35229813.469999999</v>
      </c>
      <c r="H34" s="1046">
        <v>34662735.329999998</v>
      </c>
      <c r="I34" s="1047"/>
      <c r="J34" s="383">
        <v>-18622843.550000001</v>
      </c>
      <c r="K34" s="465"/>
    </row>
    <row r="35" spans="1:11" ht="15" customHeight="1">
      <c r="A35" s="1050"/>
      <c r="B35" s="1050"/>
      <c r="C35" s="382" t="s">
        <v>2388</v>
      </c>
      <c r="D35" s="1049" t="s">
        <v>1965</v>
      </c>
      <c r="E35" s="1047"/>
      <c r="F35" s="383">
        <v>-26536598.68</v>
      </c>
      <c r="G35" s="383">
        <v>59144515.799999997</v>
      </c>
      <c r="H35" s="1046">
        <v>43701820.5</v>
      </c>
      <c r="I35" s="1047"/>
      <c r="J35" s="383">
        <v>-41979293.979999997</v>
      </c>
      <c r="K35" s="465"/>
    </row>
    <row r="36" spans="1:11" ht="15" customHeight="1">
      <c r="A36" s="1050"/>
      <c r="B36" s="1050"/>
      <c r="C36" s="382" t="s">
        <v>2389</v>
      </c>
      <c r="D36" s="1049" t="s">
        <v>1966</v>
      </c>
      <c r="E36" s="1047"/>
      <c r="F36" s="383">
        <v>-16514912.23</v>
      </c>
      <c r="G36" s="383">
        <v>22328347.91</v>
      </c>
      <c r="H36" s="1046">
        <v>16049028.539999999</v>
      </c>
      <c r="I36" s="1047"/>
      <c r="J36" s="383">
        <v>-22794231.600000001</v>
      </c>
      <c r="K36" s="465"/>
    </row>
    <row r="37" spans="1:11">
      <c r="A37" s="1050"/>
      <c r="B37" s="1051"/>
      <c r="C37" s="437" t="s">
        <v>12</v>
      </c>
      <c r="D37" s="1060" t="s">
        <v>111</v>
      </c>
      <c r="E37" s="1047"/>
      <c r="F37" s="474">
        <v>-100524502.84</v>
      </c>
      <c r="G37" s="474">
        <v>226000609.77000001</v>
      </c>
      <c r="H37" s="1061">
        <v>198593197.06</v>
      </c>
      <c r="I37" s="1047"/>
      <c r="J37" s="474">
        <v>-127931915.55</v>
      </c>
      <c r="K37" s="464">
        <f>J37</f>
        <v>-127931915.55</v>
      </c>
    </row>
    <row r="38" spans="1:11" ht="15" customHeight="1">
      <c r="A38" s="1050"/>
      <c r="B38" s="1049" t="s">
        <v>2390</v>
      </c>
      <c r="C38" s="382" t="s">
        <v>2391</v>
      </c>
      <c r="D38" s="1049" t="s">
        <v>2392</v>
      </c>
      <c r="E38" s="1047"/>
      <c r="F38" s="383">
        <v>-786901.75</v>
      </c>
      <c r="G38" s="383">
        <v>3780072.17</v>
      </c>
      <c r="H38" s="1046">
        <v>3266601.97</v>
      </c>
      <c r="I38" s="1047"/>
      <c r="J38" s="383">
        <v>-1300371.95</v>
      </c>
      <c r="K38" s="465"/>
    </row>
    <row r="39" spans="1:11" ht="15" customHeight="1">
      <c r="A39" s="1050"/>
      <c r="B39" s="1050"/>
      <c r="C39" s="382" t="s">
        <v>3065</v>
      </c>
      <c r="D39" s="1049" t="s">
        <v>1962</v>
      </c>
      <c r="E39" s="1047"/>
      <c r="F39" s="383">
        <v>0</v>
      </c>
      <c r="G39" s="383">
        <v>207407.53</v>
      </c>
      <c r="H39" s="1046">
        <v>73494.66</v>
      </c>
      <c r="I39" s="1047"/>
      <c r="J39" s="383">
        <v>-133912.87</v>
      </c>
      <c r="K39" s="465"/>
    </row>
    <row r="40" spans="1:11" ht="15" customHeight="1">
      <c r="A40" s="1050"/>
      <c r="B40" s="1050"/>
      <c r="C40" s="382" t="s">
        <v>2393</v>
      </c>
      <c r="D40" s="1049" t="s">
        <v>2394</v>
      </c>
      <c r="E40" s="1047"/>
      <c r="F40" s="383">
        <v>-568816.35</v>
      </c>
      <c r="G40" s="383">
        <v>1959897.38</v>
      </c>
      <c r="H40" s="1046">
        <v>1797277.98</v>
      </c>
      <c r="I40" s="1047"/>
      <c r="J40" s="383">
        <v>-731435.75</v>
      </c>
      <c r="K40" s="465"/>
    </row>
    <row r="41" spans="1:11" ht="15" customHeight="1">
      <c r="A41" s="1050"/>
      <c r="B41" s="1050"/>
      <c r="C41" s="382" t="s">
        <v>2395</v>
      </c>
      <c r="D41" s="1049" t="s">
        <v>1964</v>
      </c>
      <c r="E41" s="1047"/>
      <c r="F41" s="383">
        <v>-664629.56999999995</v>
      </c>
      <c r="G41" s="383">
        <v>2120241.88</v>
      </c>
      <c r="H41" s="1046">
        <v>2043528.25</v>
      </c>
      <c r="I41" s="1047"/>
      <c r="J41" s="383">
        <v>-741343.2</v>
      </c>
      <c r="K41" s="465"/>
    </row>
    <row r="42" spans="1:11" ht="15" customHeight="1">
      <c r="A42" s="1050"/>
      <c r="B42" s="1050"/>
      <c r="C42" s="382" t="s">
        <v>2396</v>
      </c>
      <c r="D42" s="1049" t="s">
        <v>2397</v>
      </c>
      <c r="E42" s="1047"/>
      <c r="F42" s="383">
        <v>-400928.01</v>
      </c>
      <c r="G42" s="383">
        <v>1560982.36</v>
      </c>
      <c r="H42" s="1046">
        <v>1450035.11</v>
      </c>
      <c r="I42" s="1047"/>
      <c r="J42" s="383">
        <v>-511875.26</v>
      </c>
      <c r="K42" s="465"/>
    </row>
    <row r="43" spans="1:11" ht="15" customHeight="1">
      <c r="A43" s="1050"/>
      <c r="B43" s="1050"/>
      <c r="C43" s="382" t="s">
        <v>2398</v>
      </c>
      <c r="D43" s="1049" t="s">
        <v>1966</v>
      </c>
      <c r="E43" s="1047"/>
      <c r="F43" s="383">
        <v>-63082.17</v>
      </c>
      <c r="G43" s="383">
        <v>996467.75</v>
      </c>
      <c r="H43" s="1046">
        <v>305486.88</v>
      </c>
      <c r="I43" s="1047"/>
      <c r="J43" s="383">
        <v>-754063.04</v>
      </c>
      <c r="K43" s="465"/>
    </row>
    <row r="44" spans="1:11">
      <c r="A44" s="1050"/>
      <c r="B44" s="1051"/>
      <c r="C44" s="437" t="s">
        <v>12</v>
      </c>
      <c r="D44" s="1060" t="s">
        <v>111</v>
      </c>
      <c r="E44" s="1047"/>
      <c r="F44" s="474">
        <v>-2484357.85</v>
      </c>
      <c r="G44" s="474">
        <v>10625069.07</v>
      </c>
      <c r="H44" s="1061">
        <v>8936424.8499999996</v>
      </c>
      <c r="I44" s="1047"/>
      <c r="J44" s="474">
        <v>-4173002.07</v>
      </c>
      <c r="K44" s="464">
        <f>J44</f>
        <v>-4173002.07</v>
      </c>
    </row>
    <row r="45" spans="1:11">
      <c r="A45" s="1050"/>
      <c r="B45" s="1049" t="s">
        <v>2399</v>
      </c>
      <c r="C45" s="382" t="s">
        <v>2400</v>
      </c>
      <c r="D45" s="1049" t="s">
        <v>1967</v>
      </c>
      <c r="E45" s="1047"/>
      <c r="F45" s="383">
        <v>-284.19</v>
      </c>
      <c r="G45" s="383">
        <v>1216093.07</v>
      </c>
      <c r="H45" s="1046">
        <v>1214841.47</v>
      </c>
      <c r="I45" s="1047"/>
      <c r="J45" s="383">
        <v>-1535.79</v>
      </c>
    </row>
    <row r="46" spans="1:11">
      <c r="A46" s="1050"/>
      <c r="B46" s="1050"/>
      <c r="C46" s="382" t="s">
        <v>3066</v>
      </c>
      <c r="D46" s="1049" t="s">
        <v>2060</v>
      </c>
      <c r="E46" s="1047"/>
      <c r="F46" s="383">
        <v>0</v>
      </c>
      <c r="G46" s="383">
        <v>1057.8800000000001</v>
      </c>
      <c r="H46" s="1046">
        <v>1008.89</v>
      </c>
      <c r="I46" s="1047"/>
      <c r="J46" s="383">
        <v>-48.99</v>
      </c>
    </row>
    <row r="47" spans="1:11" ht="15" customHeight="1">
      <c r="A47" s="1050"/>
      <c r="B47" s="1050"/>
      <c r="C47" s="382" t="s">
        <v>2401</v>
      </c>
      <c r="D47" s="1049" t="s">
        <v>1968</v>
      </c>
      <c r="E47" s="1047"/>
      <c r="F47" s="383">
        <v>0</v>
      </c>
      <c r="G47" s="383">
        <v>8978.43</v>
      </c>
      <c r="H47" s="1046">
        <v>8978.43</v>
      </c>
      <c r="I47" s="1047"/>
      <c r="J47" s="383">
        <v>0</v>
      </c>
    </row>
    <row r="48" spans="1:11" ht="15" customHeight="1">
      <c r="A48" s="1050"/>
      <c r="B48" s="1050"/>
      <c r="C48" s="382" t="s">
        <v>3067</v>
      </c>
      <c r="D48" s="1049" t="s">
        <v>3068</v>
      </c>
      <c r="E48" s="1047"/>
      <c r="F48" s="383">
        <v>0</v>
      </c>
      <c r="G48" s="383">
        <v>6250</v>
      </c>
      <c r="H48" s="1046">
        <v>6250</v>
      </c>
      <c r="I48" s="1047"/>
      <c r="J48" s="383">
        <v>0</v>
      </c>
    </row>
    <row r="49" spans="1:12">
      <c r="A49" s="1050"/>
      <c r="B49" s="1051"/>
      <c r="C49" s="437" t="s">
        <v>12</v>
      </c>
      <c r="D49" s="1060" t="s">
        <v>111</v>
      </c>
      <c r="E49" s="1047"/>
      <c r="F49" s="474">
        <v>-284.19</v>
      </c>
      <c r="G49" s="474">
        <v>1232379.3799999999</v>
      </c>
      <c r="H49" s="1061">
        <v>1231078.79</v>
      </c>
      <c r="I49" s="1047"/>
      <c r="J49" s="474">
        <v>-1584.78</v>
      </c>
      <c r="K49" s="434"/>
    </row>
    <row r="50" spans="1:12" ht="15" customHeight="1">
      <c r="A50" s="1050"/>
      <c r="B50" s="1049" t="s">
        <v>2402</v>
      </c>
      <c r="C50" s="382" t="s">
        <v>2403</v>
      </c>
      <c r="D50" s="1049" t="s">
        <v>2404</v>
      </c>
      <c r="E50" s="1047"/>
      <c r="F50" s="383">
        <v>-977455.77</v>
      </c>
      <c r="G50" s="383">
        <v>0</v>
      </c>
      <c r="H50" s="1046">
        <v>0</v>
      </c>
      <c r="I50" s="1047"/>
      <c r="J50" s="383">
        <v>-977455.77</v>
      </c>
    </row>
    <row r="51" spans="1:12" ht="15" customHeight="1">
      <c r="A51" s="1050"/>
      <c r="B51" s="1050"/>
      <c r="C51" s="382" t="s">
        <v>2405</v>
      </c>
      <c r="D51" s="1049" t="s">
        <v>1969</v>
      </c>
      <c r="E51" s="1047"/>
      <c r="F51" s="383">
        <v>-111276.87</v>
      </c>
      <c r="G51" s="383">
        <v>0</v>
      </c>
      <c r="H51" s="1046">
        <v>0</v>
      </c>
      <c r="I51" s="1047"/>
      <c r="J51" s="383">
        <v>-111276.87</v>
      </c>
    </row>
    <row r="52" spans="1:12" ht="15" customHeight="1">
      <c r="A52" s="1050"/>
      <c r="B52" s="1050"/>
      <c r="C52" s="382" t="s">
        <v>2406</v>
      </c>
      <c r="D52" s="1049" t="s">
        <v>1970</v>
      </c>
      <c r="E52" s="1047"/>
      <c r="F52" s="383">
        <v>-77744.95</v>
      </c>
      <c r="G52" s="383">
        <v>0</v>
      </c>
      <c r="H52" s="1046">
        <v>0</v>
      </c>
      <c r="I52" s="1047"/>
      <c r="J52" s="383">
        <v>-77744.95</v>
      </c>
    </row>
    <row r="53" spans="1:12" ht="15" customHeight="1">
      <c r="A53" s="1050"/>
      <c r="B53" s="1050"/>
      <c r="C53" s="382" t="s">
        <v>2407</v>
      </c>
      <c r="D53" s="1049" t="s">
        <v>1971</v>
      </c>
      <c r="E53" s="1047"/>
      <c r="F53" s="383">
        <v>1166477.5900000001</v>
      </c>
      <c r="G53" s="383">
        <v>0</v>
      </c>
      <c r="H53" s="1046">
        <v>0</v>
      </c>
      <c r="I53" s="1047"/>
      <c r="J53" s="383">
        <v>1166477.5900000001</v>
      </c>
    </row>
    <row r="54" spans="1:12">
      <c r="A54" s="1050"/>
      <c r="B54" s="1051"/>
      <c r="C54" s="437" t="s">
        <v>12</v>
      </c>
      <c r="D54" s="1060" t="s">
        <v>111</v>
      </c>
      <c r="E54" s="1047"/>
      <c r="F54" s="474">
        <v>0</v>
      </c>
      <c r="G54" s="474">
        <v>0</v>
      </c>
      <c r="H54" s="1061">
        <v>0</v>
      </c>
      <c r="I54" s="1047"/>
      <c r="J54" s="474">
        <v>0</v>
      </c>
      <c r="K54" s="434">
        <f>J54</f>
        <v>0</v>
      </c>
    </row>
    <row r="55" spans="1:12" ht="15" customHeight="1">
      <c r="A55" s="1050"/>
      <c r="B55" s="1049" t="s">
        <v>2408</v>
      </c>
      <c r="C55" s="382" t="s">
        <v>2409</v>
      </c>
      <c r="D55" s="1049" t="s">
        <v>1972</v>
      </c>
      <c r="E55" s="1047"/>
      <c r="F55" s="383">
        <v>0</v>
      </c>
      <c r="G55" s="383">
        <v>0</v>
      </c>
      <c r="H55" s="1046">
        <v>0</v>
      </c>
      <c r="I55" s="1047"/>
      <c r="J55" s="383">
        <v>0</v>
      </c>
      <c r="K55" s="448">
        <f>SUM(K28:K54)</f>
        <v>-134035366.78999999</v>
      </c>
    </row>
    <row r="56" spans="1:12">
      <c r="A56" s="1050"/>
      <c r="B56" s="1051"/>
      <c r="C56" s="437" t="s">
        <v>12</v>
      </c>
      <c r="D56" s="1060" t="s">
        <v>111</v>
      </c>
      <c r="E56" s="1047"/>
      <c r="F56" s="474">
        <v>0</v>
      </c>
      <c r="G56" s="474">
        <v>0</v>
      </c>
      <c r="H56" s="1061">
        <v>0</v>
      </c>
      <c r="I56" s="1047"/>
      <c r="J56" s="474">
        <v>0</v>
      </c>
    </row>
    <row r="57" spans="1:12" ht="15" customHeight="1">
      <c r="A57" s="1050"/>
      <c r="B57" s="1049" t="s">
        <v>2410</v>
      </c>
      <c r="C57" s="382" t="s">
        <v>2411</v>
      </c>
      <c r="D57" s="1049" t="s">
        <v>1973</v>
      </c>
      <c r="E57" s="1047"/>
      <c r="F57" s="383">
        <v>-579821.13</v>
      </c>
      <c r="G57" s="383">
        <v>5555086.7599999998</v>
      </c>
      <c r="H57" s="1046">
        <v>5726792.6200000001</v>
      </c>
      <c r="I57" s="1047"/>
      <c r="J57" s="383">
        <v>-408115.27</v>
      </c>
    </row>
    <row r="58" spans="1:12" ht="15" customHeight="1">
      <c r="A58" s="1050"/>
      <c r="B58" s="1050"/>
      <c r="C58" s="382" t="s">
        <v>2412</v>
      </c>
      <c r="D58" s="1049" t="s">
        <v>1974</v>
      </c>
      <c r="E58" s="1047"/>
      <c r="F58" s="383">
        <v>-41597.629999999997</v>
      </c>
      <c r="G58" s="383">
        <v>377917.01</v>
      </c>
      <c r="H58" s="1046">
        <v>300840.67</v>
      </c>
      <c r="I58" s="1047"/>
      <c r="J58" s="383">
        <v>-118673.97</v>
      </c>
    </row>
    <row r="59" spans="1:12">
      <c r="A59" s="1050"/>
      <c r="B59" s="1051"/>
      <c r="C59" s="437" t="s">
        <v>12</v>
      </c>
      <c r="D59" s="1060" t="s">
        <v>111</v>
      </c>
      <c r="E59" s="1047"/>
      <c r="F59" s="474">
        <v>-621418.76</v>
      </c>
      <c r="G59" s="474">
        <v>5933003.7699999996</v>
      </c>
      <c r="H59" s="1061">
        <v>6027633.29</v>
      </c>
      <c r="I59" s="1047"/>
      <c r="J59" s="474">
        <v>-526789.24</v>
      </c>
      <c r="L59" s="446">
        <f>J59</f>
        <v>-526789.24</v>
      </c>
    </row>
    <row r="60" spans="1:12" ht="15" customHeight="1">
      <c r="A60" s="1050"/>
      <c r="B60" s="1049" t="s">
        <v>2413</v>
      </c>
      <c r="C60" s="382" t="s">
        <v>2414</v>
      </c>
      <c r="D60" s="1049" t="s">
        <v>1975</v>
      </c>
      <c r="E60" s="1047"/>
      <c r="F60" s="383">
        <v>-103976.19</v>
      </c>
      <c r="G60" s="383">
        <v>66114.98</v>
      </c>
      <c r="H60" s="1046">
        <v>170091.17</v>
      </c>
      <c r="I60" s="1047"/>
      <c r="J60" s="383">
        <v>0</v>
      </c>
    </row>
    <row r="61" spans="1:12">
      <c r="A61" s="1050"/>
      <c r="B61" s="1051"/>
      <c r="C61" s="437" t="s">
        <v>12</v>
      </c>
      <c r="D61" s="1060" t="s">
        <v>111</v>
      </c>
      <c r="E61" s="1047"/>
      <c r="F61" s="474">
        <v>-103976.19</v>
      </c>
      <c r="G61" s="474">
        <v>66114.98</v>
      </c>
      <c r="H61" s="1061">
        <v>170091.17</v>
      </c>
      <c r="I61" s="1047"/>
      <c r="J61" s="474">
        <v>0</v>
      </c>
    </row>
    <row r="62" spans="1:12" ht="15" customHeight="1">
      <c r="A62" s="1050"/>
      <c r="B62" s="1049" t="s">
        <v>2415</v>
      </c>
      <c r="C62" s="382" t="s">
        <v>2416</v>
      </c>
      <c r="D62" s="1049" t="s">
        <v>1976</v>
      </c>
      <c r="E62" s="1047"/>
      <c r="F62" s="383">
        <v>-241223.1</v>
      </c>
      <c r="G62" s="383">
        <v>2578985.21</v>
      </c>
      <c r="H62" s="1046">
        <v>2598774.59</v>
      </c>
      <c r="I62" s="1047"/>
      <c r="J62" s="383">
        <v>-221433.72</v>
      </c>
    </row>
    <row r="63" spans="1:12" ht="15" customHeight="1">
      <c r="A63" s="1050"/>
      <c r="B63" s="1050"/>
      <c r="C63" s="382" t="s">
        <v>2417</v>
      </c>
      <c r="D63" s="1049" t="s">
        <v>2418</v>
      </c>
      <c r="E63" s="1047"/>
      <c r="F63" s="383">
        <v>0</v>
      </c>
      <c r="G63" s="383">
        <v>0</v>
      </c>
      <c r="H63" s="1046">
        <v>0</v>
      </c>
      <c r="I63" s="1047"/>
      <c r="J63" s="383">
        <v>0</v>
      </c>
    </row>
    <row r="64" spans="1:12" ht="15" customHeight="1">
      <c r="A64" s="1050"/>
      <c r="B64" s="1050"/>
      <c r="C64" s="382" t="s">
        <v>2419</v>
      </c>
      <c r="D64" s="1049" t="s">
        <v>1977</v>
      </c>
      <c r="E64" s="1047"/>
      <c r="F64" s="383">
        <v>-296142.15999999997</v>
      </c>
      <c r="G64" s="383">
        <v>5127003.04</v>
      </c>
      <c r="H64" s="1046">
        <v>4686950.49</v>
      </c>
      <c r="I64" s="1047"/>
      <c r="J64" s="383">
        <v>-736194.71</v>
      </c>
    </row>
    <row r="65" spans="1:16">
      <c r="A65" s="1050"/>
      <c r="B65" s="1051"/>
      <c r="C65" s="437" t="s">
        <v>12</v>
      </c>
      <c r="D65" s="1060" t="s">
        <v>111</v>
      </c>
      <c r="E65" s="1047"/>
      <c r="F65" s="474">
        <v>-537365.26</v>
      </c>
      <c r="G65" s="474">
        <v>7705988.25</v>
      </c>
      <c r="H65" s="1061">
        <v>7285725.0800000001</v>
      </c>
      <c r="I65" s="1047"/>
      <c r="J65" s="474">
        <v>-957628.43</v>
      </c>
      <c r="M65" s="456">
        <f>J65</f>
        <v>-957628.43</v>
      </c>
    </row>
    <row r="66" spans="1:16" ht="15" customHeight="1">
      <c r="A66" s="1050"/>
      <c r="B66" s="1049" t="s">
        <v>2420</v>
      </c>
      <c r="C66" s="382" t="s">
        <v>2421</v>
      </c>
      <c r="D66" s="1049" t="s">
        <v>1978</v>
      </c>
      <c r="E66" s="1047"/>
      <c r="F66" s="383">
        <v>-5100</v>
      </c>
      <c r="G66" s="383">
        <v>1093524.76</v>
      </c>
      <c r="H66" s="1046">
        <v>1018808.76</v>
      </c>
      <c r="I66" s="1047"/>
      <c r="J66" s="383">
        <v>-79816</v>
      </c>
    </row>
    <row r="67" spans="1:16" ht="15" customHeight="1">
      <c r="A67" s="1050"/>
      <c r="B67" s="1050"/>
      <c r="C67" s="382" t="s">
        <v>2422</v>
      </c>
      <c r="D67" s="1049" t="s">
        <v>1979</v>
      </c>
      <c r="E67" s="1047"/>
      <c r="F67" s="383">
        <v>-10154.61</v>
      </c>
      <c r="G67" s="383">
        <v>2940517.04</v>
      </c>
      <c r="H67" s="1046">
        <v>2950671.65</v>
      </c>
      <c r="I67" s="1047"/>
      <c r="J67" s="383">
        <v>0</v>
      </c>
    </row>
    <row r="68" spans="1:16" ht="15" customHeight="1">
      <c r="A68" s="1050"/>
      <c r="B68" s="1050"/>
      <c r="C68" s="382" t="s">
        <v>2423</v>
      </c>
      <c r="D68" s="1049" t="s">
        <v>1980</v>
      </c>
      <c r="E68" s="1047"/>
      <c r="F68" s="383">
        <v>-56357.98</v>
      </c>
      <c r="G68" s="383">
        <v>579847.18999999994</v>
      </c>
      <c r="H68" s="1046">
        <v>576884.05000000005</v>
      </c>
      <c r="I68" s="1047"/>
      <c r="J68" s="383">
        <v>-59321.120000000003</v>
      </c>
    </row>
    <row r="69" spans="1:16">
      <c r="A69" s="1050"/>
      <c r="B69" s="1051"/>
      <c r="C69" s="437" t="s">
        <v>12</v>
      </c>
      <c r="D69" s="1060" t="s">
        <v>111</v>
      </c>
      <c r="E69" s="1047"/>
      <c r="F69" s="474">
        <v>-71612.59</v>
      </c>
      <c r="G69" s="474">
        <v>4613888.99</v>
      </c>
      <c r="H69" s="1061">
        <v>4546364.46</v>
      </c>
      <c r="I69" s="1047"/>
      <c r="J69" s="474">
        <v>-139137.12</v>
      </c>
    </row>
    <row r="70" spans="1:16" ht="15" customHeight="1">
      <c r="A70" s="1050"/>
      <c r="B70" s="1049" t="s">
        <v>2424</v>
      </c>
      <c r="C70" s="382" t="s">
        <v>2425</v>
      </c>
      <c r="D70" s="1049" t="s">
        <v>1981</v>
      </c>
      <c r="E70" s="1047"/>
      <c r="F70" s="383">
        <v>0</v>
      </c>
      <c r="G70" s="383">
        <v>0</v>
      </c>
      <c r="H70" s="1046">
        <v>0</v>
      </c>
      <c r="I70" s="1047"/>
      <c r="J70" s="383">
        <v>0</v>
      </c>
    </row>
    <row r="71" spans="1:16">
      <c r="A71" s="1050"/>
      <c r="B71" s="1051"/>
      <c r="C71" s="437" t="s">
        <v>12</v>
      </c>
      <c r="D71" s="1060" t="s">
        <v>111</v>
      </c>
      <c r="E71" s="1047"/>
      <c r="F71" s="474">
        <v>0</v>
      </c>
      <c r="G71" s="474">
        <v>0</v>
      </c>
      <c r="H71" s="1061">
        <v>0</v>
      </c>
      <c r="I71" s="1047"/>
      <c r="J71" s="474">
        <v>0</v>
      </c>
    </row>
    <row r="72" spans="1:16" ht="15" customHeight="1">
      <c r="A72" s="1050"/>
      <c r="B72" s="1049" t="s">
        <v>2426</v>
      </c>
      <c r="C72" s="382" t="s">
        <v>2427</v>
      </c>
      <c r="D72" s="1049" t="s">
        <v>1982</v>
      </c>
      <c r="E72" s="1047"/>
      <c r="F72" s="383">
        <v>-569835.61</v>
      </c>
      <c r="G72" s="383">
        <v>8147265.1900000004</v>
      </c>
      <c r="H72" s="1046">
        <v>8164681.25</v>
      </c>
      <c r="I72" s="1047"/>
      <c r="J72" s="383">
        <v>-552419.55000000005</v>
      </c>
    </row>
    <row r="73" spans="1:16" ht="15" customHeight="1">
      <c r="A73" s="1050"/>
      <c r="B73" s="1050"/>
      <c r="C73" s="382" t="s">
        <v>2428</v>
      </c>
      <c r="D73" s="1049" t="s">
        <v>1983</v>
      </c>
      <c r="E73" s="1047"/>
      <c r="F73" s="383">
        <v>-7804.29</v>
      </c>
      <c r="G73" s="383">
        <v>485180.2</v>
      </c>
      <c r="H73" s="1046">
        <v>483697.08</v>
      </c>
      <c r="I73" s="1047"/>
      <c r="J73" s="383">
        <v>-9287.41</v>
      </c>
    </row>
    <row r="74" spans="1:16" ht="15" customHeight="1">
      <c r="A74" s="1050"/>
      <c r="B74" s="1050"/>
      <c r="C74" s="382" t="s">
        <v>2429</v>
      </c>
      <c r="D74" s="1049" t="s">
        <v>1984</v>
      </c>
      <c r="E74" s="1047"/>
      <c r="F74" s="383">
        <v>-554857.98</v>
      </c>
      <c r="G74" s="383">
        <v>10377241.41</v>
      </c>
      <c r="H74" s="1046">
        <v>10172488.140000001</v>
      </c>
      <c r="I74" s="1047"/>
      <c r="J74" s="383">
        <v>-759611.25</v>
      </c>
    </row>
    <row r="75" spans="1:16" ht="15" customHeight="1">
      <c r="A75" s="1050"/>
      <c r="B75" s="1050"/>
      <c r="C75" s="382" t="s">
        <v>2430</v>
      </c>
      <c r="D75" s="1049" t="s">
        <v>1985</v>
      </c>
      <c r="E75" s="1047"/>
      <c r="F75" s="383">
        <v>-496398.49</v>
      </c>
      <c r="G75" s="383">
        <v>9211269.3300000001</v>
      </c>
      <c r="H75" s="1046">
        <v>9184612.9100000001</v>
      </c>
      <c r="I75" s="1047"/>
      <c r="J75" s="383">
        <v>-523054.91</v>
      </c>
    </row>
    <row r="76" spans="1:16" ht="15" customHeight="1">
      <c r="A76" s="1050"/>
      <c r="B76" s="1050"/>
      <c r="C76" s="382" t="s">
        <v>2431</v>
      </c>
      <c r="D76" s="1049" t="s">
        <v>1986</v>
      </c>
      <c r="E76" s="1047"/>
      <c r="F76" s="383">
        <v>-724894.98</v>
      </c>
      <c r="G76" s="383">
        <v>16912177.670000002</v>
      </c>
      <c r="H76" s="1046">
        <v>16396743.439999999</v>
      </c>
      <c r="I76" s="1047"/>
      <c r="J76" s="383">
        <v>-1240329.21</v>
      </c>
    </row>
    <row r="77" spans="1:16" ht="15" customHeight="1">
      <c r="A77" s="1050"/>
      <c r="B77" s="1050"/>
      <c r="C77" s="382" t="s">
        <v>2432</v>
      </c>
      <c r="D77" s="1049" t="s">
        <v>1987</v>
      </c>
      <c r="E77" s="1047"/>
      <c r="F77" s="383">
        <v>-16753.099999999999</v>
      </c>
      <c r="G77" s="383">
        <v>325944.71000000002</v>
      </c>
      <c r="H77" s="1046">
        <v>330299.90999999997</v>
      </c>
      <c r="I77" s="1047"/>
      <c r="J77" s="383">
        <v>-12397.9</v>
      </c>
    </row>
    <row r="78" spans="1:16" ht="15" customHeight="1">
      <c r="A78" s="1050"/>
      <c r="B78" s="1050"/>
      <c r="C78" s="382" t="s">
        <v>2433</v>
      </c>
      <c r="D78" s="1049" t="s">
        <v>1988</v>
      </c>
      <c r="E78" s="1047"/>
      <c r="F78" s="383">
        <v>-443997.61</v>
      </c>
      <c r="G78" s="383">
        <v>10225052.24</v>
      </c>
      <c r="H78" s="1046">
        <v>10001337.91</v>
      </c>
      <c r="I78" s="1047"/>
      <c r="J78" s="383">
        <v>-667711.93999999994</v>
      </c>
    </row>
    <row r="79" spans="1:16">
      <c r="A79" s="1050"/>
      <c r="B79" s="1051"/>
      <c r="C79" s="437" t="s">
        <v>12</v>
      </c>
      <c r="D79" s="1060" t="s">
        <v>111</v>
      </c>
      <c r="E79" s="1047"/>
      <c r="F79" s="474">
        <v>-2814542.06</v>
      </c>
      <c r="G79" s="474">
        <v>55684130.75</v>
      </c>
      <c r="H79" s="1061">
        <v>54733860.640000001</v>
      </c>
      <c r="I79" s="1047"/>
      <c r="J79" s="474">
        <v>-3764812.17</v>
      </c>
      <c r="P79" s="458">
        <f>J79</f>
        <v>-3764812.17</v>
      </c>
    </row>
    <row r="80" spans="1:16" ht="15" customHeight="1">
      <c r="A80" s="1050"/>
      <c r="B80" s="1049" t="s">
        <v>2434</v>
      </c>
      <c r="C80" s="382" t="s">
        <v>2435</v>
      </c>
      <c r="D80" s="1049" t="s">
        <v>1989</v>
      </c>
      <c r="E80" s="1047"/>
      <c r="F80" s="383">
        <v>-74268.179999999993</v>
      </c>
      <c r="G80" s="383">
        <v>8085449.8600000003</v>
      </c>
      <c r="H80" s="1046">
        <v>8110693.6299999999</v>
      </c>
      <c r="I80" s="1047"/>
      <c r="J80" s="383">
        <v>-49024.41</v>
      </c>
      <c r="P80" s="463"/>
    </row>
    <row r="81" spans="1:16" ht="15" customHeight="1">
      <c r="A81" s="1050"/>
      <c r="B81" s="1050"/>
      <c r="C81" s="382" t="s">
        <v>2436</v>
      </c>
      <c r="D81" s="1049" t="s">
        <v>1990</v>
      </c>
      <c r="E81" s="1047"/>
      <c r="F81" s="383">
        <v>-312.25</v>
      </c>
      <c r="G81" s="383">
        <v>483826.83</v>
      </c>
      <c r="H81" s="1046">
        <v>479001.38</v>
      </c>
      <c r="I81" s="1047"/>
      <c r="J81" s="383">
        <v>-5137.7</v>
      </c>
      <c r="P81" s="463"/>
    </row>
    <row r="82" spans="1:16" ht="15" customHeight="1">
      <c r="A82" s="1050"/>
      <c r="B82" s="1050"/>
      <c r="C82" s="382" t="s">
        <v>2437</v>
      </c>
      <c r="D82" s="1049" t="s">
        <v>1991</v>
      </c>
      <c r="E82" s="1047"/>
      <c r="F82" s="383">
        <v>-46083.21</v>
      </c>
      <c r="G82" s="383">
        <v>10060433.09</v>
      </c>
      <c r="H82" s="1046">
        <v>10057453.880000001</v>
      </c>
      <c r="I82" s="1047"/>
      <c r="J82" s="383">
        <v>-49062.42</v>
      </c>
      <c r="P82" s="463"/>
    </row>
    <row r="83" spans="1:16" ht="15" customHeight="1">
      <c r="A83" s="1050"/>
      <c r="B83" s="1050"/>
      <c r="C83" s="382" t="s">
        <v>2438</v>
      </c>
      <c r="D83" s="1049" t="s">
        <v>1992</v>
      </c>
      <c r="E83" s="1047"/>
      <c r="F83" s="383">
        <v>-41767.24</v>
      </c>
      <c r="G83" s="383">
        <v>9129094.5099999998</v>
      </c>
      <c r="H83" s="1046">
        <v>9139895.3000000007</v>
      </c>
      <c r="I83" s="1047"/>
      <c r="J83" s="383">
        <v>-30966.45</v>
      </c>
      <c r="P83" s="463"/>
    </row>
    <row r="84" spans="1:16" ht="15" customHeight="1">
      <c r="A84" s="1050"/>
      <c r="B84" s="1050"/>
      <c r="C84" s="382" t="s">
        <v>2439</v>
      </c>
      <c r="D84" s="1049" t="s">
        <v>1993</v>
      </c>
      <c r="E84" s="1047"/>
      <c r="F84" s="383">
        <v>-33795.56</v>
      </c>
      <c r="G84" s="383">
        <v>16248690.52</v>
      </c>
      <c r="H84" s="1046">
        <v>16236953.33</v>
      </c>
      <c r="I84" s="1047"/>
      <c r="J84" s="383">
        <v>-45532.75</v>
      </c>
      <c r="P84" s="463"/>
    </row>
    <row r="85" spans="1:16" ht="15" customHeight="1">
      <c r="A85" s="1050"/>
      <c r="B85" s="1050"/>
      <c r="C85" s="382" t="s">
        <v>2440</v>
      </c>
      <c r="D85" s="1049" t="s">
        <v>1994</v>
      </c>
      <c r="E85" s="1047"/>
      <c r="F85" s="383">
        <v>-4341.96</v>
      </c>
      <c r="G85" s="383">
        <v>329991.64</v>
      </c>
      <c r="H85" s="1046">
        <v>332398.89</v>
      </c>
      <c r="I85" s="1047"/>
      <c r="J85" s="383">
        <v>-1934.71</v>
      </c>
      <c r="P85" s="463"/>
    </row>
    <row r="86" spans="1:16" ht="15" customHeight="1">
      <c r="A86" s="1050"/>
      <c r="B86" s="1050"/>
      <c r="C86" s="382" t="s">
        <v>2441</v>
      </c>
      <c r="D86" s="1049" t="s">
        <v>1995</v>
      </c>
      <c r="E86" s="1047"/>
      <c r="F86" s="383">
        <v>-13922.33</v>
      </c>
      <c r="G86" s="383">
        <v>9880521.1999999993</v>
      </c>
      <c r="H86" s="1046">
        <v>9848856.1199999992</v>
      </c>
      <c r="I86" s="1047"/>
      <c r="J86" s="383">
        <v>-45587.41</v>
      </c>
      <c r="P86" s="463"/>
    </row>
    <row r="87" spans="1:16">
      <c r="A87" s="1050"/>
      <c r="B87" s="1051"/>
      <c r="C87" s="437" t="s">
        <v>12</v>
      </c>
      <c r="D87" s="1060" t="s">
        <v>111</v>
      </c>
      <c r="E87" s="1047"/>
      <c r="F87" s="474">
        <v>-214490.73</v>
      </c>
      <c r="G87" s="474">
        <v>54218007.649999999</v>
      </c>
      <c r="H87" s="1061">
        <v>54205252.530000001</v>
      </c>
      <c r="I87" s="1047"/>
      <c r="J87" s="474">
        <v>-227245.85</v>
      </c>
      <c r="P87" s="458">
        <f>J87</f>
        <v>-227245.85</v>
      </c>
    </row>
    <row r="88" spans="1:16" ht="15" customHeight="1">
      <c r="A88" s="1050"/>
      <c r="B88" s="1049" t="s">
        <v>2442</v>
      </c>
      <c r="C88" s="382" t="s">
        <v>2443</v>
      </c>
      <c r="D88" s="1049" t="s">
        <v>1996</v>
      </c>
      <c r="E88" s="1047"/>
      <c r="F88" s="383">
        <v>-502.47</v>
      </c>
      <c r="G88" s="383">
        <v>37140.379999999997</v>
      </c>
      <c r="H88" s="1046">
        <v>36979.03</v>
      </c>
      <c r="I88" s="1047"/>
      <c r="J88" s="383">
        <v>-663.82</v>
      </c>
      <c r="P88" s="463"/>
    </row>
    <row r="89" spans="1:16" ht="15" customHeight="1">
      <c r="A89" s="1050"/>
      <c r="B89" s="1050"/>
      <c r="C89" s="382" t="s">
        <v>3069</v>
      </c>
      <c r="D89" s="1049" t="s">
        <v>3070</v>
      </c>
      <c r="E89" s="1047"/>
      <c r="F89" s="383">
        <v>0</v>
      </c>
      <c r="G89" s="383">
        <v>1525.43</v>
      </c>
      <c r="H89" s="1046">
        <v>1472.2</v>
      </c>
      <c r="I89" s="1047"/>
      <c r="J89" s="383">
        <v>-53.23</v>
      </c>
      <c r="P89" s="463"/>
    </row>
    <row r="90" spans="1:16" ht="15" customHeight="1">
      <c r="A90" s="1050"/>
      <c r="B90" s="1050"/>
      <c r="C90" s="382" t="s">
        <v>2444</v>
      </c>
      <c r="D90" s="1049" t="s">
        <v>1997</v>
      </c>
      <c r="E90" s="1047"/>
      <c r="F90" s="383">
        <v>-302.82</v>
      </c>
      <c r="G90" s="383">
        <v>24062.35</v>
      </c>
      <c r="H90" s="1046">
        <v>23772.04</v>
      </c>
      <c r="I90" s="1047"/>
      <c r="J90" s="383">
        <v>-593.13</v>
      </c>
      <c r="P90" s="463"/>
    </row>
    <row r="91" spans="1:16" ht="15" customHeight="1">
      <c r="A91" s="1050"/>
      <c r="B91" s="1050"/>
      <c r="C91" s="382" t="s">
        <v>2445</v>
      </c>
      <c r="D91" s="1049" t="s">
        <v>1998</v>
      </c>
      <c r="E91" s="1047"/>
      <c r="F91" s="383">
        <v>-1765.45</v>
      </c>
      <c r="G91" s="383">
        <v>72130.42</v>
      </c>
      <c r="H91" s="1046">
        <v>70788.899999999994</v>
      </c>
      <c r="I91" s="1047"/>
      <c r="J91" s="383">
        <v>-3106.97</v>
      </c>
      <c r="P91" s="463"/>
    </row>
    <row r="92" spans="1:16" ht="15" customHeight="1">
      <c r="A92" s="1050"/>
      <c r="B92" s="1050"/>
      <c r="C92" s="382" t="s">
        <v>2446</v>
      </c>
      <c r="D92" s="1049" t="s">
        <v>1999</v>
      </c>
      <c r="E92" s="1047"/>
      <c r="F92" s="383">
        <v>-2373.62</v>
      </c>
      <c r="G92" s="383">
        <v>77743.17</v>
      </c>
      <c r="H92" s="1046">
        <v>74974.539999999994</v>
      </c>
      <c r="I92" s="1047"/>
      <c r="J92" s="383">
        <v>-5142.25</v>
      </c>
      <c r="P92" s="463"/>
    </row>
    <row r="93" spans="1:16" ht="15" customHeight="1">
      <c r="A93" s="1050"/>
      <c r="B93" s="1050"/>
      <c r="C93" s="382" t="s">
        <v>2447</v>
      </c>
      <c r="D93" s="1049" t="s">
        <v>2000</v>
      </c>
      <c r="E93" s="1047"/>
      <c r="F93" s="383">
        <v>-339.92</v>
      </c>
      <c r="G93" s="383">
        <v>11131.73</v>
      </c>
      <c r="H93" s="1046">
        <v>10451.41</v>
      </c>
      <c r="I93" s="1047"/>
      <c r="J93" s="383">
        <v>-1020.24</v>
      </c>
      <c r="P93" s="463"/>
    </row>
    <row r="94" spans="1:16" ht="15" customHeight="1">
      <c r="A94" s="1050"/>
      <c r="B94" s="1050"/>
      <c r="C94" s="382" t="s">
        <v>2448</v>
      </c>
      <c r="D94" s="1049" t="s">
        <v>2001</v>
      </c>
      <c r="E94" s="1047"/>
      <c r="F94" s="383">
        <v>-1043.1199999999999</v>
      </c>
      <c r="G94" s="383">
        <v>83052.740000000005</v>
      </c>
      <c r="H94" s="1046">
        <v>59243.94</v>
      </c>
      <c r="I94" s="1047"/>
      <c r="J94" s="383">
        <v>-24851.919999999998</v>
      </c>
      <c r="P94" s="463"/>
    </row>
    <row r="95" spans="1:16">
      <c r="A95" s="1050"/>
      <c r="B95" s="1051"/>
      <c r="C95" s="437" t="s">
        <v>12</v>
      </c>
      <c r="D95" s="1060" t="s">
        <v>111</v>
      </c>
      <c r="E95" s="1047"/>
      <c r="F95" s="474">
        <v>-6327.4</v>
      </c>
      <c r="G95" s="474">
        <v>306786.21999999997</v>
      </c>
      <c r="H95" s="1061">
        <v>277682.06</v>
      </c>
      <c r="I95" s="1047"/>
      <c r="J95" s="474">
        <v>-35431.56</v>
      </c>
      <c r="P95" s="458">
        <f>J95</f>
        <v>-35431.56</v>
      </c>
    </row>
    <row r="96" spans="1:16" ht="15" customHeight="1">
      <c r="A96" s="1050"/>
      <c r="B96" s="1049" t="s">
        <v>2449</v>
      </c>
      <c r="C96" s="382" t="s">
        <v>2450</v>
      </c>
      <c r="D96" s="1049" t="s">
        <v>2002</v>
      </c>
      <c r="E96" s="1047"/>
      <c r="F96" s="383">
        <v>-25947.74</v>
      </c>
      <c r="G96" s="383">
        <v>279689.17</v>
      </c>
      <c r="H96" s="1046">
        <v>218347.62</v>
      </c>
      <c r="I96" s="1047"/>
      <c r="J96" s="383">
        <v>-87289.29</v>
      </c>
      <c r="P96" s="463"/>
    </row>
    <row r="97" spans="1:16" ht="15" customHeight="1">
      <c r="A97" s="1050"/>
      <c r="B97" s="1050"/>
      <c r="C97" s="382" t="s">
        <v>3071</v>
      </c>
      <c r="D97" s="1049" t="s">
        <v>3072</v>
      </c>
      <c r="E97" s="1047"/>
      <c r="F97" s="383">
        <v>0</v>
      </c>
      <c r="G97" s="383">
        <v>14870.47</v>
      </c>
      <c r="H97" s="1046">
        <v>6119.82</v>
      </c>
      <c r="I97" s="1047"/>
      <c r="J97" s="383">
        <v>-8750.65</v>
      </c>
      <c r="P97" s="463"/>
    </row>
    <row r="98" spans="1:16" ht="15" customHeight="1">
      <c r="A98" s="1050"/>
      <c r="B98" s="1050"/>
      <c r="C98" s="382" t="s">
        <v>2451</v>
      </c>
      <c r="D98" s="1049" t="s">
        <v>2003</v>
      </c>
      <c r="E98" s="1047"/>
      <c r="F98" s="383">
        <v>-23145.5</v>
      </c>
      <c r="G98" s="383">
        <v>141809.20000000001</v>
      </c>
      <c r="H98" s="1046">
        <v>116873.37</v>
      </c>
      <c r="I98" s="1047"/>
      <c r="J98" s="383">
        <v>-48081.33</v>
      </c>
      <c r="P98" s="463"/>
    </row>
    <row r="99" spans="1:16" ht="15" customHeight="1">
      <c r="A99" s="1050"/>
      <c r="B99" s="1050"/>
      <c r="C99" s="382" t="s">
        <v>2452</v>
      </c>
      <c r="D99" s="1049" t="s">
        <v>2004</v>
      </c>
      <c r="E99" s="1047"/>
      <c r="F99" s="383">
        <v>-48893.84</v>
      </c>
      <c r="G99" s="383">
        <v>239260.41</v>
      </c>
      <c r="H99" s="1046">
        <v>207984.86</v>
      </c>
      <c r="I99" s="1047"/>
      <c r="J99" s="383">
        <v>-80169.39</v>
      </c>
      <c r="P99" s="463"/>
    </row>
    <row r="100" spans="1:16" ht="15" customHeight="1">
      <c r="A100" s="1050"/>
      <c r="B100" s="1050"/>
      <c r="C100" s="382" t="s">
        <v>2453</v>
      </c>
      <c r="D100" s="1049" t="s">
        <v>2005</v>
      </c>
      <c r="E100" s="1047"/>
      <c r="F100" s="383">
        <v>-36751.11</v>
      </c>
      <c r="G100" s="383">
        <v>186435.12</v>
      </c>
      <c r="H100" s="1046">
        <v>164868.32</v>
      </c>
      <c r="I100" s="1047"/>
      <c r="J100" s="383">
        <v>-58317.91</v>
      </c>
      <c r="P100" s="463"/>
    </row>
    <row r="101" spans="1:16" ht="15" customHeight="1">
      <c r="A101" s="1050"/>
      <c r="B101" s="1050"/>
      <c r="C101" s="382" t="s">
        <v>2454</v>
      </c>
      <c r="D101" s="1049" t="s">
        <v>2006</v>
      </c>
      <c r="E101" s="1047"/>
      <c r="F101" s="383">
        <v>-17217.009999999998</v>
      </c>
      <c r="G101" s="383">
        <v>19675.05</v>
      </c>
      <c r="H101" s="1046">
        <v>11337.07</v>
      </c>
      <c r="I101" s="1047"/>
      <c r="J101" s="383">
        <v>-25554.99</v>
      </c>
      <c r="P101" s="463"/>
    </row>
    <row r="102" spans="1:16" ht="15" customHeight="1">
      <c r="A102" s="1050"/>
      <c r="B102" s="1050"/>
      <c r="C102" s="382" t="s">
        <v>2455</v>
      </c>
      <c r="D102" s="1049" t="s">
        <v>2007</v>
      </c>
      <c r="E102" s="1047"/>
      <c r="F102" s="383">
        <v>-4984.38</v>
      </c>
      <c r="G102" s="383">
        <v>159179.88</v>
      </c>
      <c r="H102" s="1046">
        <v>69907.13</v>
      </c>
      <c r="I102" s="1047"/>
      <c r="J102" s="383">
        <v>-94257.13</v>
      </c>
      <c r="P102" s="463"/>
    </row>
    <row r="103" spans="1:16">
      <c r="A103" s="1050"/>
      <c r="B103" s="1051"/>
      <c r="C103" s="437" t="s">
        <v>12</v>
      </c>
      <c r="D103" s="1060" t="s">
        <v>111</v>
      </c>
      <c r="E103" s="1047"/>
      <c r="F103" s="474">
        <v>-156939.57999999999</v>
      </c>
      <c r="G103" s="474">
        <v>1040919.3</v>
      </c>
      <c r="H103" s="1061">
        <v>795438.19</v>
      </c>
      <c r="I103" s="1047"/>
      <c r="J103" s="474">
        <v>-402420.69</v>
      </c>
      <c r="P103" s="458">
        <f>J103</f>
        <v>-402420.69</v>
      </c>
    </row>
    <row r="104" spans="1:16" ht="15" customHeight="1">
      <c r="A104" s="1050"/>
      <c r="B104" s="1049" t="s">
        <v>2456</v>
      </c>
      <c r="C104" s="382" t="s">
        <v>2457</v>
      </c>
      <c r="D104" s="1049" t="s">
        <v>2008</v>
      </c>
      <c r="E104" s="1047"/>
      <c r="F104" s="383">
        <v>0</v>
      </c>
      <c r="G104" s="383">
        <v>0</v>
      </c>
      <c r="H104" s="1046">
        <v>0</v>
      </c>
      <c r="I104" s="1047"/>
      <c r="J104" s="383">
        <v>0</v>
      </c>
      <c r="P104" s="463"/>
    </row>
    <row r="105" spans="1:16">
      <c r="A105" s="1050"/>
      <c r="B105" s="1051"/>
      <c r="C105" s="437" t="s">
        <v>12</v>
      </c>
      <c r="D105" s="1060" t="s">
        <v>111</v>
      </c>
      <c r="E105" s="1047"/>
      <c r="F105" s="474">
        <v>0</v>
      </c>
      <c r="G105" s="474">
        <v>0</v>
      </c>
      <c r="H105" s="1061">
        <v>0</v>
      </c>
      <c r="I105" s="1047"/>
      <c r="J105" s="474">
        <v>0</v>
      </c>
      <c r="P105" s="463"/>
    </row>
    <row r="106" spans="1:16" ht="15" customHeight="1">
      <c r="A106" s="1050"/>
      <c r="B106" s="1049" t="s">
        <v>2458</v>
      </c>
      <c r="C106" s="382" t="s">
        <v>2459</v>
      </c>
      <c r="D106" s="1049" t="s">
        <v>2009</v>
      </c>
      <c r="E106" s="1047"/>
      <c r="F106" s="383">
        <v>0.02</v>
      </c>
      <c r="G106" s="383">
        <v>75.16</v>
      </c>
      <c r="H106" s="1046">
        <v>75.48</v>
      </c>
      <c r="I106" s="1047"/>
      <c r="J106" s="383">
        <v>0.34</v>
      </c>
      <c r="P106" s="463"/>
    </row>
    <row r="107" spans="1:16">
      <c r="A107" s="1050"/>
      <c r="B107" s="1051"/>
      <c r="C107" s="437" t="s">
        <v>12</v>
      </c>
      <c r="D107" s="1060" t="s">
        <v>111</v>
      </c>
      <c r="E107" s="1047"/>
      <c r="F107" s="474">
        <v>0.02</v>
      </c>
      <c r="G107" s="474">
        <v>75.16</v>
      </c>
      <c r="H107" s="1061">
        <v>75.48</v>
      </c>
      <c r="I107" s="1047"/>
      <c r="J107" s="474">
        <v>0.34</v>
      </c>
      <c r="P107" s="463"/>
    </row>
    <row r="108" spans="1:16" ht="15" customHeight="1">
      <c r="A108" s="1050"/>
      <c r="B108" s="1049" t="s">
        <v>2460</v>
      </c>
      <c r="C108" s="382" t="s">
        <v>2461</v>
      </c>
      <c r="D108" s="1049" t="s">
        <v>2462</v>
      </c>
      <c r="E108" s="1047"/>
      <c r="F108" s="383">
        <v>-654.87</v>
      </c>
      <c r="G108" s="383">
        <v>227079.74</v>
      </c>
      <c r="H108" s="1046">
        <v>227402.29</v>
      </c>
      <c r="I108" s="1047"/>
      <c r="J108" s="383">
        <v>-332.32</v>
      </c>
      <c r="P108" s="463"/>
    </row>
    <row r="109" spans="1:16" ht="15" customHeight="1">
      <c r="A109" s="1050"/>
      <c r="B109" s="1050"/>
      <c r="C109" s="382" t="s">
        <v>3073</v>
      </c>
      <c r="D109" s="1049" t="s">
        <v>1981</v>
      </c>
      <c r="E109" s="1047"/>
      <c r="F109" s="383">
        <v>0</v>
      </c>
      <c r="G109" s="383">
        <v>13452.92</v>
      </c>
      <c r="H109" s="1046">
        <v>13387.44</v>
      </c>
      <c r="I109" s="1047"/>
      <c r="J109" s="383">
        <v>-65.48</v>
      </c>
      <c r="P109" s="463"/>
    </row>
    <row r="110" spans="1:16" ht="15" customHeight="1">
      <c r="A110" s="1050"/>
      <c r="B110" s="1050"/>
      <c r="C110" s="382" t="s">
        <v>2463</v>
      </c>
      <c r="D110" s="1049" t="s">
        <v>2011</v>
      </c>
      <c r="E110" s="1047"/>
      <c r="F110" s="383">
        <v>-304.95</v>
      </c>
      <c r="G110" s="383">
        <v>160011.32</v>
      </c>
      <c r="H110" s="1046">
        <v>159959.71</v>
      </c>
      <c r="I110" s="1047"/>
      <c r="J110" s="383">
        <v>-356.56</v>
      </c>
      <c r="P110" s="463"/>
    </row>
    <row r="111" spans="1:16" ht="15" customHeight="1">
      <c r="A111" s="1050"/>
      <c r="B111" s="1050"/>
      <c r="C111" s="382" t="s">
        <v>2464</v>
      </c>
      <c r="D111" s="1049" t="s">
        <v>2465</v>
      </c>
      <c r="E111" s="1047"/>
      <c r="F111" s="383">
        <v>-173.4</v>
      </c>
      <c r="G111" s="383">
        <v>77019.77</v>
      </c>
      <c r="H111" s="1046">
        <v>77050.41</v>
      </c>
      <c r="I111" s="1047"/>
      <c r="J111" s="383">
        <v>-142.76</v>
      </c>
      <c r="P111" s="463"/>
    </row>
    <row r="112" spans="1:16" ht="15" customHeight="1">
      <c r="A112" s="1050"/>
      <c r="B112" s="1050"/>
      <c r="C112" s="382" t="s">
        <v>2466</v>
      </c>
      <c r="D112" s="1049" t="s">
        <v>2013</v>
      </c>
      <c r="E112" s="1047"/>
      <c r="F112" s="383">
        <v>-118.22</v>
      </c>
      <c r="G112" s="383">
        <v>55223.13</v>
      </c>
      <c r="H112" s="1046">
        <v>55225.62</v>
      </c>
      <c r="I112" s="1047"/>
      <c r="J112" s="383">
        <v>-115.73</v>
      </c>
      <c r="P112" s="463"/>
    </row>
    <row r="113" spans="1:16" ht="15" customHeight="1">
      <c r="A113" s="1050"/>
      <c r="B113" s="1050"/>
      <c r="C113" s="382" t="s">
        <v>2467</v>
      </c>
      <c r="D113" s="1049" t="s">
        <v>2014</v>
      </c>
      <c r="E113" s="1047"/>
      <c r="F113" s="383">
        <v>-0.01</v>
      </c>
      <c r="G113" s="383">
        <v>472.88</v>
      </c>
      <c r="H113" s="1046">
        <v>177.5</v>
      </c>
      <c r="I113" s="1047"/>
      <c r="J113" s="383">
        <v>-295.39</v>
      </c>
      <c r="P113" s="463"/>
    </row>
    <row r="114" spans="1:16" ht="15" customHeight="1">
      <c r="A114" s="1050"/>
      <c r="B114" s="1050"/>
      <c r="C114" s="382" t="s">
        <v>2468</v>
      </c>
      <c r="D114" s="1049" t="s">
        <v>2015</v>
      </c>
      <c r="E114" s="1047"/>
      <c r="F114" s="383">
        <v>-0.44</v>
      </c>
      <c r="G114" s="383">
        <v>7575.91</v>
      </c>
      <c r="H114" s="1046">
        <v>7576.35</v>
      </c>
      <c r="I114" s="1047"/>
      <c r="J114" s="383">
        <v>0</v>
      </c>
      <c r="P114" s="463"/>
    </row>
    <row r="115" spans="1:16">
      <c r="A115" s="1050"/>
      <c r="B115" s="1051"/>
      <c r="C115" s="437" t="s">
        <v>12</v>
      </c>
      <c r="D115" s="1060" t="s">
        <v>111</v>
      </c>
      <c r="E115" s="1047"/>
      <c r="F115" s="474">
        <v>-1251.8900000000001</v>
      </c>
      <c r="G115" s="474">
        <v>540835.67000000004</v>
      </c>
      <c r="H115" s="1061">
        <v>540779.31999999995</v>
      </c>
      <c r="I115" s="1047"/>
      <c r="J115" s="474">
        <v>-1308.24</v>
      </c>
      <c r="P115" s="458">
        <f>J115</f>
        <v>-1308.24</v>
      </c>
    </row>
    <row r="116" spans="1:16" ht="15" customHeight="1">
      <c r="A116" s="1050"/>
      <c r="B116" s="1049" t="s">
        <v>3332</v>
      </c>
      <c r="C116" s="382" t="s">
        <v>3074</v>
      </c>
      <c r="D116" s="1049" t="s">
        <v>2462</v>
      </c>
      <c r="E116" s="1047"/>
      <c r="F116" s="383">
        <v>0</v>
      </c>
      <c r="G116" s="383">
        <v>322709.15000000002</v>
      </c>
      <c r="H116" s="1046">
        <v>300561.88</v>
      </c>
      <c r="I116" s="1047"/>
      <c r="J116" s="383">
        <v>-22147.27</v>
      </c>
      <c r="P116" s="463"/>
    </row>
    <row r="117" spans="1:16" ht="15" customHeight="1">
      <c r="A117" s="1050"/>
      <c r="B117" s="1050"/>
      <c r="C117" s="382" t="s">
        <v>3075</v>
      </c>
      <c r="D117" s="1049" t="s">
        <v>1981</v>
      </c>
      <c r="E117" s="1047"/>
      <c r="F117" s="383">
        <v>0</v>
      </c>
      <c r="G117" s="383">
        <v>27103.56</v>
      </c>
      <c r="H117" s="1046">
        <v>23591.119999999999</v>
      </c>
      <c r="I117" s="1047"/>
      <c r="J117" s="383">
        <v>-3512.44</v>
      </c>
      <c r="P117" s="463"/>
    </row>
    <row r="118" spans="1:16" ht="15" customHeight="1">
      <c r="A118" s="1050"/>
      <c r="B118" s="1050"/>
      <c r="C118" s="382" t="s">
        <v>3076</v>
      </c>
      <c r="D118" s="1049" t="s">
        <v>2011</v>
      </c>
      <c r="E118" s="1047"/>
      <c r="F118" s="383">
        <v>0</v>
      </c>
      <c r="G118" s="383">
        <v>213903.81</v>
      </c>
      <c r="H118" s="1046">
        <v>195137.18</v>
      </c>
      <c r="I118" s="1047"/>
      <c r="J118" s="383">
        <v>-18766.63</v>
      </c>
      <c r="P118" s="463"/>
    </row>
    <row r="119" spans="1:16" ht="15" customHeight="1">
      <c r="A119" s="1050"/>
      <c r="B119" s="1050"/>
      <c r="C119" s="382" t="s">
        <v>3077</v>
      </c>
      <c r="D119" s="1049" t="s">
        <v>2465</v>
      </c>
      <c r="E119" s="1047"/>
      <c r="F119" s="383">
        <v>0</v>
      </c>
      <c r="G119" s="383">
        <v>145446.31</v>
      </c>
      <c r="H119" s="1046">
        <v>133517.04</v>
      </c>
      <c r="I119" s="1047"/>
      <c r="J119" s="383">
        <v>-11929.27</v>
      </c>
      <c r="P119" s="463"/>
    </row>
    <row r="120" spans="1:16" ht="15" customHeight="1">
      <c r="A120" s="1050"/>
      <c r="B120" s="1050"/>
      <c r="C120" s="382" t="s">
        <v>3078</v>
      </c>
      <c r="D120" s="1049" t="s">
        <v>2474</v>
      </c>
      <c r="E120" s="1047"/>
      <c r="F120" s="383">
        <v>0</v>
      </c>
      <c r="G120" s="383">
        <v>149401.19</v>
      </c>
      <c r="H120" s="1046">
        <v>140131.89000000001</v>
      </c>
      <c r="I120" s="1047"/>
      <c r="J120" s="383">
        <v>-9269.2999999999993</v>
      </c>
      <c r="P120" s="463"/>
    </row>
    <row r="121" spans="1:16" ht="15" customHeight="1">
      <c r="A121" s="1050"/>
      <c r="B121" s="1050"/>
      <c r="C121" s="382" t="s">
        <v>3079</v>
      </c>
      <c r="D121" s="1049" t="s">
        <v>2014</v>
      </c>
      <c r="E121" s="1047"/>
      <c r="F121" s="383">
        <v>0</v>
      </c>
      <c r="G121" s="383">
        <v>2243.88</v>
      </c>
      <c r="H121" s="1046">
        <v>2187.06</v>
      </c>
      <c r="I121" s="1047"/>
      <c r="J121" s="383">
        <v>-56.82</v>
      </c>
      <c r="P121" s="463"/>
    </row>
    <row r="122" spans="1:16" ht="15" customHeight="1">
      <c r="A122" s="1050"/>
      <c r="B122" s="1050"/>
      <c r="C122" s="382" t="s">
        <v>3080</v>
      </c>
      <c r="D122" s="1049" t="s">
        <v>2015</v>
      </c>
      <c r="E122" s="1047"/>
      <c r="F122" s="383">
        <v>0</v>
      </c>
      <c r="G122" s="383">
        <v>38312.51</v>
      </c>
      <c r="H122" s="1046">
        <v>37552.910000000003</v>
      </c>
      <c r="I122" s="1047"/>
      <c r="J122" s="383">
        <v>-759.6</v>
      </c>
      <c r="P122" s="463"/>
    </row>
    <row r="123" spans="1:16">
      <c r="A123" s="1050"/>
      <c r="B123" s="1051"/>
      <c r="C123" s="437" t="s">
        <v>12</v>
      </c>
      <c r="D123" s="1060" t="s">
        <v>111</v>
      </c>
      <c r="E123" s="1047"/>
      <c r="F123" s="474">
        <v>0</v>
      </c>
      <c r="G123" s="474">
        <v>899120.41</v>
      </c>
      <c r="H123" s="1061">
        <v>832679.08</v>
      </c>
      <c r="I123" s="1047"/>
      <c r="J123" s="474">
        <v>-66441.33</v>
      </c>
      <c r="P123" s="458">
        <f>J123</f>
        <v>-66441.33</v>
      </c>
    </row>
    <row r="124" spans="1:16" ht="15" customHeight="1">
      <c r="A124" s="1050"/>
      <c r="B124" s="1049" t="s">
        <v>2469</v>
      </c>
      <c r="C124" s="382" t="s">
        <v>2470</v>
      </c>
      <c r="D124" s="1049" t="s">
        <v>2462</v>
      </c>
      <c r="E124" s="1047"/>
      <c r="F124" s="383">
        <v>-9435.66</v>
      </c>
      <c r="G124" s="383">
        <v>245994.54</v>
      </c>
      <c r="H124" s="1046">
        <v>253496.46</v>
      </c>
      <c r="I124" s="1047"/>
      <c r="J124" s="383">
        <v>-1933.74</v>
      </c>
      <c r="P124" s="463"/>
    </row>
    <row r="125" spans="1:16" ht="15" customHeight="1">
      <c r="A125" s="1050"/>
      <c r="B125" s="1050"/>
      <c r="C125" s="382" t="s">
        <v>3081</v>
      </c>
      <c r="D125" s="1049" t="s">
        <v>1981</v>
      </c>
      <c r="E125" s="1047"/>
      <c r="F125" s="383">
        <v>0</v>
      </c>
      <c r="G125" s="383">
        <v>14108.98</v>
      </c>
      <c r="H125" s="1046">
        <v>11178.42</v>
      </c>
      <c r="I125" s="1047"/>
      <c r="J125" s="383">
        <v>-2930.56</v>
      </c>
      <c r="P125" s="463"/>
    </row>
    <row r="126" spans="1:16" ht="15" customHeight="1">
      <c r="A126" s="1050"/>
      <c r="B126" s="1050"/>
      <c r="C126" s="382" t="s">
        <v>2471</v>
      </c>
      <c r="D126" s="1049" t="s">
        <v>2011</v>
      </c>
      <c r="E126" s="1047"/>
      <c r="F126" s="383">
        <v>-6127.38</v>
      </c>
      <c r="G126" s="383">
        <v>170711.45</v>
      </c>
      <c r="H126" s="1046">
        <v>169652.73</v>
      </c>
      <c r="I126" s="1047"/>
      <c r="J126" s="383">
        <v>-7186.1</v>
      </c>
      <c r="P126" s="463"/>
    </row>
    <row r="127" spans="1:16" ht="15" customHeight="1">
      <c r="A127" s="1050"/>
      <c r="B127" s="1050"/>
      <c r="C127" s="382" t="s">
        <v>2472</v>
      </c>
      <c r="D127" s="1049" t="s">
        <v>2465</v>
      </c>
      <c r="E127" s="1047"/>
      <c r="F127" s="383">
        <v>-2708.01</v>
      </c>
      <c r="G127" s="383">
        <v>86443.97</v>
      </c>
      <c r="H127" s="1046">
        <v>87229.71</v>
      </c>
      <c r="I127" s="1047"/>
      <c r="J127" s="383">
        <v>-1922.27</v>
      </c>
      <c r="P127" s="463"/>
    </row>
    <row r="128" spans="1:16" ht="15" customHeight="1">
      <c r="A128" s="1050"/>
      <c r="B128" s="1050"/>
      <c r="C128" s="382" t="s">
        <v>2473</v>
      </c>
      <c r="D128" s="1049" t="s">
        <v>2474</v>
      </c>
      <c r="E128" s="1047"/>
      <c r="F128" s="383">
        <v>-617.19000000000005</v>
      </c>
      <c r="G128" s="383">
        <v>61412.79</v>
      </c>
      <c r="H128" s="1046">
        <v>61286.51</v>
      </c>
      <c r="I128" s="1047"/>
      <c r="J128" s="383">
        <v>-743.47</v>
      </c>
      <c r="P128" s="463"/>
    </row>
    <row r="129" spans="1:16" ht="15" customHeight="1">
      <c r="A129" s="1050"/>
      <c r="B129" s="1050"/>
      <c r="C129" s="382" t="s">
        <v>2475</v>
      </c>
      <c r="D129" s="1049" t="s">
        <v>2014</v>
      </c>
      <c r="E129" s="1047"/>
      <c r="F129" s="383">
        <v>1305.46</v>
      </c>
      <c r="G129" s="383">
        <v>185.82</v>
      </c>
      <c r="H129" s="1046">
        <v>192.55</v>
      </c>
      <c r="I129" s="1047"/>
      <c r="J129" s="383">
        <v>1312.19</v>
      </c>
      <c r="P129" s="463"/>
    </row>
    <row r="130" spans="1:16" ht="15" customHeight="1">
      <c r="A130" s="1050"/>
      <c r="B130" s="1050"/>
      <c r="C130" s="382" t="s">
        <v>2476</v>
      </c>
      <c r="D130" s="1049" t="s">
        <v>2015</v>
      </c>
      <c r="E130" s="1047"/>
      <c r="F130" s="383">
        <v>-13.45</v>
      </c>
      <c r="G130" s="383">
        <v>7541.27</v>
      </c>
      <c r="H130" s="1046">
        <v>7520.71</v>
      </c>
      <c r="I130" s="1047"/>
      <c r="J130" s="383">
        <v>-34.01</v>
      </c>
      <c r="P130" s="463"/>
    </row>
    <row r="131" spans="1:16">
      <c r="A131" s="1050"/>
      <c r="B131" s="1051"/>
      <c r="C131" s="437" t="s">
        <v>12</v>
      </c>
      <c r="D131" s="1060" t="s">
        <v>111</v>
      </c>
      <c r="E131" s="1047"/>
      <c r="F131" s="474">
        <v>-17596.23</v>
      </c>
      <c r="G131" s="474">
        <v>586398.81999999995</v>
      </c>
      <c r="H131" s="1061">
        <v>590557.09</v>
      </c>
      <c r="I131" s="1047"/>
      <c r="J131" s="474">
        <v>-13437.96</v>
      </c>
      <c r="P131" s="458">
        <f>J131</f>
        <v>-13437.96</v>
      </c>
    </row>
    <row r="132" spans="1:16" ht="15" customHeight="1">
      <c r="A132" s="1050"/>
      <c r="B132" s="1049" t="s">
        <v>2477</v>
      </c>
      <c r="C132" s="382" t="s">
        <v>2478</v>
      </c>
      <c r="D132" s="1049" t="s">
        <v>2462</v>
      </c>
      <c r="E132" s="1047"/>
      <c r="F132" s="383">
        <v>-1068.1099999999999</v>
      </c>
      <c r="G132" s="383">
        <v>652091.81999999995</v>
      </c>
      <c r="H132" s="1046">
        <v>651407.82999999996</v>
      </c>
      <c r="I132" s="1047"/>
      <c r="J132" s="383">
        <v>-1752.1</v>
      </c>
      <c r="P132" s="463"/>
    </row>
    <row r="133" spans="1:16" ht="15" customHeight="1">
      <c r="A133" s="1050"/>
      <c r="B133" s="1050"/>
      <c r="C133" s="382" t="s">
        <v>3082</v>
      </c>
      <c r="D133" s="1049" t="s">
        <v>1981</v>
      </c>
      <c r="E133" s="1047"/>
      <c r="F133" s="383">
        <v>0</v>
      </c>
      <c r="G133" s="383">
        <v>20266.73</v>
      </c>
      <c r="H133" s="1046">
        <v>20086.43</v>
      </c>
      <c r="I133" s="1047"/>
      <c r="J133" s="383">
        <v>-180.3</v>
      </c>
      <c r="P133" s="463"/>
    </row>
    <row r="134" spans="1:16" ht="15" customHeight="1">
      <c r="A134" s="1050"/>
      <c r="B134" s="1050"/>
      <c r="C134" s="382" t="s">
        <v>2479</v>
      </c>
      <c r="D134" s="1049" t="s">
        <v>2011</v>
      </c>
      <c r="E134" s="1047"/>
      <c r="F134" s="383">
        <v>-745.32</v>
      </c>
      <c r="G134" s="383">
        <v>362468.5</v>
      </c>
      <c r="H134" s="1046">
        <v>362267.76</v>
      </c>
      <c r="I134" s="1047"/>
      <c r="J134" s="383">
        <v>-946.06</v>
      </c>
      <c r="P134" s="463"/>
    </row>
    <row r="135" spans="1:16" ht="15" customHeight="1">
      <c r="A135" s="1050"/>
      <c r="B135" s="1050"/>
      <c r="C135" s="382" t="s">
        <v>2480</v>
      </c>
      <c r="D135" s="1049" t="s">
        <v>2465</v>
      </c>
      <c r="E135" s="1047"/>
      <c r="F135" s="383">
        <v>-746.97</v>
      </c>
      <c r="G135" s="383">
        <v>309970.58</v>
      </c>
      <c r="H135" s="1046">
        <v>310014.05</v>
      </c>
      <c r="I135" s="1047"/>
      <c r="J135" s="383">
        <v>-703.5</v>
      </c>
      <c r="P135" s="463"/>
    </row>
    <row r="136" spans="1:16" ht="15" customHeight="1">
      <c r="A136" s="1050"/>
      <c r="B136" s="1050"/>
      <c r="C136" s="382" t="s">
        <v>2481</v>
      </c>
      <c r="D136" s="1049" t="s">
        <v>2474</v>
      </c>
      <c r="E136" s="1047"/>
      <c r="F136" s="383">
        <v>-272.64999999999998</v>
      </c>
      <c r="G136" s="383">
        <v>124104.65</v>
      </c>
      <c r="H136" s="1046">
        <v>124113.81</v>
      </c>
      <c r="I136" s="1047"/>
      <c r="J136" s="383">
        <v>-263.49</v>
      </c>
      <c r="P136" s="463"/>
    </row>
    <row r="137" spans="1:16" ht="15" customHeight="1">
      <c r="A137" s="1050"/>
      <c r="B137" s="1050"/>
      <c r="C137" s="382" t="s">
        <v>2482</v>
      </c>
      <c r="D137" s="1049" t="s">
        <v>2014</v>
      </c>
      <c r="E137" s="1047"/>
      <c r="F137" s="383">
        <v>-14.22</v>
      </c>
      <c r="G137" s="383">
        <v>3502.75</v>
      </c>
      <c r="H137" s="1046">
        <v>3503.55</v>
      </c>
      <c r="I137" s="1047"/>
      <c r="J137" s="383">
        <v>-13.42</v>
      </c>
      <c r="P137" s="463"/>
    </row>
    <row r="138" spans="1:16" ht="15" customHeight="1">
      <c r="A138" s="1050"/>
      <c r="B138" s="1050"/>
      <c r="C138" s="382" t="s">
        <v>3083</v>
      </c>
      <c r="D138" s="1049" t="s">
        <v>2015</v>
      </c>
      <c r="E138" s="1047"/>
      <c r="F138" s="383">
        <v>0</v>
      </c>
      <c r="G138" s="383">
        <v>12578.96</v>
      </c>
      <c r="H138" s="1046">
        <v>12550.24</v>
      </c>
      <c r="I138" s="1047"/>
      <c r="J138" s="383">
        <v>-28.72</v>
      </c>
      <c r="P138" s="463"/>
    </row>
    <row r="139" spans="1:16">
      <c r="A139" s="1050"/>
      <c r="B139" s="1051"/>
      <c r="C139" s="437" t="s">
        <v>12</v>
      </c>
      <c r="D139" s="1060" t="s">
        <v>111</v>
      </c>
      <c r="E139" s="1047"/>
      <c r="F139" s="474">
        <v>-2847.27</v>
      </c>
      <c r="G139" s="474">
        <v>1484983.99</v>
      </c>
      <c r="H139" s="1061">
        <v>1483943.67</v>
      </c>
      <c r="I139" s="1047"/>
      <c r="J139" s="474">
        <v>-3887.59</v>
      </c>
      <c r="P139" s="458">
        <f>J139</f>
        <v>-3887.59</v>
      </c>
    </row>
    <row r="140" spans="1:16" ht="15" customHeight="1">
      <c r="A140" s="1050"/>
      <c r="B140" s="1049" t="s">
        <v>3333</v>
      </c>
      <c r="C140" s="382" t="s">
        <v>3084</v>
      </c>
      <c r="D140" s="1049" t="s">
        <v>2462</v>
      </c>
      <c r="E140" s="1047"/>
      <c r="F140" s="383">
        <v>0</v>
      </c>
      <c r="G140" s="383">
        <v>419059.78</v>
      </c>
      <c r="H140" s="1046">
        <v>172864.81</v>
      </c>
      <c r="I140" s="1047"/>
      <c r="J140" s="383">
        <v>-246194.97</v>
      </c>
      <c r="P140" s="463"/>
    </row>
    <row r="141" spans="1:16" ht="15" customHeight="1">
      <c r="A141" s="1050"/>
      <c r="B141" s="1050"/>
      <c r="C141" s="382" t="s">
        <v>3085</v>
      </c>
      <c r="D141" s="1049" t="s">
        <v>1981</v>
      </c>
      <c r="E141" s="1047"/>
      <c r="F141" s="383">
        <v>0</v>
      </c>
      <c r="G141" s="383">
        <v>16442.900000000001</v>
      </c>
      <c r="H141" s="1046">
        <v>5893.8</v>
      </c>
      <c r="I141" s="1047"/>
      <c r="J141" s="383">
        <v>-10549.1</v>
      </c>
      <c r="P141" s="463"/>
    </row>
    <row r="142" spans="1:16" ht="15" customHeight="1">
      <c r="A142" s="1050"/>
      <c r="B142" s="1050"/>
      <c r="C142" s="382" t="s">
        <v>3086</v>
      </c>
      <c r="D142" s="1049" t="s">
        <v>2011</v>
      </c>
      <c r="E142" s="1047"/>
      <c r="F142" s="383">
        <v>0</v>
      </c>
      <c r="G142" s="383">
        <v>142854.45000000001</v>
      </c>
      <c r="H142" s="1046">
        <v>68913.25</v>
      </c>
      <c r="I142" s="1047"/>
      <c r="J142" s="383">
        <v>-73941.2</v>
      </c>
      <c r="P142" s="463"/>
    </row>
    <row r="143" spans="1:16" ht="15" customHeight="1">
      <c r="A143" s="1050"/>
      <c r="B143" s="1050"/>
      <c r="C143" s="382" t="s">
        <v>3087</v>
      </c>
      <c r="D143" s="1049" t="s">
        <v>2465</v>
      </c>
      <c r="E143" s="1047"/>
      <c r="F143" s="383">
        <v>0</v>
      </c>
      <c r="G143" s="383">
        <v>177105.1</v>
      </c>
      <c r="H143" s="1046">
        <v>93767.11</v>
      </c>
      <c r="I143" s="1047"/>
      <c r="J143" s="383">
        <v>-83337.990000000005</v>
      </c>
      <c r="P143" s="463"/>
    </row>
    <row r="144" spans="1:16" ht="15" customHeight="1">
      <c r="A144" s="1050"/>
      <c r="B144" s="1050"/>
      <c r="C144" s="382" t="s">
        <v>3088</v>
      </c>
      <c r="D144" s="1049" t="s">
        <v>2474</v>
      </c>
      <c r="E144" s="1047"/>
      <c r="F144" s="383">
        <v>0</v>
      </c>
      <c r="G144" s="383">
        <v>119423.59</v>
      </c>
      <c r="H144" s="1046">
        <v>71787.009999999995</v>
      </c>
      <c r="I144" s="1047"/>
      <c r="J144" s="383">
        <v>-47636.58</v>
      </c>
      <c r="P144" s="463"/>
    </row>
    <row r="145" spans="1:16" ht="15" customHeight="1">
      <c r="A145" s="1050"/>
      <c r="B145" s="1050"/>
      <c r="C145" s="382" t="s">
        <v>3089</v>
      </c>
      <c r="D145" s="1049" t="s">
        <v>2014</v>
      </c>
      <c r="E145" s="1047"/>
      <c r="F145" s="383">
        <v>0</v>
      </c>
      <c r="G145" s="383">
        <v>227.57</v>
      </c>
      <c r="H145" s="1046">
        <v>0</v>
      </c>
      <c r="I145" s="1047"/>
      <c r="J145" s="383">
        <v>-227.57</v>
      </c>
      <c r="P145" s="463"/>
    </row>
    <row r="146" spans="1:16" ht="15" customHeight="1">
      <c r="A146" s="1050"/>
      <c r="B146" s="1050"/>
      <c r="C146" s="382" t="s">
        <v>3090</v>
      </c>
      <c r="D146" s="1049" t="s">
        <v>2015</v>
      </c>
      <c r="E146" s="1047"/>
      <c r="F146" s="383">
        <v>0</v>
      </c>
      <c r="G146" s="383">
        <v>42914.74</v>
      </c>
      <c r="H146" s="1046">
        <v>24293.22</v>
      </c>
      <c r="I146" s="1047"/>
      <c r="J146" s="383">
        <v>-18621.52</v>
      </c>
      <c r="P146" s="463"/>
    </row>
    <row r="147" spans="1:16">
      <c r="A147" s="1050"/>
      <c r="B147" s="1051"/>
      <c r="C147" s="437" t="s">
        <v>12</v>
      </c>
      <c r="D147" s="1060" t="s">
        <v>111</v>
      </c>
      <c r="E147" s="1047"/>
      <c r="F147" s="474">
        <v>0</v>
      </c>
      <c r="G147" s="474">
        <v>918028.13</v>
      </c>
      <c r="H147" s="1061">
        <v>437519.2</v>
      </c>
      <c r="I147" s="1047"/>
      <c r="J147" s="474">
        <v>-480508.93</v>
      </c>
      <c r="P147" s="458">
        <f>J147</f>
        <v>-480508.93</v>
      </c>
    </row>
    <row r="148" spans="1:16" ht="15" customHeight="1">
      <c r="A148" s="1050"/>
      <c r="B148" s="1049" t="s">
        <v>2483</v>
      </c>
      <c r="C148" s="382" t="s">
        <v>2484</v>
      </c>
      <c r="D148" s="1049" t="s">
        <v>2462</v>
      </c>
      <c r="E148" s="1047"/>
      <c r="F148" s="383">
        <v>-177473.84</v>
      </c>
      <c r="G148" s="383">
        <v>830032.62</v>
      </c>
      <c r="H148" s="1046">
        <v>754671.61</v>
      </c>
      <c r="I148" s="1047"/>
      <c r="J148" s="383">
        <v>-252834.85</v>
      </c>
      <c r="P148" s="463"/>
    </row>
    <row r="149" spans="1:16" ht="15" customHeight="1">
      <c r="A149" s="1050"/>
      <c r="B149" s="1050"/>
      <c r="C149" s="382" t="s">
        <v>3091</v>
      </c>
      <c r="D149" s="1049" t="s">
        <v>1981</v>
      </c>
      <c r="E149" s="1047"/>
      <c r="F149" s="383">
        <v>0</v>
      </c>
      <c r="G149" s="383">
        <v>28223.98</v>
      </c>
      <c r="H149" s="1046">
        <v>9910.4500000000007</v>
      </c>
      <c r="I149" s="1047"/>
      <c r="J149" s="383">
        <v>-18313.53</v>
      </c>
      <c r="P149" s="463"/>
    </row>
    <row r="150" spans="1:16" ht="15" customHeight="1">
      <c r="A150" s="1050"/>
      <c r="B150" s="1050"/>
      <c r="C150" s="382" t="s">
        <v>2485</v>
      </c>
      <c r="D150" s="1049" t="s">
        <v>2011</v>
      </c>
      <c r="E150" s="1047"/>
      <c r="F150" s="383">
        <v>-124348.68</v>
      </c>
      <c r="G150" s="383">
        <v>465531.89</v>
      </c>
      <c r="H150" s="1046">
        <v>445369.8</v>
      </c>
      <c r="I150" s="1047"/>
      <c r="J150" s="383">
        <v>-144510.76999999999</v>
      </c>
      <c r="P150" s="463"/>
    </row>
    <row r="151" spans="1:16" ht="15" customHeight="1">
      <c r="A151" s="1050"/>
      <c r="B151" s="1050"/>
      <c r="C151" s="382" t="s">
        <v>2486</v>
      </c>
      <c r="D151" s="1049" t="s">
        <v>2465</v>
      </c>
      <c r="E151" s="1047"/>
      <c r="F151" s="383">
        <v>-81139.149999999994</v>
      </c>
      <c r="G151" s="383">
        <v>365704.85</v>
      </c>
      <c r="H151" s="1046">
        <v>361353.03</v>
      </c>
      <c r="I151" s="1047"/>
      <c r="J151" s="383">
        <v>-85490.97</v>
      </c>
      <c r="P151" s="463"/>
    </row>
    <row r="152" spans="1:16" ht="15" customHeight="1">
      <c r="A152" s="1050"/>
      <c r="B152" s="1050"/>
      <c r="C152" s="382" t="s">
        <v>2487</v>
      </c>
      <c r="D152" s="1049" t="s">
        <v>2474</v>
      </c>
      <c r="E152" s="1047"/>
      <c r="F152" s="383">
        <v>-33008.120000000003</v>
      </c>
      <c r="G152" s="383">
        <v>155484.71</v>
      </c>
      <c r="H152" s="1046">
        <v>146490.81</v>
      </c>
      <c r="I152" s="1047"/>
      <c r="J152" s="383">
        <v>-42002.02</v>
      </c>
      <c r="P152" s="463"/>
    </row>
    <row r="153" spans="1:16" ht="15" customHeight="1">
      <c r="A153" s="1050"/>
      <c r="B153" s="1050"/>
      <c r="C153" s="382" t="s">
        <v>2488</v>
      </c>
      <c r="D153" s="1049" t="s">
        <v>2014</v>
      </c>
      <c r="E153" s="1047"/>
      <c r="F153" s="383">
        <v>-3864.95</v>
      </c>
      <c r="G153" s="383">
        <v>3537.67</v>
      </c>
      <c r="H153" s="1046">
        <v>1645.03</v>
      </c>
      <c r="I153" s="1047"/>
      <c r="J153" s="383">
        <v>-5757.59</v>
      </c>
      <c r="P153" s="463"/>
    </row>
    <row r="154" spans="1:16" ht="15" customHeight="1">
      <c r="A154" s="1050"/>
      <c r="B154" s="1050"/>
      <c r="C154" s="382" t="s">
        <v>3092</v>
      </c>
      <c r="D154" s="1049" t="s">
        <v>2015</v>
      </c>
      <c r="E154" s="1047"/>
      <c r="F154" s="383">
        <v>0</v>
      </c>
      <c r="G154" s="383">
        <v>15051.81</v>
      </c>
      <c r="H154" s="1046">
        <v>8633.6200000000008</v>
      </c>
      <c r="I154" s="1047"/>
      <c r="J154" s="383">
        <v>-6418.19</v>
      </c>
      <c r="P154" s="463"/>
    </row>
    <row r="155" spans="1:16">
      <c r="A155" s="1050"/>
      <c r="B155" s="1051"/>
      <c r="C155" s="437" t="s">
        <v>12</v>
      </c>
      <c r="D155" s="1060" t="s">
        <v>111</v>
      </c>
      <c r="E155" s="1047"/>
      <c r="F155" s="474">
        <v>-419834.74</v>
      </c>
      <c r="G155" s="474">
        <v>1863567.53</v>
      </c>
      <c r="H155" s="1061">
        <v>1728074.35</v>
      </c>
      <c r="I155" s="1047"/>
      <c r="J155" s="474">
        <v>-555327.92000000004</v>
      </c>
      <c r="P155" s="458">
        <f>J155</f>
        <v>-555327.92000000004</v>
      </c>
    </row>
    <row r="156" spans="1:16" ht="15" customHeight="1">
      <c r="A156" s="1050"/>
      <c r="B156" s="1049" t="s">
        <v>2489</v>
      </c>
      <c r="C156" s="382" t="s">
        <v>2490</v>
      </c>
      <c r="D156" s="1049" t="s">
        <v>2016</v>
      </c>
      <c r="E156" s="1047"/>
      <c r="F156" s="383">
        <v>0</v>
      </c>
      <c r="G156" s="383">
        <v>12214.24</v>
      </c>
      <c r="H156" s="1046">
        <v>8458.82</v>
      </c>
      <c r="I156" s="1047"/>
      <c r="J156" s="383">
        <v>-3755.42</v>
      </c>
      <c r="P156" s="463"/>
    </row>
    <row r="157" spans="1:16" ht="15" customHeight="1">
      <c r="A157" s="1050"/>
      <c r="B157" s="1050"/>
      <c r="C157" s="382" t="s">
        <v>2491</v>
      </c>
      <c r="D157" s="1049" t="s">
        <v>2017</v>
      </c>
      <c r="E157" s="1047"/>
      <c r="F157" s="383">
        <v>0</v>
      </c>
      <c r="G157" s="383">
        <v>0</v>
      </c>
      <c r="H157" s="1046">
        <v>0</v>
      </c>
      <c r="I157" s="1047"/>
      <c r="J157" s="383">
        <v>0</v>
      </c>
      <c r="P157" s="463"/>
    </row>
    <row r="158" spans="1:16" ht="15" customHeight="1">
      <c r="A158" s="1050"/>
      <c r="B158" s="1050"/>
      <c r="C158" s="382" t="s">
        <v>2492</v>
      </c>
      <c r="D158" s="1049" t="s">
        <v>2018</v>
      </c>
      <c r="E158" s="1047"/>
      <c r="F158" s="383">
        <v>-4882.67</v>
      </c>
      <c r="G158" s="383">
        <v>23345.73</v>
      </c>
      <c r="H158" s="1046">
        <v>21626.01</v>
      </c>
      <c r="I158" s="1047"/>
      <c r="J158" s="383">
        <v>-6602.39</v>
      </c>
      <c r="P158" s="463"/>
    </row>
    <row r="159" spans="1:16" ht="15" customHeight="1">
      <c r="A159" s="1050"/>
      <c r="B159" s="1050"/>
      <c r="C159" s="382" t="s">
        <v>2493</v>
      </c>
      <c r="D159" s="1049" t="s">
        <v>2019</v>
      </c>
      <c r="E159" s="1047"/>
      <c r="F159" s="383">
        <v>-2609.9699999999998</v>
      </c>
      <c r="G159" s="383">
        <v>9396</v>
      </c>
      <c r="H159" s="1046">
        <v>9656.9699999999993</v>
      </c>
      <c r="I159" s="1047"/>
      <c r="J159" s="383">
        <v>-2349</v>
      </c>
      <c r="P159" s="463"/>
    </row>
    <row r="160" spans="1:16" ht="15" customHeight="1">
      <c r="A160" s="1050"/>
      <c r="B160" s="1050"/>
      <c r="C160" s="382" t="s">
        <v>2494</v>
      </c>
      <c r="D160" s="1049" t="s">
        <v>2020</v>
      </c>
      <c r="E160" s="1047"/>
      <c r="F160" s="383">
        <v>0</v>
      </c>
      <c r="G160" s="383">
        <v>1867122</v>
      </c>
      <c r="H160" s="1046">
        <v>1530738</v>
      </c>
      <c r="I160" s="1047"/>
      <c r="J160" s="383">
        <v>-336384</v>
      </c>
      <c r="P160" s="463"/>
    </row>
    <row r="161" spans="1:16" ht="15" customHeight="1">
      <c r="A161" s="1050"/>
      <c r="B161" s="1050"/>
      <c r="C161" s="382" t="s">
        <v>2495</v>
      </c>
      <c r="D161" s="1049" t="s">
        <v>2021</v>
      </c>
      <c r="E161" s="1047"/>
      <c r="F161" s="383">
        <v>-8079.42</v>
      </c>
      <c r="G161" s="383">
        <v>18645.84</v>
      </c>
      <c r="H161" s="1046">
        <v>22063.71</v>
      </c>
      <c r="I161" s="1047"/>
      <c r="J161" s="383">
        <v>-4661.55</v>
      </c>
      <c r="P161" s="463"/>
    </row>
    <row r="162" spans="1:16" ht="15" customHeight="1">
      <c r="A162" s="1050"/>
      <c r="B162" s="1050"/>
      <c r="C162" s="382" t="s">
        <v>2496</v>
      </c>
      <c r="D162" s="1049" t="s">
        <v>2022</v>
      </c>
      <c r="E162" s="1047"/>
      <c r="F162" s="383">
        <v>-181.19</v>
      </c>
      <c r="G162" s="383">
        <v>652.5</v>
      </c>
      <c r="H162" s="1046">
        <v>670.61</v>
      </c>
      <c r="I162" s="1047"/>
      <c r="J162" s="383">
        <v>-163.08000000000001</v>
      </c>
      <c r="P162" s="463"/>
    </row>
    <row r="163" spans="1:16">
      <c r="A163" s="1050"/>
      <c r="B163" s="1051"/>
      <c r="C163" s="437" t="s">
        <v>12</v>
      </c>
      <c r="D163" s="1060" t="s">
        <v>111</v>
      </c>
      <c r="E163" s="1047"/>
      <c r="F163" s="474">
        <v>-15753.25</v>
      </c>
      <c r="G163" s="474">
        <v>1931376.31</v>
      </c>
      <c r="H163" s="1061">
        <v>1593214.12</v>
      </c>
      <c r="I163" s="1047"/>
      <c r="J163" s="474">
        <v>-353915.44</v>
      </c>
      <c r="M163" s="456">
        <f>J163</f>
        <v>-353915.44</v>
      </c>
      <c r="P163" s="463"/>
    </row>
    <row r="164" spans="1:16" ht="15" customHeight="1">
      <c r="A164" s="1050"/>
      <c r="B164" s="1049" t="s">
        <v>2497</v>
      </c>
      <c r="C164" s="382" t="s">
        <v>2498</v>
      </c>
      <c r="D164" s="1049" t="s">
        <v>2023</v>
      </c>
      <c r="E164" s="1047"/>
      <c r="F164" s="383">
        <v>-1861133</v>
      </c>
      <c r="G164" s="383">
        <v>0</v>
      </c>
      <c r="H164" s="1046">
        <v>1318598</v>
      </c>
      <c r="I164" s="1047"/>
      <c r="J164" s="383">
        <v>-542535</v>
      </c>
      <c r="P164" s="463"/>
    </row>
    <row r="165" spans="1:16">
      <c r="A165" s="1050"/>
      <c r="B165" s="1051"/>
      <c r="C165" s="437" t="s">
        <v>12</v>
      </c>
      <c r="D165" s="1060" t="s">
        <v>111</v>
      </c>
      <c r="E165" s="1047"/>
      <c r="F165" s="474">
        <v>-1861133</v>
      </c>
      <c r="G165" s="474">
        <v>0</v>
      </c>
      <c r="H165" s="1061">
        <v>1318598</v>
      </c>
      <c r="I165" s="1047"/>
      <c r="J165" s="474">
        <v>-542535</v>
      </c>
      <c r="P165" s="463"/>
    </row>
    <row r="166" spans="1:16" ht="15" customHeight="1">
      <c r="A166" s="1050"/>
      <c r="B166" s="1049" t="s">
        <v>2499</v>
      </c>
      <c r="C166" s="382" t="s">
        <v>2500</v>
      </c>
      <c r="D166" s="1049" t="s">
        <v>2024</v>
      </c>
      <c r="E166" s="1047"/>
      <c r="F166" s="383">
        <v>-11150</v>
      </c>
      <c r="G166" s="383">
        <v>0</v>
      </c>
      <c r="H166" s="1046">
        <v>0</v>
      </c>
      <c r="I166" s="1047"/>
      <c r="J166" s="383">
        <v>-11150</v>
      </c>
      <c r="P166" s="463"/>
    </row>
    <row r="167" spans="1:16" ht="15" customHeight="1">
      <c r="A167" s="1050"/>
      <c r="B167" s="1050"/>
      <c r="C167" s="382" t="s">
        <v>2501</v>
      </c>
      <c r="D167" s="1049" t="s">
        <v>2025</v>
      </c>
      <c r="E167" s="1047"/>
      <c r="F167" s="383">
        <v>-72026.03</v>
      </c>
      <c r="G167" s="383">
        <v>0</v>
      </c>
      <c r="H167" s="1046">
        <v>36000</v>
      </c>
      <c r="I167" s="1047"/>
      <c r="J167" s="383">
        <v>-36026.03</v>
      </c>
      <c r="P167" s="463"/>
    </row>
    <row r="168" spans="1:16">
      <c r="A168" s="1050"/>
      <c r="B168" s="1051"/>
      <c r="C168" s="437" t="s">
        <v>12</v>
      </c>
      <c r="D168" s="1060" t="s">
        <v>111</v>
      </c>
      <c r="E168" s="1047"/>
      <c r="F168" s="474">
        <v>-83176.03</v>
      </c>
      <c r="G168" s="474">
        <v>0</v>
      </c>
      <c r="H168" s="1061">
        <v>36000</v>
      </c>
      <c r="I168" s="1047"/>
      <c r="J168" s="474">
        <v>-47176.03</v>
      </c>
      <c r="M168" s="456">
        <f>J168</f>
        <v>-47176.03</v>
      </c>
      <c r="P168" s="463"/>
    </row>
    <row r="169" spans="1:16" ht="15" customHeight="1">
      <c r="A169" s="1050"/>
      <c r="B169" s="1049" t="s">
        <v>2502</v>
      </c>
      <c r="C169" s="382" t="s">
        <v>2503</v>
      </c>
      <c r="D169" s="1049" t="s">
        <v>2026</v>
      </c>
      <c r="E169" s="1047"/>
      <c r="F169" s="383">
        <v>-18812.88</v>
      </c>
      <c r="G169" s="383">
        <v>976361.03</v>
      </c>
      <c r="H169" s="1046">
        <v>995173.91</v>
      </c>
      <c r="I169" s="1047"/>
      <c r="J169" s="383">
        <v>0</v>
      </c>
      <c r="P169" s="463"/>
    </row>
    <row r="170" spans="1:16">
      <c r="A170" s="1050"/>
      <c r="B170" s="1051"/>
      <c r="C170" s="437" t="s">
        <v>12</v>
      </c>
      <c r="D170" s="1060" t="s">
        <v>111</v>
      </c>
      <c r="E170" s="1047"/>
      <c r="F170" s="474">
        <v>-18812.88</v>
      </c>
      <c r="G170" s="474">
        <v>976361.03</v>
      </c>
      <c r="H170" s="1061">
        <v>995173.91</v>
      </c>
      <c r="I170" s="1047"/>
      <c r="J170" s="474">
        <v>0</v>
      </c>
      <c r="P170" s="463"/>
    </row>
    <row r="171" spans="1:16" ht="15" customHeight="1">
      <c r="A171" s="1050"/>
      <c r="B171" s="1049" t="s">
        <v>2504</v>
      </c>
      <c r="C171" s="382" t="s">
        <v>2505</v>
      </c>
      <c r="D171" s="1049" t="s">
        <v>2027</v>
      </c>
      <c r="E171" s="1047"/>
      <c r="F171" s="383">
        <v>1899.74</v>
      </c>
      <c r="G171" s="383">
        <v>1808030.25</v>
      </c>
      <c r="H171" s="1046">
        <v>1806110.51</v>
      </c>
      <c r="I171" s="1047"/>
      <c r="J171" s="383">
        <v>-20</v>
      </c>
      <c r="P171" s="463"/>
    </row>
    <row r="172" spans="1:16" ht="15" customHeight="1">
      <c r="A172" s="1050"/>
      <c r="B172" s="1050"/>
      <c r="C172" s="382" t="s">
        <v>2506</v>
      </c>
      <c r="D172" s="1049" t="s">
        <v>2028</v>
      </c>
      <c r="E172" s="1047"/>
      <c r="F172" s="383">
        <v>-999940</v>
      </c>
      <c r="G172" s="383">
        <v>0</v>
      </c>
      <c r="H172" s="1046">
        <v>999940</v>
      </c>
      <c r="I172" s="1047"/>
      <c r="J172" s="383">
        <v>0</v>
      </c>
      <c r="P172" s="463"/>
    </row>
    <row r="173" spans="1:16" ht="15" customHeight="1">
      <c r="A173" s="1050"/>
      <c r="B173" s="1050"/>
      <c r="C173" s="382" t="s">
        <v>2507</v>
      </c>
      <c r="D173" s="1049" t="s">
        <v>2029</v>
      </c>
      <c r="E173" s="1047"/>
      <c r="F173" s="383">
        <v>-44615.67</v>
      </c>
      <c r="G173" s="383">
        <v>5700653.04</v>
      </c>
      <c r="H173" s="1046">
        <v>5738268.71</v>
      </c>
      <c r="I173" s="1047"/>
      <c r="J173" s="383">
        <v>-7000</v>
      </c>
      <c r="P173" s="463"/>
    </row>
    <row r="174" spans="1:16" ht="15" customHeight="1">
      <c r="A174" s="1050"/>
      <c r="B174" s="1050"/>
      <c r="C174" s="382" t="s">
        <v>2508</v>
      </c>
      <c r="D174" s="1049" t="s">
        <v>2030</v>
      </c>
      <c r="E174" s="1047"/>
      <c r="F174" s="383">
        <v>-1260.75</v>
      </c>
      <c r="G174" s="383">
        <v>127635.2</v>
      </c>
      <c r="H174" s="1046">
        <v>128591.41</v>
      </c>
      <c r="I174" s="1047"/>
      <c r="J174" s="383">
        <v>-304.54000000000002</v>
      </c>
      <c r="P174" s="463"/>
    </row>
    <row r="175" spans="1:16" ht="15" customHeight="1">
      <c r="A175" s="1050"/>
      <c r="B175" s="1050"/>
      <c r="C175" s="382" t="s">
        <v>2509</v>
      </c>
      <c r="D175" s="1049" t="s">
        <v>2031</v>
      </c>
      <c r="E175" s="1047"/>
      <c r="F175" s="383">
        <v>0</v>
      </c>
      <c r="G175" s="383">
        <v>1681037</v>
      </c>
      <c r="H175" s="1046">
        <v>1681037</v>
      </c>
      <c r="I175" s="1047"/>
      <c r="J175" s="383">
        <v>0</v>
      </c>
      <c r="P175" s="463"/>
    </row>
    <row r="176" spans="1:16" ht="15" customHeight="1">
      <c r="A176" s="1050"/>
      <c r="B176" s="1050"/>
      <c r="C176" s="382" t="s">
        <v>2510</v>
      </c>
      <c r="D176" s="1049" t="s">
        <v>2032</v>
      </c>
      <c r="E176" s="1047"/>
      <c r="F176" s="383">
        <v>0</v>
      </c>
      <c r="G176" s="383">
        <v>2140660.0299999998</v>
      </c>
      <c r="H176" s="1046">
        <v>2140660.0299999998</v>
      </c>
      <c r="I176" s="1047"/>
      <c r="J176" s="383">
        <v>0</v>
      </c>
      <c r="P176" s="463"/>
    </row>
    <row r="177" spans="1:16" ht="15" customHeight="1">
      <c r="A177" s="1050"/>
      <c r="B177" s="1050"/>
      <c r="C177" s="382" t="s">
        <v>2511</v>
      </c>
      <c r="D177" s="1049" t="s">
        <v>2033</v>
      </c>
      <c r="E177" s="1047"/>
      <c r="F177" s="383">
        <v>-15883.2</v>
      </c>
      <c r="G177" s="383">
        <v>477817.46</v>
      </c>
      <c r="H177" s="1046">
        <v>490206.11</v>
      </c>
      <c r="I177" s="1047"/>
      <c r="J177" s="383">
        <v>-3494.55</v>
      </c>
      <c r="P177" s="463"/>
    </row>
    <row r="178" spans="1:16" ht="15" customHeight="1">
      <c r="A178" s="1050"/>
      <c r="B178" s="1050"/>
      <c r="C178" s="382" t="s">
        <v>2512</v>
      </c>
      <c r="D178" s="1049" t="s">
        <v>2034</v>
      </c>
      <c r="E178" s="1047"/>
      <c r="F178" s="383">
        <v>-11035.5</v>
      </c>
      <c r="G178" s="383">
        <v>33462.54</v>
      </c>
      <c r="H178" s="1046">
        <v>29737.48</v>
      </c>
      <c r="I178" s="1047"/>
      <c r="J178" s="383">
        <v>-14760.56</v>
      </c>
      <c r="P178" s="463"/>
    </row>
    <row r="179" spans="1:16">
      <c r="A179" s="1050"/>
      <c r="B179" s="1051"/>
      <c r="C179" s="437" t="s">
        <v>12</v>
      </c>
      <c r="D179" s="1060" t="s">
        <v>111</v>
      </c>
      <c r="E179" s="1047"/>
      <c r="F179" s="474">
        <v>-1070835.3799999999</v>
      </c>
      <c r="G179" s="474">
        <v>11969295.52</v>
      </c>
      <c r="H179" s="1061">
        <v>13014551.25</v>
      </c>
      <c r="I179" s="1047"/>
      <c r="J179" s="474">
        <v>-25579.65</v>
      </c>
      <c r="P179" s="463"/>
    </row>
    <row r="180" spans="1:16" ht="15" customHeight="1">
      <c r="A180" s="1050"/>
      <c r="B180" s="1049" t="s">
        <v>2513</v>
      </c>
      <c r="C180" s="382" t="s">
        <v>2514</v>
      </c>
      <c r="D180" s="1049" t="s">
        <v>2035</v>
      </c>
      <c r="E180" s="1047"/>
      <c r="F180" s="383">
        <v>0</v>
      </c>
      <c r="G180" s="383">
        <v>0</v>
      </c>
      <c r="H180" s="1046">
        <v>0</v>
      </c>
      <c r="I180" s="1047"/>
      <c r="J180" s="383">
        <v>0</v>
      </c>
      <c r="P180" s="463"/>
    </row>
    <row r="181" spans="1:16" ht="15" customHeight="1">
      <c r="A181" s="1050"/>
      <c r="B181" s="1050"/>
      <c r="C181" s="382" t="s">
        <v>2515</v>
      </c>
      <c r="D181" s="1049" t="s">
        <v>2036</v>
      </c>
      <c r="E181" s="1047"/>
      <c r="F181" s="383">
        <v>0</v>
      </c>
      <c r="G181" s="383">
        <v>1486.72</v>
      </c>
      <c r="H181" s="1046">
        <v>1486.72</v>
      </c>
      <c r="I181" s="1047"/>
      <c r="J181" s="383">
        <v>0</v>
      </c>
      <c r="P181" s="463"/>
    </row>
    <row r="182" spans="1:16">
      <c r="A182" s="1050"/>
      <c r="B182" s="1051"/>
      <c r="C182" s="437" t="s">
        <v>12</v>
      </c>
      <c r="D182" s="1060" t="s">
        <v>111</v>
      </c>
      <c r="E182" s="1047"/>
      <c r="F182" s="474">
        <v>0</v>
      </c>
      <c r="G182" s="474">
        <v>1486.72</v>
      </c>
      <c r="H182" s="1061">
        <v>1486.72</v>
      </c>
      <c r="I182" s="1047"/>
      <c r="J182" s="474">
        <v>0</v>
      </c>
      <c r="P182" s="463"/>
    </row>
    <row r="183" spans="1:16" ht="15" customHeight="1">
      <c r="A183" s="1050"/>
      <c r="B183" s="1049" t="s">
        <v>2516</v>
      </c>
      <c r="C183" s="382" t="s">
        <v>2517</v>
      </c>
      <c r="D183" s="1049" t="s">
        <v>2037</v>
      </c>
      <c r="E183" s="1047"/>
      <c r="F183" s="383">
        <v>-27059.89</v>
      </c>
      <c r="G183" s="383">
        <v>0</v>
      </c>
      <c r="H183" s="1046">
        <v>13249.98</v>
      </c>
      <c r="I183" s="1047"/>
      <c r="J183" s="383">
        <v>-13809.91</v>
      </c>
      <c r="P183" s="463"/>
    </row>
    <row r="184" spans="1:16" ht="15" customHeight="1">
      <c r="A184" s="1050"/>
      <c r="B184" s="1050"/>
      <c r="C184" s="382" t="s">
        <v>2518</v>
      </c>
      <c r="D184" s="1049" t="s">
        <v>2038</v>
      </c>
      <c r="E184" s="1047"/>
      <c r="F184" s="383">
        <v>-98737.06</v>
      </c>
      <c r="G184" s="383">
        <v>0</v>
      </c>
      <c r="H184" s="1046">
        <v>24577.439999999999</v>
      </c>
      <c r="I184" s="1047"/>
      <c r="J184" s="383">
        <v>-74159.62</v>
      </c>
      <c r="P184" s="463"/>
    </row>
    <row r="185" spans="1:16" ht="15" customHeight="1">
      <c r="A185" s="1050"/>
      <c r="B185" s="1050"/>
      <c r="C185" s="382" t="s">
        <v>2519</v>
      </c>
      <c r="D185" s="1049" t="s">
        <v>2039</v>
      </c>
      <c r="E185" s="1047"/>
      <c r="F185" s="383">
        <v>-5453.74</v>
      </c>
      <c r="G185" s="383">
        <v>0.18</v>
      </c>
      <c r="H185" s="1046">
        <v>5453.92</v>
      </c>
      <c r="I185" s="1047"/>
      <c r="J185" s="383">
        <v>0</v>
      </c>
      <c r="P185" s="463"/>
    </row>
    <row r="186" spans="1:16" ht="15" customHeight="1">
      <c r="A186" s="1050"/>
      <c r="B186" s="1050"/>
      <c r="C186" s="382" t="s">
        <v>3093</v>
      </c>
      <c r="D186" s="1049" t="s">
        <v>3094</v>
      </c>
      <c r="E186" s="1047"/>
      <c r="F186" s="383">
        <v>0</v>
      </c>
      <c r="G186" s="383">
        <v>67598.48</v>
      </c>
      <c r="H186" s="1046">
        <v>67598.48</v>
      </c>
      <c r="I186" s="1047"/>
      <c r="J186" s="383">
        <v>0</v>
      </c>
      <c r="P186" s="463"/>
    </row>
    <row r="187" spans="1:16" ht="15" customHeight="1">
      <c r="A187" s="1050"/>
      <c r="B187" s="1050"/>
      <c r="C187" s="382" t="s">
        <v>2520</v>
      </c>
      <c r="D187" s="1049" t="s">
        <v>2040</v>
      </c>
      <c r="E187" s="1047"/>
      <c r="F187" s="383">
        <v>-33185.230000000003</v>
      </c>
      <c r="G187" s="383">
        <v>0</v>
      </c>
      <c r="H187" s="1046">
        <v>29037.03</v>
      </c>
      <c r="I187" s="1047"/>
      <c r="J187" s="383">
        <v>-4148.2</v>
      </c>
      <c r="P187" s="463"/>
    </row>
    <row r="188" spans="1:16" ht="15" customHeight="1">
      <c r="A188" s="1050"/>
      <c r="B188" s="1050"/>
      <c r="C188" s="382" t="s">
        <v>2521</v>
      </c>
      <c r="D188" s="1049" t="s">
        <v>2041</v>
      </c>
      <c r="E188" s="1047"/>
      <c r="F188" s="383">
        <v>-75599.149999999994</v>
      </c>
      <c r="G188" s="383">
        <v>0</v>
      </c>
      <c r="H188" s="1046">
        <v>66713.34</v>
      </c>
      <c r="I188" s="1047"/>
      <c r="J188" s="383">
        <v>-8885.81</v>
      </c>
      <c r="P188" s="463"/>
    </row>
    <row r="189" spans="1:16" ht="15" customHeight="1">
      <c r="A189" s="1050"/>
      <c r="B189" s="1050"/>
      <c r="C189" s="382" t="s">
        <v>2522</v>
      </c>
      <c r="D189" s="1049" t="s">
        <v>2042</v>
      </c>
      <c r="E189" s="1047"/>
      <c r="F189" s="383">
        <v>-62169.599999999999</v>
      </c>
      <c r="G189" s="383">
        <v>22587.24</v>
      </c>
      <c r="H189" s="1046">
        <v>84756.84</v>
      </c>
      <c r="I189" s="1047"/>
      <c r="J189" s="383">
        <v>0</v>
      </c>
      <c r="P189" s="463"/>
    </row>
    <row r="190" spans="1:16" ht="15" customHeight="1">
      <c r="A190" s="1050"/>
      <c r="B190" s="1050"/>
      <c r="C190" s="382" t="s">
        <v>2523</v>
      </c>
      <c r="D190" s="1049" t="s">
        <v>2043</v>
      </c>
      <c r="E190" s="1047"/>
      <c r="F190" s="383">
        <v>-163985.78</v>
      </c>
      <c r="G190" s="383">
        <v>0</v>
      </c>
      <c r="H190" s="1046">
        <v>89446.8</v>
      </c>
      <c r="I190" s="1047"/>
      <c r="J190" s="383">
        <v>-74538.98</v>
      </c>
      <c r="P190" s="463"/>
    </row>
    <row r="191" spans="1:16" ht="15" customHeight="1">
      <c r="A191" s="1050"/>
      <c r="B191" s="1050"/>
      <c r="C191" s="382" t="s">
        <v>2524</v>
      </c>
      <c r="D191" s="1049" t="s">
        <v>2044</v>
      </c>
      <c r="E191" s="1047"/>
      <c r="F191" s="383">
        <v>-60550.37</v>
      </c>
      <c r="G191" s="383">
        <v>0</v>
      </c>
      <c r="H191" s="1046">
        <v>28958.93</v>
      </c>
      <c r="I191" s="1047"/>
      <c r="J191" s="383">
        <v>-31591.439999999999</v>
      </c>
      <c r="P191" s="463"/>
    </row>
    <row r="192" spans="1:16" ht="15" customHeight="1">
      <c r="A192" s="1050"/>
      <c r="B192" s="1050"/>
      <c r="C192" s="382" t="s">
        <v>3095</v>
      </c>
      <c r="D192" s="1049" t="s">
        <v>3096</v>
      </c>
      <c r="E192" s="1047"/>
      <c r="F192" s="383">
        <v>0</v>
      </c>
      <c r="G192" s="383">
        <v>42436.2</v>
      </c>
      <c r="H192" s="1046">
        <v>11787.8</v>
      </c>
      <c r="I192" s="1047"/>
      <c r="J192" s="383">
        <v>-30648.400000000001</v>
      </c>
      <c r="P192" s="463"/>
    </row>
    <row r="193" spans="1:16" ht="15" customHeight="1">
      <c r="A193" s="1050"/>
      <c r="B193" s="1050"/>
      <c r="C193" s="382" t="s">
        <v>3097</v>
      </c>
      <c r="D193" s="1049" t="s">
        <v>3098</v>
      </c>
      <c r="E193" s="1047"/>
      <c r="F193" s="383">
        <v>0</v>
      </c>
      <c r="G193" s="383">
        <v>37757.35</v>
      </c>
      <c r="H193" s="1046">
        <v>14096.42</v>
      </c>
      <c r="I193" s="1047"/>
      <c r="J193" s="383">
        <v>-23660.93</v>
      </c>
      <c r="P193" s="463"/>
    </row>
    <row r="194" spans="1:16" ht="15" customHeight="1">
      <c r="A194" s="1050"/>
      <c r="B194" s="1050"/>
      <c r="C194" s="382" t="s">
        <v>3099</v>
      </c>
      <c r="D194" s="1049" t="s">
        <v>3100</v>
      </c>
      <c r="E194" s="1047"/>
      <c r="F194" s="383">
        <v>0</v>
      </c>
      <c r="G194" s="383">
        <v>134128.13</v>
      </c>
      <c r="H194" s="1046">
        <v>44709.36</v>
      </c>
      <c r="I194" s="1047"/>
      <c r="J194" s="383">
        <v>-89418.77</v>
      </c>
      <c r="P194" s="463"/>
    </row>
    <row r="195" spans="1:16" ht="15" customHeight="1">
      <c r="A195" s="1050"/>
      <c r="B195" s="1050"/>
      <c r="C195" s="382" t="s">
        <v>3101</v>
      </c>
      <c r="D195" s="1049" t="s">
        <v>3102</v>
      </c>
      <c r="E195" s="1047"/>
      <c r="F195" s="383">
        <v>0</v>
      </c>
      <c r="G195" s="383">
        <v>98583.02</v>
      </c>
      <c r="H195" s="1046">
        <v>16430.52</v>
      </c>
      <c r="I195" s="1047"/>
      <c r="J195" s="383">
        <v>-82152.5</v>
      </c>
      <c r="P195" s="463"/>
    </row>
    <row r="196" spans="1:16" ht="15" customHeight="1">
      <c r="A196" s="1050"/>
      <c r="B196" s="1050"/>
      <c r="C196" s="382" t="s">
        <v>3103</v>
      </c>
      <c r="D196" s="1049" t="s">
        <v>3104</v>
      </c>
      <c r="E196" s="1047"/>
      <c r="F196" s="383">
        <v>0</v>
      </c>
      <c r="G196" s="383">
        <v>109077.55</v>
      </c>
      <c r="H196" s="1046">
        <v>16944.599999999999</v>
      </c>
      <c r="I196" s="1047"/>
      <c r="J196" s="383">
        <v>-92132.95</v>
      </c>
      <c r="P196" s="463"/>
    </row>
    <row r="197" spans="1:16" ht="15" customHeight="1">
      <c r="A197" s="1050"/>
      <c r="B197" s="1050"/>
      <c r="C197" s="382" t="s">
        <v>3105</v>
      </c>
      <c r="D197" s="1049" t="s">
        <v>3096</v>
      </c>
      <c r="E197" s="1047"/>
      <c r="F197" s="383">
        <v>0</v>
      </c>
      <c r="G197" s="383">
        <v>50250</v>
      </c>
      <c r="H197" s="1046">
        <v>8375</v>
      </c>
      <c r="I197" s="1047"/>
      <c r="J197" s="383">
        <v>-41875</v>
      </c>
      <c r="P197" s="463"/>
    </row>
    <row r="198" spans="1:16" ht="15" customHeight="1">
      <c r="A198" s="1050"/>
      <c r="B198" s="1050"/>
      <c r="C198" s="382" t="s">
        <v>3106</v>
      </c>
      <c r="D198" s="1049" t="s">
        <v>3107</v>
      </c>
      <c r="E198" s="1047"/>
      <c r="F198" s="383">
        <v>0</v>
      </c>
      <c r="G198" s="383">
        <v>260.43</v>
      </c>
      <c r="H198" s="1046">
        <v>260.43</v>
      </c>
      <c r="I198" s="1047"/>
      <c r="J198" s="383">
        <v>0</v>
      </c>
      <c r="P198" s="463"/>
    </row>
    <row r="199" spans="1:16">
      <c r="A199" s="1050"/>
      <c r="B199" s="1051"/>
      <c r="C199" s="437" t="s">
        <v>12</v>
      </c>
      <c r="D199" s="1060" t="s">
        <v>111</v>
      </c>
      <c r="E199" s="1047"/>
      <c r="F199" s="474">
        <v>-526740.81999999995</v>
      </c>
      <c r="G199" s="474">
        <v>562678.57999999996</v>
      </c>
      <c r="H199" s="1061">
        <v>522396.89</v>
      </c>
      <c r="I199" s="1047"/>
      <c r="J199" s="474">
        <v>-567022.51</v>
      </c>
      <c r="M199" s="456">
        <f>J199</f>
        <v>-567022.51</v>
      </c>
      <c r="P199" s="463"/>
    </row>
    <row r="200" spans="1:16" ht="15" customHeight="1">
      <c r="A200" s="1050"/>
      <c r="B200" s="1049" t="s">
        <v>2525</v>
      </c>
      <c r="C200" s="382" t="s">
        <v>2526</v>
      </c>
      <c r="D200" s="1049" t="s">
        <v>2045</v>
      </c>
      <c r="E200" s="1047"/>
      <c r="F200" s="383">
        <v>-87019444.769999996</v>
      </c>
      <c r="G200" s="383">
        <v>275024284.66000003</v>
      </c>
      <c r="H200" s="1046">
        <v>0</v>
      </c>
      <c r="I200" s="1047"/>
      <c r="J200" s="383">
        <v>-362043729.43000001</v>
      </c>
      <c r="M200" s="434">
        <f>SUM(M65:M199)</f>
        <v>-1925742.4100000001</v>
      </c>
      <c r="P200" s="463"/>
    </row>
    <row r="201" spans="1:16">
      <c r="A201" s="1050"/>
      <c r="B201" s="1051"/>
      <c r="C201" s="437" t="s">
        <v>12</v>
      </c>
      <c r="D201" s="1060" t="s">
        <v>111</v>
      </c>
      <c r="E201" s="1047"/>
      <c r="F201" s="474">
        <v>-87019444.769999996</v>
      </c>
      <c r="G201" s="474">
        <v>275024284.66000003</v>
      </c>
      <c r="H201" s="1061">
        <v>0</v>
      </c>
      <c r="I201" s="1047"/>
      <c r="J201" s="474">
        <v>-362043729.43000001</v>
      </c>
      <c r="P201" s="463"/>
    </row>
    <row r="202" spans="1:16" ht="15" customHeight="1">
      <c r="A202" s="1050"/>
      <c r="B202" s="1049" t="s">
        <v>2527</v>
      </c>
      <c r="C202" s="382" t="s">
        <v>2528</v>
      </c>
      <c r="D202" s="1049" t="s">
        <v>2046</v>
      </c>
      <c r="E202" s="1047"/>
      <c r="F202" s="383">
        <v>-2559698.44</v>
      </c>
      <c r="G202" s="383">
        <v>676477.43</v>
      </c>
      <c r="H202" s="1046">
        <v>214626.38</v>
      </c>
      <c r="I202" s="1047"/>
      <c r="J202" s="383">
        <v>-3021549.49</v>
      </c>
      <c r="P202" s="463"/>
    </row>
    <row r="203" spans="1:16">
      <c r="A203" s="1050"/>
      <c r="B203" s="1051"/>
      <c r="C203" s="437" t="s">
        <v>12</v>
      </c>
      <c r="D203" s="1060" t="s">
        <v>111</v>
      </c>
      <c r="E203" s="1047"/>
      <c r="F203" s="474">
        <v>-2559698.44</v>
      </c>
      <c r="G203" s="474">
        <v>676477.43</v>
      </c>
      <c r="H203" s="1061">
        <v>214626.38</v>
      </c>
      <c r="I203" s="1047"/>
      <c r="J203" s="474">
        <v>-3021549.49</v>
      </c>
      <c r="L203" s="446">
        <f>J203</f>
        <v>-3021549.49</v>
      </c>
      <c r="P203" s="463"/>
    </row>
    <row r="204" spans="1:16" ht="15" customHeight="1">
      <c r="A204" s="1050"/>
      <c r="B204" s="1049" t="s">
        <v>2529</v>
      </c>
      <c r="C204" s="382" t="s">
        <v>2530</v>
      </c>
      <c r="D204" s="1049" t="s">
        <v>2047</v>
      </c>
      <c r="E204" s="1047"/>
      <c r="F204" s="383">
        <v>-4748277.25</v>
      </c>
      <c r="G204" s="383">
        <v>2577378.94</v>
      </c>
      <c r="H204" s="1046">
        <v>653094.18999999994</v>
      </c>
      <c r="I204" s="1047"/>
      <c r="J204" s="383">
        <v>-6672562</v>
      </c>
      <c r="L204" s="447"/>
      <c r="P204" s="463"/>
    </row>
    <row r="205" spans="1:16">
      <c r="A205" s="1050"/>
      <c r="B205" s="1051"/>
      <c r="C205" s="437" t="s">
        <v>12</v>
      </c>
      <c r="D205" s="1060" t="s">
        <v>111</v>
      </c>
      <c r="E205" s="1047"/>
      <c r="F205" s="474">
        <v>-4748277.25</v>
      </c>
      <c r="G205" s="474">
        <v>2577378.94</v>
      </c>
      <c r="H205" s="1061">
        <v>653094.18999999994</v>
      </c>
      <c r="I205" s="1047"/>
      <c r="J205" s="474">
        <v>-6672562</v>
      </c>
      <c r="K205" s="434">
        <f>J203+J205+J207+J209+J212+J216+J218+J220+J222+J224+J226+J227+J228</f>
        <v>-14570864.379999997</v>
      </c>
      <c r="L205" s="446">
        <f>J205</f>
        <v>-6672562</v>
      </c>
      <c r="P205" s="463"/>
    </row>
    <row r="206" spans="1:16" ht="15" customHeight="1">
      <c r="A206" s="1050"/>
      <c r="B206" s="1049" t="s">
        <v>2531</v>
      </c>
      <c r="C206" s="382" t="s">
        <v>2532</v>
      </c>
      <c r="D206" s="1049" t="s">
        <v>2048</v>
      </c>
      <c r="E206" s="1047"/>
      <c r="F206" s="383">
        <v>-257185.1</v>
      </c>
      <c r="G206" s="383">
        <v>0</v>
      </c>
      <c r="H206" s="1046">
        <v>0</v>
      </c>
      <c r="I206" s="1047"/>
      <c r="J206" s="383">
        <v>-257185.1</v>
      </c>
      <c r="L206" s="447"/>
      <c r="P206" s="463"/>
    </row>
    <row r="207" spans="1:16">
      <c r="A207" s="1050"/>
      <c r="B207" s="1051"/>
      <c r="C207" s="437" t="s">
        <v>12</v>
      </c>
      <c r="D207" s="1060" t="s">
        <v>111</v>
      </c>
      <c r="E207" s="1047"/>
      <c r="F207" s="474">
        <v>-257185.1</v>
      </c>
      <c r="G207" s="474">
        <v>0</v>
      </c>
      <c r="H207" s="1061">
        <v>0</v>
      </c>
      <c r="I207" s="1047"/>
      <c r="J207" s="474">
        <v>-257185.1</v>
      </c>
      <c r="L207" s="446">
        <f>J207</f>
        <v>-257185.1</v>
      </c>
      <c r="P207" s="463"/>
    </row>
    <row r="208" spans="1:16" ht="15" customHeight="1">
      <c r="A208" s="1050"/>
      <c r="B208" s="1049" t="s">
        <v>2533</v>
      </c>
      <c r="C208" s="382" t="s">
        <v>2534</v>
      </c>
      <c r="D208" s="1049" t="s">
        <v>2049</v>
      </c>
      <c r="E208" s="1047"/>
      <c r="F208" s="383">
        <v>-3396421.16</v>
      </c>
      <c r="G208" s="383">
        <v>2188861.06</v>
      </c>
      <c r="H208" s="1046">
        <v>5467.96</v>
      </c>
      <c r="I208" s="1047"/>
      <c r="J208" s="383">
        <v>-5579814.2599999998</v>
      </c>
      <c r="L208" s="447"/>
      <c r="P208" s="463"/>
    </row>
    <row r="209" spans="1:16">
      <c r="A209" s="1050"/>
      <c r="B209" s="1051"/>
      <c r="C209" s="437" t="s">
        <v>12</v>
      </c>
      <c r="D209" s="1060" t="s">
        <v>111</v>
      </c>
      <c r="E209" s="1047"/>
      <c r="F209" s="474">
        <v>-3396421.16</v>
      </c>
      <c r="G209" s="474">
        <v>2188861.06</v>
      </c>
      <c r="H209" s="1061">
        <v>5467.96</v>
      </c>
      <c r="I209" s="1047"/>
      <c r="J209" s="474">
        <v>-5579814.2599999998</v>
      </c>
      <c r="L209" s="446">
        <f>J209</f>
        <v>-5579814.2599999998</v>
      </c>
      <c r="P209" s="463"/>
    </row>
    <row r="210" spans="1:16" ht="15" customHeight="1">
      <c r="A210" s="1050"/>
      <c r="B210" s="1049" t="s">
        <v>2535</v>
      </c>
      <c r="C210" s="382" t="s">
        <v>2536</v>
      </c>
      <c r="D210" s="1049" t="s">
        <v>2050</v>
      </c>
      <c r="E210" s="1047"/>
      <c r="F210" s="383">
        <v>-2564824.6800000002</v>
      </c>
      <c r="G210" s="383">
        <v>251009.73</v>
      </c>
      <c r="H210" s="1046">
        <v>2815834.41</v>
      </c>
      <c r="I210" s="1047"/>
      <c r="J210" s="383">
        <v>0</v>
      </c>
      <c r="L210" s="447"/>
      <c r="P210" s="463"/>
    </row>
    <row r="211" spans="1:16" ht="15" customHeight="1">
      <c r="A211" s="1050"/>
      <c r="B211" s="1050"/>
      <c r="C211" s="382" t="s">
        <v>2537</v>
      </c>
      <c r="D211" s="1049" t="s">
        <v>2051</v>
      </c>
      <c r="E211" s="1047"/>
      <c r="F211" s="383">
        <v>-597448.85</v>
      </c>
      <c r="G211" s="383">
        <v>61886.59</v>
      </c>
      <c r="H211" s="1046">
        <v>3520</v>
      </c>
      <c r="I211" s="1047"/>
      <c r="J211" s="383">
        <v>-655815.43999999994</v>
      </c>
      <c r="L211" s="447"/>
      <c r="P211" s="463"/>
    </row>
    <row r="212" spans="1:16">
      <c r="A212" s="1050"/>
      <c r="B212" s="1051"/>
      <c r="C212" s="437" t="s">
        <v>12</v>
      </c>
      <c r="D212" s="1060" t="s">
        <v>111</v>
      </c>
      <c r="E212" s="1047"/>
      <c r="F212" s="474">
        <v>-3162273.53</v>
      </c>
      <c r="G212" s="474">
        <v>312896.32</v>
      </c>
      <c r="H212" s="1061">
        <v>2819354.41</v>
      </c>
      <c r="I212" s="1047"/>
      <c r="J212" s="474">
        <v>-655815.43999999994</v>
      </c>
      <c r="L212" s="446">
        <f>J212</f>
        <v>-655815.43999999994</v>
      </c>
      <c r="P212" s="463"/>
    </row>
    <row r="213" spans="1:16" ht="15" customHeight="1">
      <c r="A213" s="1050"/>
      <c r="B213" s="1049" t="s">
        <v>2538</v>
      </c>
      <c r="C213" s="382" t="s">
        <v>3108</v>
      </c>
      <c r="D213" s="1049" t="s">
        <v>3109</v>
      </c>
      <c r="E213" s="1047"/>
      <c r="F213" s="383">
        <v>0</v>
      </c>
      <c r="G213" s="383">
        <v>47936</v>
      </c>
      <c r="H213" s="1046">
        <v>0</v>
      </c>
      <c r="I213" s="1047"/>
      <c r="J213" s="383">
        <v>-47936</v>
      </c>
      <c r="L213" s="447"/>
      <c r="P213" s="463"/>
    </row>
    <row r="214" spans="1:16" ht="15" customHeight="1">
      <c r="A214" s="1050"/>
      <c r="B214" s="1050"/>
      <c r="C214" s="382" t="s">
        <v>2539</v>
      </c>
      <c r="D214" s="1049" t="s">
        <v>2052</v>
      </c>
      <c r="E214" s="1047"/>
      <c r="F214" s="383">
        <v>-1273273.1200000001</v>
      </c>
      <c r="G214" s="383">
        <v>856280.4</v>
      </c>
      <c r="H214" s="1046">
        <v>31057.84</v>
      </c>
      <c r="I214" s="1047"/>
      <c r="J214" s="383">
        <v>-2098495.6800000002</v>
      </c>
      <c r="L214" s="447"/>
      <c r="P214" s="463"/>
    </row>
    <row r="215" spans="1:16" ht="15" customHeight="1">
      <c r="A215" s="1050"/>
      <c r="B215" s="1050"/>
      <c r="C215" s="382" t="s">
        <v>2540</v>
      </c>
      <c r="D215" s="1049" t="s">
        <v>2053</v>
      </c>
      <c r="E215" s="1047"/>
      <c r="F215" s="383">
        <v>-5289497.96</v>
      </c>
      <c r="G215" s="383">
        <v>333032.08</v>
      </c>
      <c r="H215" s="1046">
        <v>222404.08</v>
      </c>
      <c r="I215" s="1047"/>
      <c r="J215" s="383">
        <v>-5400125.96</v>
      </c>
      <c r="L215" s="447"/>
      <c r="P215" s="463"/>
    </row>
    <row r="216" spans="1:16">
      <c r="A216" s="1050"/>
      <c r="B216" s="1051"/>
      <c r="C216" s="437" t="s">
        <v>12</v>
      </c>
      <c r="D216" s="1060" t="s">
        <v>111</v>
      </c>
      <c r="E216" s="1047"/>
      <c r="F216" s="474">
        <v>-6562771.0800000001</v>
      </c>
      <c r="G216" s="474">
        <v>1237248.48</v>
      </c>
      <c r="H216" s="1061">
        <v>253461.92</v>
      </c>
      <c r="I216" s="1047"/>
      <c r="J216" s="474">
        <v>-7546557.6399999997</v>
      </c>
      <c r="K216" s="467">
        <f>J216</f>
        <v>-7546557.6399999997</v>
      </c>
      <c r="L216" s="446"/>
      <c r="P216" s="463"/>
    </row>
    <row r="217" spans="1:16" ht="15" customHeight="1">
      <c r="A217" s="1050"/>
      <c r="B217" s="1049" t="s">
        <v>2541</v>
      </c>
      <c r="C217" s="382" t="s">
        <v>2542</v>
      </c>
      <c r="D217" s="1049" t="s">
        <v>2054</v>
      </c>
      <c r="E217" s="1047"/>
      <c r="F217" s="383">
        <v>1350889.52</v>
      </c>
      <c r="G217" s="383">
        <v>310023.86</v>
      </c>
      <c r="H217" s="1046">
        <v>452869.19</v>
      </c>
      <c r="I217" s="1047"/>
      <c r="J217" s="383">
        <v>1493734.85</v>
      </c>
      <c r="L217" s="447"/>
      <c r="P217" s="463"/>
    </row>
    <row r="218" spans="1:16">
      <c r="A218" s="1050"/>
      <c r="B218" s="1051"/>
      <c r="C218" s="437" t="s">
        <v>12</v>
      </c>
      <c r="D218" s="1060" t="s">
        <v>111</v>
      </c>
      <c r="E218" s="1047"/>
      <c r="F218" s="474">
        <v>1350889.52</v>
      </c>
      <c r="G218" s="474">
        <v>310023.86</v>
      </c>
      <c r="H218" s="1061">
        <v>452869.19</v>
      </c>
      <c r="I218" s="1047"/>
      <c r="J218" s="474">
        <v>1493734.85</v>
      </c>
      <c r="L218" s="446">
        <f>J218</f>
        <v>1493734.85</v>
      </c>
      <c r="P218" s="463"/>
    </row>
    <row r="219" spans="1:16" ht="15" customHeight="1">
      <c r="A219" s="1050"/>
      <c r="B219" s="1049" t="s">
        <v>2543</v>
      </c>
      <c r="C219" s="382" t="s">
        <v>2544</v>
      </c>
      <c r="D219" s="1049" t="s">
        <v>2055</v>
      </c>
      <c r="E219" s="1047"/>
      <c r="F219" s="383">
        <v>2766441.55</v>
      </c>
      <c r="G219" s="383">
        <v>422805.83</v>
      </c>
      <c r="H219" s="1046">
        <v>1129650.27</v>
      </c>
      <c r="I219" s="1047"/>
      <c r="J219" s="383">
        <v>3473285.99</v>
      </c>
      <c r="L219" s="447"/>
      <c r="P219" s="463"/>
    </row>
    <row r="220" spans="1:16">
      <c r="A220" s="1050"/>
      <c r="B220" s="1051"/>
      <c r="C220" s="437" t="s">
        <v>12</v>
      </c>
      <c r="D220" s="1060" t="s">
        <v>111</v>
      </c>
      <c r="E220" s="1047"/>
      <c r="F220" s="474">
        <v>2766441.55</v>
      </c>
      <c r="G220" s="474">
        <v>422805.83</v>
      </c>
      <c r="H220" s="1061">
        <v>1129650.27</v>
      </c>
      <c r="I220" s="1047"/>
      <c r="J220" s="474">
        <v>3473285.99</v>
      </c>
      <c r="L220" s="446">
        <f>J220</f>
        <v>3473285.99</v>
      </c>
      <c r="P220" s="463"/>
    </row>
    <row r="221" spans="1:16" ht="15" customHeight="1">
      <c r="A221" s="1050"/>
      <c r="B221" s="1049" t="s">
        <v>2545</v>
      </c>
      <c r="C221" s="382" t="s">
        <v>2546</v>
      </c>
      <c r="D221" s="1049" t="s">
        <v>2056</v>
      </c>
      <c r="E221" s="1047"/>
      <c r="F221" s="383">
        <v>257185.1</v>
      </c>
      <c r="G221" s="383">
        <v>0</v>
      </c>
      <c r="H221" s="1046">
        <v>0</v>
      </c>
      <c r="I221" s="1047"/>
      <c r="J221" s="383">
        <v>257185.1</v>
      </c>
      <c r="L221" s="447"/>
      <c r="P221" s="463"/>
    </row>
    <row r="222" spans="1:16">
      <c r="A222" s="1050"/>
      <c r="B222" s="1051"/>
      <c r="C222" s="437" t="s">
        <v>12</v>
      </c>
      <c r="D222" s="1060" t="s">
        <v>111</v>
      </c>
      <c r="E222" s="1047"/>
      <c r="F222" s="474">
        <v>257185.1</v>
      </c>
      <c r="G222" s="474">
        <v>0</v>
      </c>
      <c r="H222" s="1061">
        <v>0</v>
      </c>
      <c r="I222" s="1047"/>
      <c r="J222" s="474">
        <v>257185.1</v>
      </c>
      <c r="L222" s="446">
        <f>J222</f>
        <v>257185.1</v>
      </c>
      <c r="P222" s="463"/>
    </row>
    <row r="223" spans="1:16" ht="15" customHeight="1">
      <c r="A223" s="1050"/>
      <c r="B223" s="1049" t="s">
        <v>2547</v>
      </c>
      <c r="C223" s="382" t="s">
        <v>2548</v>
      </c>
      <c r="D223" s="1049" t="s">
        <v>2057</v>
      </c>
      <c r="E223" s="1047"/>
      <c r="F223" s="383">
        <v>1415751.62</v>
      </c>
      <c r="G223" s="383">
        <v>216854.73</v>
      </c>
      <c r="H223" s="1046">
        <v>526715.51</v>
      </c>
      <c r="I223" s="1047"/>
      <c r="J223" s="383">
        <v>1725612.4</v>
      </c>
      <c r="L223" s="447"/>
      <c r="P223" s="463"/>
    </row>
    <row r="224" spans="1:16">
      <c r="A224" s="1050"/>
      <c r="B224" s="1051"/>
      <c r="C224" s="437" t="s">
        <v>12</v>
      </c>
      <c r="D224" s="1060" t="s">
        <v>111</v>
      </c>
      <c r="E224" s="1047"/>
      <c r="F224" s="474">
        <v>1415751.62</v>
      </c>
      <c r="G224" s="474">
        <v>216854.73</v>
      </c>
      <c r="H224" s="1061">
        <v>526715.51</v>
      </c>
      <c r="I224" s="1047"/>
      <c r="J224" s="474">
        <v>1725612.4</v>
      </c>
      <c r="L224" s="446">
        <f>J224</f>
        <v>1725612.4</v>
      </c>
      <c r="P224" s="463"/>
    </row>
    <row r="225" spans="1:16" ht="16.5" customHeight="1">
      <c r="A225" s="1050"/>
      <c r="B225" s="1049" t="s">
        <v>2549</v>
      </c>
      <c r="C225" s="382" t="s">
        <v>2550</v>
      </c>
      <c r="D225" s="1049" t="s">
        <v>2058</v>
      </c>
      <c r="E225" s="1047"/>
      <c r="F225" s="383">
        <v>380393.87</v>
      </c>
      <c r="G225" s="383">
        <v>0</v>
      </c>
      <c r="H225" s="1046">
        <v>184438.82</v>
      </c>
      <c r="I225" s="1047"/>
      <c r="J225" s="383">
        <v>564832.68999999994</v>
      </c>
      <c r="L225" s="447"/>
      <c r="P225" s="463"/>
    </row>
    <row r="226" spans="1:16" ht="16.5" customHeight="1">
      <c r="A226" s="1050"/>
      <c r="B226" s="1051"/>
      <c r="C226" s="437" t="s">
        <v>12</v>
      </c>
      <c r="D226" s="1060" t="s">
        <v>111</v>
      </c>
      <c r="E226" s="1047"/>
      <c r="F226" s="474">
        <v>380393.87</v>
      </c>
      <c r="G226" s="474">
        <v>0</v>
      </c>
      <c r="H226" s="1061">
        <v>184438.82</v>
      </c>
      <c r="I226" s="1047"/>
      <c r="J226" s="474">
        <v>564832.68999999994</v>
      </c>
      <c r="L226" s="446">
        <f>J226</f>
        <v>564832.68999999994</v>
      </c>
      <c r="P226" s="463"/>
    </row>
    <row r="227" spans="1:16" ht="17.25" customHeight="1">
      <c r="A227" s="1050"/>
      <c r="B227" s="1049" t="s">
        <v>2551</v>
      </c>
      <c r="C227" s="382" t="s">
        <v>2552</v>
      </c>
      <c r="D227" s="1049" t="s">
        <v>2059</v>
      </c>
      <c r="E227" s="1047"/>
      <c r="F227" s="383">
        <v>219174.5</v>
      </c>
      <c r="G227" s="383">
        <v>39719.19</v>
      </c>
      <c r="H227" s="1046">
        <v>478490.65</v>
      </c>
      <c r="I227" s="1047"/>
      <c r="J227" s="383">
        <v>657945.96</v>
      </c>
      <c r="L227" s="466">
        <f>SUM(L203:L226)</f>
        <v>-8672275.2599999998</v>
      </c>
      <c r="P227" s="463"/>
    </row>
    <row r="228" spans="1:16" ht="15" customHeight="1">
      <c r="A228" s="1050"/>
      <c r="B228" s="1050"/>
      <c r="C228" s="382" t="s">
        <v>3110</v>
      </c>
      <c r="D228" s="1049" t="s">
        <v>3111</v>
      </c>
      <c r="E228" s="1047"/>
      <c r="F228" s="383">
        <v>0</v>
      </c>
      <c r="G228" s="383">
        <v>270002</v>
      </c>
      <c r="H228" s="1046">
        <v>1260024.56</v>
      </c>
      <c r="I228" s="1047"/>
      <c r="J228" s="383">
        <v>990022.56</v>
      </c>
      <c r="P228" s="463"/>
    </row>
    <row r="229" spans="1:16">
      <c r="A229" s="1050"/>
      <c r="B229" s="1051"/>
      <c r="C229" s="437" t="s">
        <v>12</v>
      </c>
      <c r="D229" s="1060" t="s">
        <v>111</v>
      </c>
      <c r="E229" s="1047"/>
      <c r="F229" s="474">
        <v>219174.5</v>
      </c>
      <c r="G229" s="474">
        <v>309721.19</v>
      </c>
      <c r="H229" s="1061">
        <v>1738515.21</v>
      </c>
      <c r="I229" s="1047"/>
      <c r="J229" s="474">
        <v>1647968.52</v>
      </c>
      <c r="K229" s="468">
        <f>J229</f>
        <v>1647968.52</v>
      </c>
      <c r="P229" s="463"/>
    </row>
    <row r="230" spans="1:16">
      <c r="A230" s="1051"/>
      <c r="B230" s="359" t="s">
        <v>12</v>
      </c>
      <c r="C230" s="359" t="s">
        <v>111</v>
      </c>
      <c r="D230" s="1059" t="s">
        <v>111</v>
      </c>
      <c r="E230" s="1047"/>
      <c r="F230" s="384">
        <v>-229225456.80000001</v>
      </c>
      <c r="G230" s="384">
        <v>1761620106.7</v>
      </c>
      <c r="H230" s="1048">
        <v>1465084987.8099999</v>
      </c>
      <c r="I230" s="1047"/>
      <c r="J230" s="384">
        <v>-525760575.69</v>
      </c>
      <c r="K230" s="466">
        <f>SUM(K216:K229)</f>
        <v>-5898589.1199999992</v>
      </c>
      <c r="P230" s="463"/>
    </row>
    <row r="231" spans="1:16">
      <c r="A231" s="1049" t="s">
        <v>50</v>
      </c>
      <c r="B231" s="1049" t="s">
        <v>2814</v>
      </c>
      <c r="C231" s="382" t="s">
        <v>2815</v>
      </c>
      <c r="D231" s="1049" t="s">
        <v>1967</v>
      </c>
      <c r="E231" s="1047"/>
      <c r="F231" s="383">
        <v>4460389.75</v>
      </c>
      <c r="G231" s="383">
        <v>355960036.06</v>
      </c>
      <c r="H231" s="1046">
        <v>357302621.31999999</v>
      </c>
      <c r="I231" s="1047"/>
      <c r="J231" s="383">
        <v>5802975.0099999998</v>
      </c>
      <c r="P231" s="463"/>
    </row>
    <row r="232" spans="1:16">
      <c r="A232" s="1050"/>
      <c r="B232" s="1050"/>
      <c r="C232" s="382" t="s">
        <v>2816</v>
      </c>
      <c r="D232" s="1049" t="s">
        <v>2060</v>
      </c>
      <c r="E232" s="1047"/>
      <c r="F232" s="383">
        <v>6611608.1299999999</v>
      </c>
      <c r="G232" s="383">
        <v>56478326</v>
      </c>
      <c r="H232" s="1046">
        <v>56767369.490000002</v>
      </c>
      <c r="I232" s="1047"/>
      <c r="J232" s="383">
        <v>6900651.6200000001</v>
      </c>
      <c r="P232" s="463"/>
    </row>
    <row r="233" spans="1:16" ht="15" customHeight="1">
      <c r="A233" s="1050"/>
      <c r="B233" s="1050"/>
      <c r="C233" s="382" t="s">
        <v>2817</v>
      </c>
      <c r="D233" s="1049" t="s">
        <v>2061</v>
      </c>
      <c r="E233" s="1047"/>
      <c r="F233" s="383">
        <v>1137042.26</v>
      </c>
      <c r="G233" s="383">
        <v>206849.23</v>
      </c>
      <c r="H233" s="1046">
        <v>39849.67</v>
      </c>
      <c r="I233" s="1047"/>
      <c r="J233" s="383">
        <v>970042.7</v>
      </c>
      <c r="P233" s="463"/>
    </row>
    <row r="234" spans="1:16" ht="15" customHeight="1">
      <c r="A234" s="1050"/>
      <c r="B234" s="1050"/>
      <c r="C234" s="382" t="s">
        <v>3112</v>
      </c>
      <c r="D234" s="1049" t="s">
        <v>2068</v>
      </c>
      <c r="E234" s="1047"/>
      <c r="F234" s="383">
        <v>0</v>
      </c>
      <c r="G234" s="383">
        <v>12008276.27</v>
      </c>
      <c r="H234" s="1046">
        <v>12068618.35</v>
      </c>
      <c r="I234" s="1047"/>
      <c r="J234" s="383">
        <v>60342.080000000002</v>
      </c>
      <c r="P234" s="463"/>
    </row>
    <row r="235" spans="1:16">
      <c r="A235" s="1050"/>
      <c r="B235" s="1050"/>
      <c r="C235" s="382" t="s">
        <v>2818</v>
      </c>
      <c r="D235" s="1049" t="s">
        <v>2062</v>
      </c>
      <c r="E235" s="1047"/>
      <c r="F235" s="383">
        <v>323684.32</v>
      </c>
      <c r="G235" s="383">
        <v>19989430.940000001</v>
      </c>
      <c r="H235" s="1046">
        <v>20176521.23</v>
      </c>
      <c r="I235" s="1047"/>
      <c r="J235" s="383">
        <v>510774.61</v>
      </c>
      <c r="P235" s="463"/>
    </row>
    <row r="236" spans="1:16" ht="15" customHeight="1">
      <c r="A236" s="1050"/>
      <c r="B236" s="1050"/>
      <c r="C236" s="382" t="s">
        <v>2819</v>
      </c>
      <c r="D236" s="1049" t="s">
        <v>2063</v>
      </c>
      <c r="E236" s="1047"/>
      <c r="F236" s="383">
        <v>683916.64</v>
      </c>
      <c r="G236" s="383">
        <v>32810761.260000002</v>
      </c>
      <c r="H236" s="1046">
        <v>35254412.689999998</v>
      </c>
      <c r="I236" s="1047"/>
      <c r="J236" s="383">
        <v>3127568.07</v>
      </c>
      <c r="P236" s="463"/>
    </row>
    <row r="237" spans="1:16">
      <c r="A237" s="1050"/>
      <c r="B237" s="1051"/>
      <c r="C237" s="437" t="s">
        <v>12</v>
      </c>
      <c r="D237" s="1060" t="s">
        <v>111</v>
      </c>
      <c r="E237" s="1047"/>
      <c r="F237" s="474">
        <v>13216641.1</v>
      </c>
      <c r="G237" s="474">
        <v>477453679.75999999</v>
      </c>
      <c r="H237" s="1061">
        <v>481609392.75</v>
      </c>
      <c r="I237" s="1047"/>
      <c r="J237" s="474">
        <v>17372354.09</v>
      </c>
      <c r="P237" s="463"/>
    </row>
    <row r="238" spans="1:16" ht="15" customHeight="1">
      <c r="A238" s="1050"/>
      <c r="B238" s="1049" t="s">
        <v>2820</v>
      </c>
      <c r="C238" s="382" t="s">
        <v>2821</v>
      </c>
      <c r="D238" s="1049" t="s">
        <v>2064</v>
      </c>
      <c r="E238" s="1047"/>
      <c r="F238" s="383">
        <v>1783148</v>
      </c>
      <c r="G238" s="383">
        <v>7088250</v>
      </c>
      <c r="H238" s="1046">
        <v>11605318</v>
      </c>
      <c r="I238" s="1047"/>
      <c r="J238" s="383">
        <v>6300216</v>
      </c>
      <c r="P238" s="463"/>
    </row>
    <row r="239" spans="1:16" ht="15" customHeight="1">
      <c r="A239" s="1050"/>
      <c r="B239" s="1050"/>
      <c r="C239" s="382" t="s">
        <v>2822</v>
      </c>
      <c r="D239" s="1049" t="s">
        <v>2065</v>
      </c>
      <c r="E239" s="1047"/>
      <c r="F239" s="383">
        <v>6088871</v>
      </c>
      <c r="G239" s="383">
        <v>10043706</v>
      </c>
      <c r="H239" s="1046">
        <v>10218585</v>
      </c>
      <c r="I239" s="1047"/>
      <c r="J239" s="383">
        <v>6263750</v>
      </c>
      <c r="P239" s="463"/>
    </row>
    <row r="240" spans="1:16" ht="15" customHeight="1">
      <c r="A240" s="1050"/>
      <c r="B240" s="1050"/>
      <c r="C240" s="382" t="s">
        <v>2823</v>
      </c>
      <c r="D240" s="1049" t="s">
        <v>2066</v>
      </c>
      <c r="E240" s="1047"/>
      <c r="F240" s="383">
        <v>1117521.1299999999</v>
      </c>
      <c r="G240" s="383">
        <v>1118156.73</v>
      </c>
      <c r="H240" s="1046">
        <v>7600</v>
      </c>
      <c r="I240" s="1047"/>
      <c r="J240" s="383">
        <v>6964.4</v>
      </c>
      <c r="P240" s="463"/>
    </row>
    <row r="241" spans="1:17" ht="15" customHeight="1">
      <c r="A241" s="1050"/>
      <c r="B241" s="1050"/>
      <c r="C241" s="382" t="s">
        <v>2824</v>
      </c>
      <c r="D241" s="1049" t="s">
        <v>2067</v>
      </c>
      <c r="E241" s="1047"/>
      <c r="F241" s="383">
        <v>-1000000</v>
      </c>
      <c r="G241" s="383">
        <v>0</v>
      </c>
      <c r="H241" s="1046">
        <v>1000000</v>
      </c>
      <c r="I241" s="1047"/>
      <c r="J241" s="383">
        <v>0</v>
      </c>
      <c r="P241" s="463"/>
    </row>
    <row r="242" spans="1:17">
      <c r="A242" s="1050"/>
      <c r="B242" s="1051"/>
      <c r="C242" s="437" t="s">
        <v>12</v>
      </c>
      <c r="D242" s="1060" t="s">
        <v>111</v>
      </c>
      <c r="E242" s="1047"/>
      <c r="F242" s="474">
        <v>7989540.1299999999</v>
      </c>
      <c r="G242" s="474">
        <v>18250112.73</v>
      </c>
      <c r="H242" s="1061">
        <v>22831503</v>
      </c>
      <c r="I242" s="1047"/>
      <c r="J242" s="474">
        <v>12570930.4</v>
      </c>
      <c r="K242" s="448">
        <f>J237+J242+J248+J314+J318+J49+J422</f>
        <v>30380627.07</v>
      </c>
      <c r="P242" s="463"/>
    </row>
    <row r="243" spans="1:17">
      <c r="A243" s="1050"/>
      <c r="B243" s="1049" t="s">
        <v>2825</v>
      </c>
      <c r="C243" s="382" t="s">
        <v>3113</v>
      </c>
      <c r="D243" s="1049" t="s">
        <v>1967</v>
      </c>
      <c r="E243" s="1047"/>
      <c r="F243" s="383">
        <v>0</v>
      </c>
      <c r="G243" s="383">
        <v>356782.94</v>
      </c>
      <c r="H243" s="1046">
        <v>561206.31000000006</v>
      </c>
      <c r="I243" s="1047"/>
      <c r="J243" s="383">
        <v>204423.37</v>
      </c>
      <c r="P243" s="463"/>
    </row>
    <row r="244" spans="1:17">
      <c r="A244" s="1050"/>
      <c r="B244" s="1050"/>
      <c r="C244" s="382" t="s">
        <v>3114</v>
      </c>
      <c r="D244" s="1049" t="s">
        <v>2060</v>
      </c>
      <c r="E244" s="1047"/>
      <c r="F244" s="383">
        <v>0</v>
      </c>
      <c r="G244" s="383">
        <v>943.49</v>
      </c>
      <c r="H244" s="1046">
        <v>121920.45</v>
      </c>
      <c r="I244" s="1047"/>
      <c r="J244" s="383">
        <v>120976.96000000001</v>
      </c>
      <c r="P244" s="463"/>
    </row>
    <row r="245" spans="1:17" ht="15" customHeight="1">
      <c r="A245" s="1050"/>
      <c r="B245" s="1050"/>
      <c r="C245" s="382" t="s">
        <v>2826</v>
      </c>
      <c r="D245" s="1049" t="s">
        <v>2068</v>
      </c>
      <c r="E245" s="1047"/>
      <c r="F245" s="383">
        <v>0</v>
      </c>
      <c r="G245" s="383">
        <v>120</v>
      </c>
      <c r="H245" s="1046">
        <v>370</v>
      </c>
      <c r="I245" s="1047"/>
      <c r="J245" s="383">
        <v>250</v>
      </c>
      <c r="P245" s="463"/>
    </row>
    <row r="246" spans="1:17">
      <c r="A246" s="1050"/>
      <c r="B246" s="1050"/>
      <c r="C246" s="382" t="s">
        <v>3115</v>
      </c>
      <c r="D246" s="1049" t="s">
        <v>2062</v>
      </c>
      <c r="E246" s="1047"/>
      <c r="F246" s="383">
        <v>0</v>
      </c>
      <c r="G246" s="383">
        <v>0</v>
      </c>
      <c r="H246" s="1046">
        <v>2354.15</v>
      </c>
      <c r="I246" s="1047"/>
      <c r="J246" s="383">
        <v>2354.15</v>
      </c>
      <c r="P246" s="463"/>
    </row>
    <row r="247" spans="1:17" ht="15" customHeight="1">
      <c r="A247" s="1050"/>
      <c r="B247" s="1050"/>
      <c r="C247" s="382" t="s">
        <v>3116</v>
      </c>
      <c r="D247" s="1049" t="s">
        <v>2063</v>
      </c>
      <c r="E247" s="1047"/>
      <c r="F247" s="383">
        <v>0</v>
      </c>
      <c r="G247" s="383">
        <v>0</v>
      </c>
      <c r="H247" s="1046">
        <v>29630.97</v>
      </c>
      <c r="I247" s="1047"/>
      <c r="J247" s="383">
        <v>29630.97</v>
      </c>
      <c r="P247" s="463"/>
    </row>
    <row r="248" spans="1:17">
      <c r="A248" s="1050"/>
      <c r="B248" s="1051"/>
      <c r="C248" s="437" t="s">
        <v>12</v>
      </c>
      <c r="D248" s="1060" t="s">
        <v>111</v>
      </c>
      <c r="E248" s="1047"/>
      <c r="F248" s="474">
        <v>0</v>
      </c>
      <c r="G248" s="474">
        <v>357846.43</v>
      </c>
      <c r="H248" s="1061">
        <v>715481.88</v>
      </c>
      <c r="I248" s="1047"/>
      <c r="J248" s="474">
        <v>357635.45</v>
      </c>
      <c r="P248" s="463"/>
    </row>
    <row r="249" spans="1:17" ht="15" customHeight="1">
      <c r="A249" s="1050"/>
      <c r="B249" s="1049" t="s">
        <v>2827</v>
      </c>
      <c r="C249" s="382" t="s">
        <v>2828</v>
      </c>
      <c r="D249" s="1049" t="s">
        <v>2069</v>
      </c>
      <c r="E249" s="1047"/>
      <c r="F249" s="383">
        <v>7770.46</v>
      </c>
      <c r="G249" s="383">
        <v>3134574.8</v>
      </c>
      <c r="H249" s="1046">
        <v>3126804.34</v>
      </c>
      <c r="I249" s="1047"/>
      <c r="J249" s="383">
        <v>0</v>
      </c>
      <c r="P249" s="463"/>
    </row>
    <row r="250" spans="1:17" ht="15" customHeight="1">
      <c r="A250" s="1050"/>
      <c r="B250" s="1050"/>
      <c r="C250" s="382" t="s">
        <v>2829</v>
      </c>
      <c r="D250" s="1049" t="s">
        <v>2070</v>
      </c>
      <c r="E250" s="1047"/>
      <c r="F250" s="383">
        <v>0</v>
      </c>
      <c r="G250" s="383">
        <v>0</v>
      </c>
      <c r="H250" s="1046">
        <v>0</v>
      </c>
      <c r="I250" s="1047"/>
      <c r="J250" s="383">
        <v>0</v>
      </c>
      <c r="P250" s="463"/>
    </row>
    <row r="251" spans="1:17" ht="15" customHeight="1">
      <c r="A251" s="1050"/>
      <c r="B251" s="1050"/>
      <c r="C251" s="382" t="s">
        <v>2830</v>
      </c>
      <c r="D251" s="1049" t="s">
        <v>2071</v>
      </c>
      <c r="E251" s="1047"/>
      <c r="F251" s="383">
        <v>0</v>
      </c>
      <c r="G251" s="383">
        <v>436972.66</v>
      </c>
      <c r="H251" s="1046">
        <v>436972.66</v>
      </c>
      <c r="I251" s="1047"/>
      <c r="J251" s="383">
        <v>0</v>
      </c>
      <c r="P251" s="463"/>
    </row>
    <row r="252" spans="1:17" ht="15" customHeight="1">
      <c r="A252" s="1050"/>
      <c r="B252" s="1050"/>
      <c r="C252" s="382" t="s">
        <v>2831</v>
      </c>
      <c r="D252" s="1049" t="s">
        <v>2072</v>
      </c>
      <c r="E252" s="1047"/>
      <c r="F252" s="383">
        <v>-45930.39</v>
      </c>
      <c r="G252" s="383">
        <v>6168933.9100000001</v>
      </c>
      <c r="H252" s="1046">
        <v>6214864.2999999998</v>
      </c>
      <c r="I252" s="1047"/>
      <c r="J252" s="383">
        <v>0</v>
      </c>
      <c r="P252" s="463"/>
    </row>
    <row r="253" spans="1:17" ht="15" customHeight="1">
      <c r="A253" s="1050"/>
      <c r="B253" s="1050"/>
      <c r="C253" s="382" t="s">
        <v>2832</v>
      </c>
      <c r="D253" s="1049" t="s">
        <v>2833</v>
      </c>
      <c r="E253" s="1047"/>
      <c r="F253" s="383">
        <v>672000</v>
      </c>
      <c r="G253" s="383">
        <v>0</v>
      </c>
      <c r="H253" s="1046">
        <v>0</v>
      </c>
      <c r="I253" s="1047"/>
      <c r="J253" s="383">
        <v>672000</v>
      </c>
      <c r="P253" s="463"/>
    </row>
    <row r="254" spans="1:17">
      <c r="A254" s="1050"/>
      <c r="B254" s="1051"/>
      <c r="C254" s="437" t="s">
        <v>12</v>
      </c>
      <c r="D254" s="1060" t="s">
        <v>111</v>
      </c>
      <c r="E254" s="1047"/>
      <c r="F254" s="474">
        <v>633840.06999999995</v>
      </c>
      <c r="G254" s="474">
        <v>9740481.3699999992</v>
      </c>
      <c r="H254" s="1061">
        <v>9778641.3000000007</v>
      </c>
      <c r="I254" s="1047"/>
      <c r="J254" s="474">
        <v>672000</v>
      </c>
      <c r="K254" s="434"/>
      <c r="P254" s="463"/>
      <c r="Q254" s="469">
        <f>J254</f>
        <v>672000</v>
      </c>
    </row>
    <row r="255" spans="1:17" ht="15" customHeight="1">
      <c r="A255" s="1050"/>
      <c r="B255" s="1049" t="s">
        <v>2834</v>
      </c>
      <c r="C255" s="382" t="s">
        <v>2835</v>
      </c>
      <c r="D255" s="1049" t="s">
        <v>2836</v>
      </c>
      <c r="E255" s="1047"/>
      <c r="F255" s="383">
        <v>2800</v>
      </c>
      <c r="G255" s="383">
        <v>14589.12</v>
      </c>
      <c r="H255" s="1046">
        <v>60552.63</v>
      </c>
      <c r="I255" s="1047"/>
      <c r="J255" s="383">
        <v>48763.51</v>
      </c>
      <c r="P255" s="463"/>
      <c r="Q255" s="470"/>
    </row>
    <row r="256" spans="1:17">
      <c r="A256" s="1050"/>
      <c r="B256" s="1051"/>
      <c r="C256" s="437" t="s">
        <v>12</v>
      </c>
      <c r="D256" s="1060" t="s">
        <v>111</v>
      </c>
      <c r="E256" s="1047"/>
      <c r="F256" s="474">
        <v>2800</v>
      </c>
      <c r="G256" s="474">
        <v>14589.12</v>
      </c>
      <c r="H256" s="1061">
        <v>60552.63</v>
      </c>
      <c r="I256" s="1047"/>
      <c r="J256" s="474">
        <v>48763.51</v>
      </c>
      <c r="K256" s="434"/>
      <c r="P256" s="463"/>
      <c r="Q256" s="469">
        <f>J256</f>
        <v>48763.51</v>
      </c>
    </row>
    <row r="257" spans="1:16" ht="15" customHeight="1">
      <c r="A257" s="1050"/>
      <c r="B257" s="1049" t="s">
        <v>2837</v>
      </c>
      <c r="C257" s="382" t="s">
        <v>2838</v>
      </c>
      <c r="D257" s="1049" t="s">
        <v>2073</v>
      </c>
      <c r="E257" s="1047"/>
      <c r="F257" s="383">
        <v>0</v>
      </c>
      <c r="G257" s="383">
        <v>0</v>
      </c>
      <c r="H257" s="1046">
        <v>0</v>
      </c>
      <c r="I257" s="1047"/>
      <c r="J257" s="383">
        <v>0</v>
      </c>
      <c r="P257" s="463"/>
    </row>
    <row r="258" spans="1:16" ht="15" customHeight="1">
      <c r="A258" s="1050"/>
      <c r="B258" s="1050"/>
      <c r="C258" s="382" t="s">
        <v>2839</v>
      </c>
      <c r="D258" s="1049" t="s">
        <v>2074</v>
      </c>
      <c r="E258" s="1047"/>
      <c r="F258" s="383">
        <v>0</v>
      </c>
      <c r="G258" s="383">
        <v>0</v>
      </c>
      <c r="H258" s="1046">
        <v>0</v>
      </c>
      <c r="I258" s="1047"/>
      <c r="J258" s="383">
        <v>0</v>
      </c>
      <c r="P258" s="463"/>
    </row>
    <row r="259" spans="1:16" ht="15" customHeight="1">
      <c r="A259" s="1050"/>
      <c r="B259" s="1050"/>
      <c r="C259" s="382" t="s">
        <v>2840</v>
      </c>
      <c r="D259" s="1049" t="s">
        <v>2075</v>
      </c>
      <c r="E259" s="1047"/>
      <c r="F259" s="383">
        <v>5462100</v>
      </c>
      <c r="G259" s="383">
        <v>5609760</v>
      </c>
      <c r="H259" s="1046">
        <v>147660</v>
      </c>
      <c r="I259" s="1047"/>
      <c r="J259" s="383">
        <v>0</v>
      </c>
      <c r="P259" s="463"/>
    </row>
    <row r="260" spans="1:16" ht="15" customHeight="1">
      <c r="A260" s="1050"/>
      <c r="B260" s="1050"/>
      <c r="C260" s="382" t="s">
        <v>2841</v>
      </c>
      <c r="D260" s="1049" t="s">
        <v>2076</v>
      </c>
      <c r="E260" s="1047"/>
      <c r="F260" s="383">
        <v>5300000</v>
      </c>
      <c r="G260" s="383">
        <v>0</v>
      </c>
      <c r="H260" s="1046">
        <v>0</v>
      </c>
      <c r="I260" s="1047"/>
      <c r="J260" s="383">
        <v>5300000</v>
      </c>
      <c r="P260" s="463"/>
    </row>
    <row r="261" spans="1:16" ht="15" customHeight="1">
      <c r="A261" s="1050"/>
      <c r="B261" s="1050"/>
      <c r="C261" s="382" t="s">
        <v>2842</v>
      </c>
      <c r="D261" s="1049" t="s">
        <v>2077</v>
      </c>
      <c r="E261" s="1047"/>
      <c r="F261" s="383">
        <v>0</v>
      </c>
      <c r="G261" s="383">
        <v>10698380</v>
      </c>
      <c r="H261" s="1046">
        <v>10698380</v>
      </c>
      <c r="I261" s="1047"/>
      <c r="J261" s="383">
        <v>0</v>
      </c>
      <c r="P261" s="463"/>
    </row>
    <row r="262" spans="1:16" ht="15" customHeight="1">
      <c r="A262" s="1050"/>
      <c r="B262" s="1050"/>
      <c r="C262" s="382" t="s">
        <v>2843</v>
      </c>
      <c r="D262" s="1049" t="s">
        <v>2078</v>
      </c>
      <c r="E262" s="1047"/>
      <c r="F262" s="383">
        <v>5378900</v>
      </c>
      <c r="G262" s="383">
        <v>5378900</v>
      </c>
      <c r="H262" s="1046">
        <v>0</v>
      </c>
      <c r="I262" s="1047"/>
      <c r="J262" s="383">
        <v>0</v>
      </c>
      <c r="P262" s="463"/>
    </row>
    <row r="263" spans="1:16" ht="15" customHeight="1">
      <c r="A263" s="1050"/>
      <c r="B263" s="1050"/>
      <c r="C263" s="382" t="s">
        <v>2844</v>
      </c>
      <c r="D263" s="1049" t="s">
        <v>2079</v>
      </c>
      <c r="E263" s="1047"/>
      <c r="F263" s="383">
        <v>2682500</v>
      </c>
      <c r="G263" s="383">
        <v>2682500</v>
      </c>
      <c r="H263" s="1046">
        <v>0</v>
      </c>
      <c r="I263" s="1047"/>
      <c r="J263" s="383">
        <v>0</v>
      </c>
      <c r="P263" s="463"/>
    </row>
    <row r="264" spans="1:16" ht="15" customHeight="1">
      <c r="A264" s="1050"/>
      <c r="B264" s="1050"/>
      <c r="C264" s="382" t="s">
        <v>2845</v>
      </c>
      <c r="D264" s="1049" t="s">
        <v>2080</v>
      </c>
      <c r="E264" s="1047"/>
      <c r="F264" s="383">
        <v>2181520</v>
      </c>
      <c r="G264" s="383">
        <v>2181520</v>
      </c>
      <c r="H264" s="1046">
        <v>0</v>
      </c>
      <c r="I264" s="1047"/>
      <c r="J264" s="383">
        <v>0</v>
      </c>
      <c r="P264" s="463"/>
    </row>
    <row r="265" spans="1:16" ht="15" customHeight="1">
      <c r="A265" s="1050"/>
      <c r="B265" s="1050"/>
      <c r="C265" s="382" t="s">
        <v>2846</v>
      </c>
      <c r="D265" s="1049" t="s">
        <v>2081</v>
      </c>
      <c r="E265" s="1047"/>
      <c r="F265" s="383">
        <v>2757500</v>
      </c>
      <c r="G265" s="383">
        <v>2757500</v>
      </c>
      <c r="H265" s="1046">
        <v>0</v>
      </c>
      <c r="I265" s="1047"/>
      <c r="J265" s="383">
        <v>0</v>
      </c>
      <c r="P265" s="463"/>
    </row>
    <row r="266" spans="1:16" ht="15" customHeight="1">
      <c r="A266" s="1050"/>
      <c r="B266" s="1050"/>
      <c r="C266" s="382" t="s">
        <v>2847</v>
      </c>
      <c r="D266" s="1049" t="s">
        <v>2082</v>
      </c>
      <c r="E266" s="1047"/>
      <c r="F266" s="383">
        <v>2159000</v>
      </c>
      <c r="G266" s="383">
        <v>2159000</v>
      </c>
      <c r="H266" s="1046">
        <v>0</v>
      </c>
      <c r="I266" s="1047"/>
      <c r="J266" s="383">
        <v>0</v>
      </c>
      <c r="P266" s="463"/>
    </row>
    <row r="267" spans="1:16" ht="15" customHeight="1">
      <c r="A267" s="1050"/>
      <c r="B267" s="1050"/>
      <c r="C267" s="382" t="s">
        <v>2848</v>
      </c>
      <c r="D267" s="1049" t="s">
        <v>2083</v>
      </c>
      <c r="E267" s="1047"/>
      <c r="F267" s="383">
        <v>3238500</v>
      </c>
      <c r="G267" s="383">
        <v>3238500</v>
      </c>
      <c r="H267" s="1046">
        <v>0</v>
      </c>
      <c r="I267" s="1047"/>
      <c r="J267" s="383">
        <v>0</v>
      </c>
      <c r="P267" s="463"/>
    </row>
    <row r="268" spans="1:16" ht="15" customHeight="1">
      <c r="A268" s="1050"/>
      <c r="B268" s="1050"/>
      <c r="C268" s="382" t="s">
        <v>2849</v>
      </c>
      <c r="D268" s="1049" t="s">
        <v>2084</v>
      </c>
      <c r="E268" s="1047"/>
      <c r="F268" s="383">
        <v>3689043</v>
      </c>
      <c r="G268" s="383">
        <v>3689043.6</v>
      </c>
      <c r="H268" s="1046">
        <v>0.6</v>
      </c>
      <c r="I268" s="1047"/>
      <c r="J268" s="383">
        <v>0</v>
      </c>
      <c r="P268" s="463"/>
    </row>
    <row r="269" spans="1:16" ht="15" customHeight="1">
      <c r="A269" s="1050"/>
      <c r="B269" s="1050"/>
      <c r="C269" s="382" t="s">
        <v>2850</v>
      </c>
      <c r="D269" s="1049" t="s">
        <v>2085</v>
      </c>
      <c r="E269" s="1047"/>
      <c r="F269" s="383">
        <v>5600000</v>
      </c>
      <c r="G269" s="383">
        <v>0</v>
      </c>
      <c r="H269" s="1046">
        <v>0</v>
      </c>
      <c r="I269" s="1047"/>
      <c r="J269" s="383">
        <v>5600000</v>
      </c>
      <c r="P269" s="463"/>
    </row>
    <row r="270" spans="1:16" ht="15" customHeight="1">
      <c r="A270" s="1050"/>
      <c r="B270" s="1050"/>
      <c r="C270" s="382" t="s">
        <v>2851</v>
      </c>
      <c r="D270" s="1049" t="s">
        <v>2086</v>
      </c>
      <c r="E270" s="1047"/>
      <c r="F270" s="383">
        <v>11572800</v>
      </c>
      <c r="G270" s="383">
        <v>7719057.5999999996</v>
      </c>
      <c r="H270" s="1046">
        <v>0</v>
      </c>
      <c r="I270" s="1047"/>
      <c r="J270" s="383">
        <v>3853742.4</v>
      </c>
      <c r="P270" s="463"/>
    </row>
    <row r="271" spans="1:16" ht="15" customHeight="1">
      <c r="A271" s="1050"/>
      <c r="B271" s="1050"/>
      <c r="C271" s="382" t="s">
        <v>2852</v>
      </c>
      <c r="D271" s="1049" t="s">
        <v>2087</v>
      </c>
      <c r="E271" s="1047"/>
      <c r="F271" s="383">
        <v>4519350</v>
      </c>
      <c r="G271" s="383">
        <v>0</v>
      </c>
      <c r="H271" s="1046">
        <v>0</v>
      </c>
      <c r="I271" s="1047"/>
      <c r="J271" s="383">
        <v>4519350</v>
      </c>
      <c r="P271" s="463"/>
    </row>
    <row r="272" spans="1:16" ht="15" customHeight="1">
      <c r="A272" s="1050"/>
      <c r="B272" s="1050"/>
      <c r="C272" s="382" t="s">
        <v>2853</v>
      </c>
      <c r="D272" s="1049" t="s">
        <v>2088</v>
      </c>
      <c r="E272" s="1047"/>
      <c r="F272" s="383">
        <v>6089700</v>
      </c>
      <c r="G272" s="383">
        <v>0</v>
      </c>
      <c r="H272" s="1046">
        <v>0</v>
      </c>
      <c r="I272" s="1047"/>
      <c r="J272" s="383">
        <v>6089700</v>
      </c>
      <c r="P272" s="463"/>
    </row>
    <row r="273" spans="1:16" ht="15" customHeight="1">
      <c r="A273" s="1050"/>
      <c r="B273" s="1050"/>
      <c r="C273" s="382" t="s">
        <v>2854</v>
      </c>
      <c r="D273" s="1049" t="s">
        <v>2089</v>
      </c>
      <c r="E273" s="1047"/>
      <c r="F273" s="383">
        <v>6185000</v>
      </c>
      <c r="G273" s="383">
        <v>0</v>
      </c>
      <c r="H273" s="1046">
        <v>0</v>
      </c>
      <c r="I273" s="1047"/>
      <c r="J273" s="383">
        <v>6185000</v>
      </c>
      <c r="P273" s="463"/>
    </row>
    <row r="274" spans="1:16" ht="15" customHeight="1">
      <c r="A274" s="1050"/>
      <c r="B274" s="1050"/>
      <c r="C274" s="382" t="s">
        <v>2855</v>
      </c>
      <c r="D274" s="1049" t="s">
        <v>2090</v>
      </c>
      <c r="E274" s="1047"/>
      <c r="F274" s="383">
        <v>6318300</v>
      </c>
      <c r="G274" s="383">
        <v>0</v>
      </c>
      <c r="H274" s="1046">
        <v>0</v>
      </c>
      <c r="I274" s="1047"/>
      <c r="J274" s="383">
        <v>6318300</v>
      </c>
      <c r="P274" s="463"/>
    </row>
    <row r="275" spans="1:16" ht="15" customHeight="1">
      <c r="A275" s="1050"/>
      <c r="B275" s="1050"/>
      <c r="C275" s="382" t="s">
        <v>3117</v>
      </c>
      <c r="D275" s="1049" t="s">
        <v>3118</v>
      </c>
      <c r="E275" s="1047"/>
      <c r="F275" s="383">
        <v>0</v>
      </c>
      <c r="G275" s="383">
        <v>0</v>
      </c>
      <c r="H275" s="1046">
        <v>4387080</v>
      </c>
      <c r="I275" s="1047"/>
      <c r="J275" s="383">
        <v>4387080</v>
      </c>
      <c r="P275" s="463"/>
    </row>
    <row r="276" spans="1:16" ht="15" customHeight="1">
      <c r="A276" s="1050"/>
      <c r="B276" s="1050"/>
      <c r="C276" s="382" t="s">
        <v>3119</v>
      </c>
      <c r="D276" s="1049" t="s">
        <v>3120</v>
      </c>
      <c r="E276" s="1047"/>
      <c r="F276" s="383">
        <v>0</v>
      </c>
      <c r="G276" s="383">
        <v>0</v>
      </c>
      <c r="H276" s="1046">
        <v>3756950</v>
      </c>
      <c r="I276" s="1047"/>
      <c r="J276" s="383">
        <v>3756950</v>
      </c>
      <c r="P276" s="463"/>
    </row>
    <row r="277" spans="1:16" ht="15" customHeight="1">
      <c r="A277" s="1050"/>
      <c r="B277" s="1050"/>
      <c r="C277" s="382" t="s">
        <v>3121</v>
      </c>
      <c r="D277" s="1049" t="s">
        <v>3122</v>
      </c>
      <c r="E277" s="1047"/>
      <c r="F277" s="383">
        <v>0</v>
      </c>
      <c r="G277" s="383">
        <v>2213400</v>
      </c>
      <c r="H277" s="1046">
        <v>2213400</v>
      </c>
      <c r="I277" s="1047"/>
      <c r="J277" s="383">
        <v>0</v>
      </c>
      <c r="P277" s="463"/>
    </row>
    <row r="278" spans="1:16" ht="15" customHeight="1">
      <c r="A278" s="1050"/>
      <c r="B278" s="1050"/>
      <c r="C278" s="382" t="s">
        <v>3123</v>
      </c>
      <c r="D278" s="1049" t="s">
        <v>3124</v>
      </c>
      <c r="E278" s="1047"/>
      <c r="F278" s="383">
        <v>0</v>
      </c>
      <c r="G278" s="383">
        <v>0</v>
      </c>
      <c r="H278" s="1046">
        <v>10730250</v>
      </c>
      <c r="I278" s="1047"/>
      <c r="J278" s="383">
        <v>10730250</v>
      </c>
      <c r="P278" s="463"/>
    </row>
    <row r="279" spans="1:16" ht="15" customHeight="1">
      <c r="A279" s="1050"/>
      <c r="B279" s="1050"/>
      <c r="C279" s="382" t="s">
        <v>3125</v>
      </c>
      <c r="D279" s="1049" t="s">
        <v>3126</v>
      </c>
      <c r="E279" s="1047"/>
      <c r="F279" s="383">
        <v>0</v>
      </c>
      <c r="G279" s="383">
        <v>0</v>
      </c>
      <c r="H279" s="1046">
        <v>7870900</v>
      </c>
      <c r="I279" s="1047"/>
      <c r="J279" s="383">
        <v>7870900</v>
      </c>
      <c r="P279" s="463"/>
    </row>
    <row r="280" spans="1:16" ht="15" customHeight="1">
      <c r="A280" s="1050"/>
      <c r="B280" s="1050"/>
      <c r="C280" s="382" t="s">
        <v>3127</v>
      </c>
      <c r="D280" s="1049" t="s">
        <v>3128</v>
      </c>
      <c r="E280" s="1047"/>
      <c r="F280" s="383">
        <v>0</v>
      </c>
      <c r="G280" s="383">
        <v>14420</v>
      </c>
      <c r="H280" s="1046">
        <v>10698380</v>
      </c>
      <c r="I280" s="1047"/>
      <c r="J280" s="383">
        <v>10683960</v>
      </c>
      <c r="P280" s="463"/>
    </row>
    <row r="281" spans="1:16" ht="15" customHeight="1">
      <c r="A281" s="1050"/>
      <c r="B281" s="1050"/>
      <c r="C281" s="382" t="s">
        <v>3129</v>
      </c>
      <c r="D281" s="1049" t="s">
        <v>3130</v>
      </c>
      <c r="E281" s="1047"/>
      <c r="F281" s="383">
        <v>0</v>
      </c>
      <c r="G281" s="383">
        <v>0</v>
      </c>
      <c r="H281" s="1046">
        <v>5025000</v>
      </c>
      <c r="I281" s="1047"/>
      <c r="J281" s="383">
        <v>5025000</v>
      </c>
      <c r="P281" s="463"/>
    </row>
    <row r="282" spans="1:16" ht="15" customHeight="1">
      <c r="A282" s="1050"/>
      <c r="B282" s="1050"/>
      <c r="C282" s="382" t="s">
        <v>3131</v>
      </c>
      <c r="D282" s="1049" t="s">
        <v>3132</v>
      </c>
      <c r="E282" s="1047"/>
      <c r="F282" s="383">
        <v>0</v>
      </c>
      <c r="G282" s="383">
        <v>5208500</v>
      </c>
      <c r="H282" s="1046">
        <v>5208500</v>
      </c>
      <c r="I282" s="1047"/>
      <c r="J282" s="383">
        <v>0</v>
      </c>
      <c r="P282" s="463"/>
    </row>
    <row r="283" spans="1:16">
      <c r="A283" s="1050"/>
      <c r="B283" s="1051"/>
      <c r="C283" s="437" t="s">
        <v>12</v>
      </c>
      <c r="D283" s="1060" t="s">
        <v>111</v>
      </c>
      <c r="E283" s="1047"/>
      <c r="F283" s="474">
        <v>73134213</v>
      </c>
      <c r="G283" s="474">
        <v>53550481.200000003</v>
      </c>
      <c r="H283" s="1061">
        <v>60736500.600000001</v>
      </c>
      <c r="I283" s="1047"/>
      <c r="J283" s="474">
        <v>80320232.400000006</v>
      </c>
      <c r="K283" s="434">
        <f>H283-H259</f>
        <v>60588840.600000001</v>
      </c>
      <c r="P283" s="463"/>
    </row>
    <row r="284" spans="1:16" ht="15" customHeight="1">
      <c r="A284" s="1050"/>
      <c r="B284" s="1049" t="s">
        <v>2856</v>
      </c>
      <c r="C284" s="382" t="s">
        <v>2857</v>
      </c>
      <c r="D284" s="1049" t="s">
        <v>2091</v>
      </c>
      <c r="E284" s="1047"/>
      <c r="F284" s="383">
        <v>0</v>
      </c>
      <c r="G284" s="383">
        <v>0</v>
      </c>
      <c r="H284" s="1046">
        <v>0</v>
      </c>
      <c r="I284" s="1047"/>
      <c r="J284" s="383">
        <v>0</v>
      </c>
      <c r="P284" s="463"/>
    </row>
    <row r="285" spans="1:16" ht="15" customHeight="1">
      <c r="A285" s="1050"/>
      <c r="B285" s="1050"/>
      <c r="C285" s="382" t="s">
        <v>2858</v>
      </c>
      <c r="D285" s="1049" t="s">
        <v>2092</v>
      </c>
      <c r="E285" s="1047"/>
      <c r="F285" s="383">
        <v>4965.22</v>
      </c>
      <c r="G285" s="383">
        <v>530990.78</v>
      </c>
      <c r="H285" s="1046">
        <v>526025.56000000006</v>
      </c>
      <c r="I285" s="1047"/>
      <c r="J285" s="383">
        <v>0</v>
      </c>
      <c r="P285" s="463"/>
    </row>
    <row r="286" spans="1:16" ht="15" customHeight="1">
      <c r="A286" s="1050"/>
      <c r="B286" s="1050"/>
      <c r="C286" s="382" t="s">
        <v>2859</v>
      </c>
      <c r="D286" s="1049" t="s">
        <v>2093</v>
      </c>
      <c r="E286" s="1047"/>
      <c r="F286" s="383">
        <v>220422.15</v>
      </c>
      <c r="G286" s="383">
        <v>1259211.71</v>
      </c>
      <c r="H286" s="1046">
        <v>1279250.1200000001</v>
      </c>
      <c r="I286" s="1047"/>
      <c r="J286" s="383">
        <v>240460.56</v>
      </c>
      <c r="P286" s="463"/>
    </row>
    <row r="287" spans="1:16" ht="15" customHeight="1">
      <c r="A287" s="1050"/>
      <c r="B287" s="1050"/>
      <c r="C287" s="382" t="s">
        <v>2860</v>
      </c>
      <c r="D287" s="1049" t="s">
        <v>2094</v>
      </c>
      <c r="E287" s="1047"/>
      <c r="F287" s="383">
        <v>0</v>
      </c>
      <c r="G287" s="383">
        <v>0</v>
      </c>
      <c r="H287" s="1046">
        <v>0</v>
      </c>
      <c r="I287" s="1047"/>
      <c r="J287" s="383">
        <v>0</v>
      </c>
      <c r="P287" s="463"/>
    </row>
    <row r="288" spans="1:16" ht="15" customHeight="1">
      <c r="A288" s="1050"/>
      <c r="B288" s="1050"/>
      <c r="C288" s="382" t="s">
        <v>2861</v>
      </c>
      <c r="D288" s="1049" t="s">
        <v>2095</v>
      </c>
      <c r="E288" s="1047"/>
      <c r="F288" s="383">
        <v>256138.44</v>
      </c>
      <c r="G288" s="383">
        <v>508306.06</v>
      </c>
      <c r="H288" s="1046">
        <v>252167.62</v>
      </c>
      <c r="I288" s="1047"/>
      <c r="J288" s="383">
        <v>0</v>
      </c>
      <c r="P288" s="463"/>
    </row>
    <row r="289" spans="1:16" ht="15" customHeight="1">
      <c r="A289" s="1050"/>
      <c r="B289" s="1050"/>
      <c r="C289" s="382" t="s">
        <v>2862</v>
      </c>
      <c r="D289" s="1049" t="s">
        <v>2096</v>
      </c>
      <c r="E289" s="1047"/>
      <c r="F289" s="383">
        <v>87985.77</v>
      </c>
      <c r="G289" s="383">
        <v>222409.06</v>
      </c>
      <c r="H289" s="1046">
        <v>134423.29</v>
      </c>
      <c r="I289" s="1047"/>
      <c r="J289" s="383">
        <v>0</v>
      </c>
      <c r="P289" s="463"/>
    </row>
    <row r="290" spans="1:16" ht="15" customHeight="1">
      <c r="A290" s="1050"/>
      <c r="B290" s="1050"/>
      <c r="C290" s="382" t="s">
        <v>2863</v>
      </c>
      <c r="D290" s="1049" t="s">
        <v>2097</v>
      </c>
      <c r="E290" s="1047"/>
      <c r="F290" s="383">
        <v>8893.4</v>
      </c>
      <c r="G290" s="383">
        <v>209884.41</v>
      </c>
      <c r="H290" s="1046">
        <v>200991.01</v>
      </c>
      <c r="I290" s="1047"/>
      <c r="J290" s="383">
        <v>0</v>
      </c>
      <c r="P290" s="463"/>
    </row>
    <row r="291" spans="1:16" ht="15" customHeight="1">
      <c r="A291" s="1050"/>
      <c r="B291" s="1050"/>
      <c r="C291" s="382" t="s">
        <v>2864</v>
      </c>
      <c r="D291" s="1049" t="s">
        <v>2098</v>
      </c>
      <c r="E291" s="1047"/>
      <c r="F291" s="383">
        <v>2566</v>
      </c>
      <c r="G291" s="383">
        <v>233506.63</v>
      </c>
      <c r="H291" s="1046">
        <v>230940.63</v>
      </c>
      <c r="I291" s="1047"/>
      <c r="J291" s="383">
        <v>0</v>
      </c>
      <c r="P291" s="463"/>
    </row>
    <row r="292" spans="1:16" ht="15" customHeight="1">
      <c r="A292" s="1050"/>
      <c r="B292" s="1050"/>
      <c r="C292" s="382" t="s">
        <v>2865</v>
      </c>
      <c r="D292" s="1049" t="s">
        <v>2099</v>
      </c>
      <c r="E292" s="1047"/>
      <c r="F292" s="383">
        <v>132993.60999999999</v>
      </c>
      <c r="G292" s="383">
        <v>367749.67</v>
      </c>
      <c r="H292" s="1046">
        <v>234756.06</v>
      </c>
      <c r="I292" s="1047"/>
      <c r="J292" s="383">
        <v>0</v>
      </c>
      <c r="P292" s="463"/>
    </row>
    <row r="293" spans="1:16" ht="15" customHeight="1">
      <c r="A293" s="1050"/>
      <c r="B293" s="1050"/>
      <c r="C293" s="382" t="s">
        <v>2866</v>
      </c>
      <c r="D293" s="1049" t="s">
        <v>2100</v>
      </c>
      <c r="E293" s="1047"/>
      <c r="F293" s="383">
        <v>199490.84</v>
      </c>
      <c r="G293" s="383">
        <v>551624.5</v>
      </c>
      <c r="H293" s="1046">
        <v>352133.66</v>
      </c>
      <c r="I293" s="1047"/>
      <c r="J293" s="383">
        <v>0</v>
      </c>
      <c r="P293" s="463"/>
    </row>
    <row r="294" spans="1:16" ht="15" customHeight="1">
      <c r="A294" s="1050"/>
      <c r="B294" s="1050"/>
      <c r="C294" s="382" t="s">
        <v>2867</v>
      </c>
      <c r="D294" s="1049" t="s">
        <v>2101</v>
      </c>
      <c r="E294" s="1047"/>
      <c r="F294" s="383">
        <v>0</v>
      </c>
      <c r="G294" s="383">
        <v>0</v>
      </c>
      <c r="H294" s="1046">
        <v>0</v>
      </c>
      <c r="I294" s="1047"/>
      <c r="J294" s="383">
        <v>0</v>
      </c>
      <c r="P294" s="463"/>
    </row>
    <row r="295" spans="1:16" ht="15" customHeight="1">
      <c r="A295" s="1050"/>
      <c r="B295" s="1050"/>
      <c r="C295" s="382" t="s">
        <v>2868</v>
      </c>
      <c r="D295" s="1049" t="s">
        <v>2102</v>
      </c>
      <c r="E295" s="1047"/>
      <c r="F295" s="383">
        <v>89889.94</v>
      </c>
      <c r="G295" s="383">
        <v>533413.9</v>
      </c>
      <c r="H295" s="1046">
        <v>443523.96</v>
      </c>
      <c r="I295" s="1047"/>
      <c r="J295" s="383">
        <v>0</v>
      </c>
      <c r="P295" s="463"/>
    </row>
    <row r="296" spans="1:16" ht="15" customHeight="1">
      <c r="A296" s="1050"/>
      <c r="B296" s="1050"/>
      <c r="C296" s="382" t="s">
        <v>2869</v>
      </c>
      <c r="D296" s="1049" t="s">
        <v>2103</v>
      </c>
      <c r="E296" s="1047"/>
      <c r="F296" s="383">
        <v>232898.63</v>
      </c>
      <c r="G296" s="383">
        <v>1330487.92</v>
      </c>
      <c r="H296" s="1046">
        <v>1351660.59</v>
      </c>
      <c r="I296" s="1047"/>
      <c r="J296" s="383">
        <v>254071.3</v>
      </c>
      <c r="P296" s="463"/>
    </row>
    <row r="297" spans="1:16" ht="15" customHeight="1">
      <c r="A297" s="1050"/>
      <c r="B297" s="1050"/>
      <c r="C297" s="382" t="s">
        <v>2870</v>
      </c>
      <c r="D297" s="1049" t="s">
        <v>2104</v>
      </c>
      <c r="E297" s="1047"/>
      <c r="F297" s="383">
        <v>749339.14</v>
      </c>
      <c r="G297" s="383">
        <v>1944811.4</v>
      </c>
      <c r="H297" s="1046">
        <v>1445002.08</v>
      </c>
      <c r="I297" s="1047"/>
      <c r="J297" s="383">
        <v>249529.82</v>
      </c>
      <c r="P297" s="463"/>
    </row>
    <row r="298" spans="1:16" ht="15" customHeight="1">
      <c r="A298" s="1050"/>
      <c r="B298" s="1050"/>
      <c r="C298" s="382" t="s">
        <v>2871</v>
      </c>
      <c r="D298" s="1049" t="s">
        <v>2092</v>
      </c>
      <c r="E298" s="1047"/>
      <c r="F298" s="383">
        <v>235006.22</v>
      </c>
      <c r="G298" s="383">
        <v>824781.49</v>
      </c>
      <c r="H298" s="1046">
        <v>824781.47</v>
      </c>
      <c r="I298" s="1047"/>
      <c r="J298" s="383">
        <v>235006.2</v>
      </c>
      <c r="P298" s="463"/>
    </row>
    <row r="299" spans="1:16" ht="15" customHeight="1">
      <c r="A299" s="1050"/>
      <c r="B299" s="1050"/>
      <c r="C299" s="382" t="s">
        <v>2872</v>
      </c>
      <c r="D299" s="1049" t="s">
        <v>2105</v>
      </c>
      <c r="E299" s="1047"/>
      <c r="F299" s="383">
        <v>0</v>
      </c>
      <c r="G299" s="383">
        <v>0</v>
      </c>
      <c r="H299" s="1046">
        <v>0</v>
      </c>
      <c r="I299" s="1047"/>
      <c r="J299" s="383">
        <v>0</v>
      </c>
      <c r="P299" s="463"/>
    </row>
    <row r="300" spans="1:16" ht="15" customHeight="1">
      <c r="A300" s="1050"/>
      <c r="B300" s="1050"/>
      <c r="C300" s="382" t="s">
        <v>2873</v>
      </c>
      <c r="D300" s="1049" t="s">
        <v>2106</v>
      </c>
      <c r="E300" s="1047"/>
      <c r="F300" s="383">
        <v>46011.06</v>
      </c>
      <c r="G300" s="383">
        <v>1049627.5</v>
      </c>
      <c r="H300" s="1046">
        <v>1049627.45</v>
      </c>
      <c r="I300" s="1047"/>
      <c r="J300" s="383">
        <v>46011.01</v>
      </c>
      <c r="P300" s="463"/>
    </row>
    <row r="301" spans="1:16" ht="15" customHeight="1">
      <c r="A301" s="1050"/>
      <c r="B301" s="1050"/>
      <c r="C301" s="382" t="s">
        <v>2874</v>
      </c>
      <c r="D301" s="1049" t="s">
        <v>2107</v>
      </c>
      <c r="E301" s="1047"/>
      <c r="F301" s="383">
        <v>220880.75</v>
      </c>
      <c r="G301" s="383">
        <v>1433129</v>
      </c>
      <c r="H301" s="1046">
        <v>1492860.87</v>
      </c>
      <c r="I301" s="1047"/>
      <c r="J301" s="383">
        <v>280612.62</v>
      </c>
      <c r="P301" s="463"/>
    </row>
    <row r="302" spans="1:16" ht="15" customHeight="1">
      <c r="A302" s="1050"/>
      <c r="B302" s="1050"/>
      <c r="C302" s="382" t="s">
        <v>2875</v>
      </c>
      <c r="D302" s="1049" t="s">
        <v>2108</v>
      </c>
      <c r="E302" s="1047"/>
      <c r="F302" s="383">
        <v>107147.84</v>
      </c>
      <c r="G302" s="383">
        <v>1191613.82</v>
      </c>
      <c r="H302" s="1046">
        <v>1185120.05</v>
      </c>
      <c r="I302" s="1047"/>
      <c r="J302" s="383">
        <v>100654.07</v>
      </c>
      <c r="P302" s="463"/>
    </row>
    <row r="303" spans="1:16" ht="15" customHeight="1">
      <c r="A303" s="1050"/>
      <c r="B303" s="1050"/>
      <c r="C303" s="382" t="s">
        <v>3133</v>
      </c>
      <c r="D303" s="1049" t="s">
        <v>3134</v>
      </c>
      <c r="E303" s="1047"/>
      <c r="F303" s="383">
        <v>0</v>
      </c>
      <c r="G303" s="383">
        <v>504514.2</v>
      </c>
      <c r="H303" s="1046">
        <v>795158.26</v>
      </c>
      <c r="I303" s="1047"/>
      <c r="J303" s="383">
        <v>290644.06</v>
      </c>
      <c r="P303" s="463"/>
    </row>
    <row r="304" spans="1:16" ht="15" customHeight="1">
      <c r="A304" s="1050"/>
      <c r="B304" s="1050"/>
      <c r="C304" s="382" t="s">
        <v>3135</v>
      </c>
      <c r="D304" s="1049" t="s">
        <v>3334</v>
      </c>
      <c r="E304" s="1047"/>
      <c r="F304" s="383">
        <v>0</v>
      </c>
      <c r="G304" s="383">
        <v>451853.56</v>
      </c>
      <c r="H304" s="1046">
        <v>626581.17000000004</v>
      </c>
      <c r="I304" s="1047"/>
      <c r="J304" s="383">
        <v>174727.61</v>
      </c>
      <c r="P304" s="463"/>
    </row>
    <row r="305" spans="1:16" ht="15" customHeight="1">
      <c r="A305" s="1050"/>
      <c r="B305" s="1050"/>
      <c r="C305" s="382" t="s">
        <v>3136</v>
      </c>
      <c r="D305" s="1049" t="s">
        <v>3137</v>
      </c>
      <c r="E305" s="1047"/>
      <c r="F305" s="383">
        <v>0</v>
      </c>
      <c r="G305" s="383">
        <v>15791.35</v>
      </c>
      <c r="H305" s="1046">
        <v>15791.35</v>
      </c>
      <c r="I305" s="1047"/>
      <c r="J305" s="383">
        <v>0</v>
      </c>
      <c r="P305" s="463"/>
    </row>
    <row r="306" spans="1:16" ht="15" customHeight="1">
      <c r="A306" s="1050"/>
      <c r="B306" s="1050"/>
      <c r="C306" s="382" t="s">
        <v>3138</v>
      </c>
      <c r="D306" s="1049" t="s">
        <v>3139</v>
      </c>
      <c r="E306" s="1047"/>
      <c r="F306" s="383">
        <v>0</v>
      </c>
      <c r="G306" s="383">
        <v>1696174.42</v>
      </c>
      <c r="H306" s="1046">
        <v>1871286.03</v>
      </c>
      <c r="I306" s="1047"/>
      <c r="J306" s="383">
        <v>175111.61</v>
      </c>
      <c r="P306" s="463"/>
    </row>
    <row r="307" spans="1:16" ht="15" customHeight="1">
      <c r="A307" s="1050"/>
      <c r="B307" s="1050"/>
      <c r="C307" s="382" t="s">
        <v>3140</v>
      </c>
      <c r="D307" s="1049" t="s">
        <v>3141</v>
      </c>
      <c r="E307" s="1047"/>
      <c r="F307" s="383">
        <v>0</v>
      </c>
      <c r="G307" s="383">
        <v>725030.18</v>
      </c>
      <c r="H307" s="1046">
        <v>845035.13</v>
      </c>
      <c r="I307" s="1047"/>
      <c r="J307" s="383">
        <v>120004.95</v>
      </c>
      <c r="P307" s="463"/>
    </row>
    <row r="308" spans="1:16" ht="15" customHeight="1">
      <c r="A308" s="1050"/>
      <c r="B308" s="1050"/>
      <c r="C308" s="382" t="s">
        <v>3142</v>
      </c>
      <c r="D308" s="1049" t="s">
        <v>3143</v>
      </c>
      <c r="E308" s="1047"/>
      <c r="F308" s="383">
        <v>0</v>
      </c>
      <c r="G308" s="383">
        <v>72639.13</v>
      </c>
      <c r="H308" s="1046">
        <v>1100970.29</v>
      </c>
      <c r="I308" s="1047"/>
      <c r="J308" s="383">
        <v>1028331.16</v>
      </c>
      <c r="P308" s="463"/>
    </row>
    <row r="309" spans="1:16" ht="15" customHeight="1">
      <c r="A309" s="1050"/>
      <c r="B309" s="1050"/>
      <c r="C309" s="382" t="s">
        <v>3144</v>
      </c>
      <c r="D309" s="1049" t="s">
        <v>3145</v>
      </c>
      <c r="E309" s="1047"/>
      <c r="F309" s="383">
        <v>0</v>
      </c>
      <c r="G309" s="383">
        <v>3419.79</v>
      </c>
      <c r="H309" s="1046">
        <v>386436.46</v>
      </c>
      <c r="I309" s="1047"/>
      <c r="J309" s="383">
        <v>383016.67</v>
      </c>
      <c r="P309" s="463"/>
    </row>
    <row r="310" spans="1:16" ht="15" customHeight="1">
      <c r="A310" s="1050"/>
      <c r="B310" s="1050"/>
      <c r="C310" s="382" t="s">
        <v>3146</v>
      </c>
      <c r="D310" s="1049" t="s">
        <v>3147</v>
      </c>
      <c r="E310" s="1047"/>
      <c r="F310" s="383">
        <v>0</v>
      </c>
      <c r="G310" s="383">
        <v>77057.259999999995</v>
      </c>
      <c r="H310" s="1046">
        <v>77057.259999999995</v>
      </c>
      <c r="I310" s="1047"/>
      <c r="J310" s="383">
        <v>0</v>
      </c>
      <c r="P310" s="463"/>
    </row>
    <row r="311" spans="1:16">
      <c r="A311" s="1050"/>
      <c r="B311" s="1051"/>
      <c r="C311" s="437" t="s">
        <v>12</v>
      </c>
      <c r="D311" s="1060" t="s">
        <v>111</v>
      </c>
      <c r="E311" s="1047"/>
      <c r="F311" s="474">
        <v>2594629.0099999998</v>
      </c>
      <c r="G311" s="474">
        <v>15738027.74</v>
      </c>
      <c r="H311" s="1061">
        <v>16721580.369999999</v>
      </c>
      <c r="I311" s="1047"/>
      <c r="J311" s="474">
        <v>3578181.64</v>
      </c>
      <c r="K311" s="438" t="e">
        <f>F311+#REF!-J311</f>
        <v>#REF!</v>
      </c>
      <c r="P311" s="463"/>
    </row>
    <row r="312" spans="1:16">
      <c r="A312" s="1050"/>
      <c r="B312" s="1049" t="s">
        <v>2876</v>
      </c>
      <c r="C312" s="382" t="s">
        <v>2877</v>
      </c>
      <c r="D312" s="1049" t="s">
        <v>1967</v>
      </c>
      <c r="E312" s="1047"/>
      <c r="F312" s="383">
        <v>0.66</v>
      </c>
      <c r="G312" s="383">
        <v>159505.60999999999</v>
      </c>
      <c r="H312" s="1046">
        <v>159490.39000000001</v>
      </c>
      <c r="I312" s="1047"/>
      <c r="J312" s="383">
        <v>-14.56</v>
      </c>
      <c r="P312" s="463"/>
    </row>
    <row r="313" spans="1:16">
      <c r="A313" s="1050"/>
      <c r="B313" s="1050"/>
      <c r="C313" s="382" t="s">
        <v>2878</v>
      </c>
      <c r="D313" s="1049" t="s">
        <v>2062</v>
      </c>
      <c r="E313" s="1047"/>
      <c r="F313" s="383">
        <v>0.41</v>
      </c>
      <c r="G313" s="383">
        <v>43266.38</v>
      </c>
      <c r="H313" s="1046">
        <v>43548.65</v>
      </c>
      <c r="I313" s="1047"/>
      <c r="J313" s="383">
        <v>282.68</v>
      </c>
      <c r="P313" s="463"/>
    </row>
    <row r="314" spans="1:16">
      <c r="A314" s="1050"/>
      <c r="B314" s="1051"/>
      <c r="C314" s="437" t="s">
        <v>12</v>
      </c>
      <c r="D314" s="1060" t="s">
        <v>111</v>
      </c>
      <c r="E314" s="1047"/>
      <c r="F314" s="474">
        <v>1.07</v>
      </c>
      <c r="G314" s="474">
        <v>202771.99</v>
      </c>
      <c r="H314" s="1061">
        <v>203039.04</v>
      </c>
      <c r="I314" s="1047"/>
      <c r="J314" s="474">
        <v>268.12</v>
      </c>
      <c r="P314" s="463"/>
    </row>
    <row r="315" spans="1:16" ht="15" customHeight="1">
      <c r="A315" s="1050"/>
      <c r="B315" s="1049" t="s">
        <v>2879</v>
      </c>
      <c r="C315" s="382" t="s">
        <v>3148</v>
      </c>
      <c r="D315" s="1049" t="s">
        <v>3149</v>
      </c>
      <c r="E315" s="1047"/>
      <c r="F315" s="383">
        <v>0</v>
      </c>
      <c r="G315" s="383">
        <v>311593.8</v>
      </c>
      <c r="H315" s="1046">
        <v>311593.8</v>
      </c>
      <c r="I315" s="1047"/>
      <c r="J315" s="383">
        <v>0</v>
      </c>
      <c r="P315" s="463"/>
    </row>
    <row r="316" spans="1:16" ht="15" customHeight="1">
      <c r="A316" s="1050"/>
      <c r="B316" s="1050"/>
      <c r="C316" s="382" t="s">
        <v>3150</v>
      </c>
      <c r="D316" s="1049" t="s">
        <v>3151</v>
      </c>
      <c r="E316" s="1047"/>
      <c r="F316" s="383">
        <v>0</v>
      </c>
      <c r="G316" s="383">
        <v>923524.5</v>
      </c>
      <c r="H316" s="1046">
        <v>923524.5</v>
      </c>
      <c r="I316" s="1047"/>
      <c r="J316" s="383">
        <v>0</v>
      </c>
      <c r="P316" s="463"/>
    </row>
    <row r="317" spans="1:16" ht="15" customHeight="1">
      <c r="A317" s="1050"/>
      <c r="B317" s="1050"/>
      <c r="C317" s="382" t="s">
        <v>2880</v>
      </c>
      <c r="D317" s="1049" t="s">
        <v>2066</v>
      </c>
      <c r="E317" s="1047"/>
      <c r="F317" s="383">
        <v>0</v>
      </c>
      <c r="G317" s="383">
        <v>55332.63</v>
      </c>
      <c r="H317" s="1046">
        <v>55332.63</v>
      </c>
      <c r="I317" s="1047"/>
      <c r="J317" s="383">
        <v>0</v>
      </c>
      <c r="P317" s="463"/>
    </row>
    <row r="318" spans="1:16">
      <c r="A318" s="1050"/>
      <c r="B318" s="1051"/>
      <c r="C318" s="437" t="s">
        <v>12</v>
      </c>
      <c r="D318" s="1060" t="s">
        <v>111</v>
      </c>
      <c r="E318" s="1047"/>
      <c r="F318" s="474">
        <v>0</v>
      </c>
      <c r="G318" s="474">
        <v>1290450.93</v>
      </c>
      <c r="H318" s="1061">
        <v>1290450.93</v>
      </c>
      <c r="I318" s="1047"/>
      <c r="J318" s="474">
        <v>0</v>
      </c>
      <c r="P318" s="463"/>
    </row>
    <row r="319" spans="1:16" ht="15" customHeight="1">
      <c r="A319" s="1050"/>
      <c r="B319" s="1049" t="s">
        <v>2881</v>
      </c>
      <c r="C319" s="382" t="s">
        <v>2882</v>
      </c>
      <c r="D319" s="1049" t="s">
        <v>2109</v>
      </c>
      <c r="E319" s="1047"/>
      <c r="F319" s="383">
        <v>9770.6200000000008</v>
      </c>
      <c r="G319" s="383">
        <v>322980.45</v>
      </c>
      <c r="H319" s="1046">
        <v>540672.11</v>
      </c>
      <c r="I319" s="1047"/>
      <c r="J319" s="383">
        <v>227462.28</v>
      </c>
      <c r="P319" s="463"/>
    </row>
    <row r="320" spans="1:16" ht="15" customHeight="1">
      <c r="A320" s="1050"/>
      <c r="B320" s="1050"/>
      <c r="C320" s="382" t="s">
        <v>2883</v>
      </c>
      <c r="D320" s="1049" t="s">
        <v>2110</v>
      </c>
      <c r="E320" s="1047"/>
      <c r="F320" s="383">
        <v>81791.289999999994</v>
      </c>
      <c r="G320" s="383">
        <v>1054416.3</v>
      </c>
      <c r="H320" s="1046">
        <v>1155483.8999999999</v>
      </c>
      <c r="I320" s="1047"/>
      <c r="J320" s="383">
        <v>182858.89</v>
      </c>
      <c r="P320" s="463"/>
    </row>
    <row r="321" spans="1:19" ht="15" customHeight="1">
      <c r="A321" s="1050"/>
      <c r="B321" s="1050"/>
      <c r="C321" s="382" t="s">
        <v>2884</v>
      </c>
      <c r="D321" s="1049" t="s">
        <v>2067</v>
      </c>
      <c r="E321" s="1047"/>
      <c r="F321" s="383">
        <v>36963.01</v>
      </c>
      <c r="G321" s="383">
        <v>57049.07</v>
      </c>
      <c r="H321" s="1046">
        <v>20366.59</v>
      </c>
      <c r="I321" s="1047"/>
      <c r="J321" s="383">
        <v>280.52999999999997</v>
      </c>
      <c r="P321" s="463"/>
      <c r="S321" s="434"/>
    </row>
    <row r="322" spans="1:19" ht="15" customHeight="1">
      <c r="A322" s="1050"/>
      <c r="B322" s="1050"/>
      <c r="C322" s="382" t="s">
        <v>2885</v>
      </c>
      <c r="D322" s="1049" t="s">
        <v>2067</v>
      </c>
      <c r="E322" s="1047"/>
      <c r="F322" s="383">
        <v>0</v>
      </c>
      <c r="G322" s="383">
        <v>0</v>
      </c>
      <c r="H322" s="1046">
        <v>0</v>
      </c>
      <c r="I322" s="1047"/>
      <c r="J322" s="383">
        <v>0</v>
      </c>
      <c r="P322" s="463"/>
      <c r="S322" s="434"/>
    </row>
    <row r="323" spans="1:19">
      <c r="A323" s="1050"/>
      <c r="B323" s="1051"/>
      <c r="C323" s="437" t="s">
        <v>12</v>
      </c>
      <c r="D323" s="1060" t="s">
        <v>111</v>
      </c>
      <c r="E323" s="1047"/>
      <c r="F323" s="474">
        <v>128524.92</v>
      </c>
      <c r="G323" s="474">
        <v>1434445.82</v>
      </c>
      <c r="H323" s="1061">
        <v>1716522.6</v>
      </c>
      <c r="I323" s="1047"/>
      <c r="J323" s="474">
        <v>410601.7</v>
      </c>
      <c r="P323" s="463"/>
      <c r="S323" s="434">
        <f>J323</f>
        <v>410601.7</v>
      </c>
    </row>
    <row r="324" spans="1:19" ht="15" customHeight="1">
      <c r="A324" s="1050"/>
      <c r="B324" s="1049" t="s">
        <v>2886</v>
      </c>
      <c r="C324" s="382" t="s">
        <v>2887</v>
      </c>
      <c r="D324" s="1049" t="s">
        <v>2111</v>
      </c>
      <c r="E324" s="1047"/>
      <c r="F324" s="383">
        <v>26450.21</v>
      </c>
      <c r="G324" s="383">
        <v>220250.37</v>
      </c>
      <c r="H324" s="1046">
        <v>281753.27</v>
      </c>
      <c r="I324" s="1047"/>
      <c r="J324" s="383">
        <v>87953.11</v>
      </c>
      <c r="P324" s="463"/>
    </row>
    <row r="325" spans="1:19" ht="15" customHeight="1">
      <c r="A325" s="1050"/>
      <c r="B325" s="1050"/>
      <c r="C325" s="382" t="s">
        <v>3152</v>
      </c>
      <c r="D325" s="1049" t="s">
        <v>3153</v>
      </c>
      <c r="E325" s="1047"/>
      <c r="F325" s="383">
        <v>0</v>
      </c>
      <c r="G325" s="383">
        <v>6141.76</v>
      </c>
      <c r="H325" s="1046">
        <v>14945.64</v>
      </c>
      <c r="I325" s="1047"/>
      <c r="J325" s="383">
        <v>8803.8799999999992</v>
      </c>
      <c r="P325" s="463"/>
    </row>
    <row r="326" spans="1:19" ht="15" customHeight="1">
      <c r="A326" s="1050"/>
      <c r="B326" s="1050"/>
      <c r="C326" s="382" t="s">
        <v>2888</v>
      </c>
      <c r="D326" s="1049" t="s">
        <v>2112</v>
      </c>
      <c r="E326" s="1047"/>
      <c r="F326" s="383">
        <v>23448.32</v>
      </c>
      <c r="G326" s="383">
        <v>120898.69</v>
      </c>
      <c r="H326" s="1046">
        <v>146124.82999999999</v>
      </c>
      <c r="I326" s="1047"/>
      <c r="J326" s="383">
        <v>48674.46</v>
      </c>
      <c r="P326" s="463"/>
    </row>
    <row r="327" spans="1:19" ht="15" customHeight="1">
      <c r="A327" s="1050"/>
      <c r="B327" s="1050"/>
      <c r="C327" s="382" t="s">
        <v>2889</v>
      </c>
      <c r="D327" s="1049" t="s">
        <v>2113</v>
      </c>
      <c r="E327" s="1047"/>
      <c r="F327" s="383">
        <v>50659.29</v>
      </c>
      <c r="G327" s="383">
        <v>210621.19</v>
      </c>
      <c r="H327" s="1046">
        <v>243238.26</v>
      </c>
      <c r="I327" s="1047"/>
      <c r="J327" s="383">
        <v>83276.36</v>
      </c>
      <c r="P327" s="463"/>
    </row>
    <row r="328" spans="1:19" ht="15" customHeight="1">
      <c r="A328" s="1050"/>
      <c r="B328" s="1050"/>
      <c r="C328" s="382" t="s">
        <v>2890</v>
      </c>
      <c r="D328" s="1049" t="s">
        <v>2114</v>
      </c>
      <c r="E328" s="1047"/>
      <c r="F328" s="383">
        <v>39124.730000000003</v>
      </c>
      <c r="G328" s="383">
        <v>173874.4</v>
      </c>
      <c r="H328" s="1046">
        <v>197469.43</v>
      </c>
      <c r="I328" s="1047"/>
      <c r="J328" s="383">
        <v>62719.76</v>
      </c>
      <c r="P328" s="463"/>
    </row>
    <row r="329" spans="1:19" ht="15" customHeight="1">
      <c r="A329" s="1050"/>
      <c r="B329" s="1050"/>
      <c r="C329" s="382" t="s">
        <v>2891</v>
      </c>
      <c r="D329" s="1049" t="s">
        <v>2115</v>
      </c>
      <c r="E329" s="1047"/>
      <c r="F329" s="383">
        <v>17556.93</v>
      </c>
      <c r="G329" s="383">
        <v>11354.95</v>
      </c>
      <c r="H329" s="1046">
        <v>20373.25</v>
      </c>
      <c r="I329" s="1047"/>
      <c r="J329" s="383">
        <v>26575.23</v>
      </c>
      <c r="P329" s="463"/>
    </row>
    <row r="330" spans="1:19" ht="15" customHeight="1">
      <c r="A330" s="1050"/>
      <c r="B330" s="1050"/>
      <c r="C330" s="382" t="s">
        <v>2892</v>
      </c>
      <c r="D330" s="1049" t="s">
        <v>2116</v>
      </c>
      <c r="E330" s="1047"/>
      <c r="F330" s="383">
        <v>6027.5</v>
      </c>
      <c r="G330" s="383">
        <v>74804.91</v>
      </c>
      <c r="H330" s="1046">
        <v>187886.46</v>
      </c>
      <c r="I330" s="1047"/>
      <c r="J330" s="383">
        <v>119109.05</v>
      </c>
      <c r="P330" s="463"/>
    </row>
    <row r="331" spans="1:19">
      <c r="A331" s="1050"/>
      <c r="B331" s="1051"/>
      <c r="C331" s="437" t="s">
        <v>12</v>
      </c>
      <c r="D331" s="1060" t="s">
        <v>111</v>
      </c>
      <c r="E331" s="1047"/>
      <c r="F331" s="474">
        <v>163266.98000000001</v>
      </c>
      <c r="G331" s="474">
        <v>817946.27</v>
      </c>
      <c r="H331" s="1061">
        <v>1091791.1399999999</v>
      </c>
      <c r="I331" s="1047"/>
      <c r="J331" s="474">
        <v>437111.85</v>
      </c>
      <c r="P331" s="458">
        <f>J331</f>
        <v>437111.85</v>
      </c>
    </row>
    <row r="332" spans="1:19" ht="15" customHeight="1">
      <c r="A332" s="1050"/>
      <c r="B332" s="1049" t="s">
        <v>2893</v>
      </c>
      <c r="C332" s="382" t="s">
        <v>2894</v>
      </c>
      <c r="D332" s="1049" t="s">
        <v>2117</v>
      </c>
      <c r="E332" s="1047"/>
      <c r="F332" s="383">
        <v>15586.85</v>
      </c>
      <c r="G332" s="383">
        <v>151318.85</v>
      </c>
      <c r="H332" s="1046">
        <v>145518.93</v>
      </c>
      <c r="I332" s="1047"/>
      <c r="J332" s="383">
        <v>9786.93</v>
      </c>
      <c r="P332" s="463"/>
    </row>
    <row r="333" spans="1:19" ht="15" customHeight="1">
      <c r="A333" s="1050"/>
      <c r="B333" s="1050"/>
      <c r="C333" s="382" t="s">
        <v>2895</v>
      </c>
      <c r="D333" s="1049" t="s">
        <v>2118</v>
      </c>
      <c r="E333" s="1047"/>
      <c r="F333" s="383">
        <v>303.92</v>
      </c>
      <c r="G333" s="383">
        <v>8969.9699999999993</v>
      </c>
      <c r="H333" s="1046">
        <v>8666.0499999999993</v>
      </c>
      <c r="I333" s="1047"/>
      <c r="J333" s="383">
        <v>0</v>
      </c>
      <c r="P333" s="463"/>
    </row>
    <row r="334" spans="1:19" ht="15" customHeight="1">
      <c r="A334" s="1050"/>
      <c r="B334" s="1050"/>
      <c r="C334" s="382" t="s">
        <v>2896</v>
      </c>
      <c r="D334" s="1049" t="s">
        <v>2119</v>
      </c>
      <c r="E334" s="1047"/>
      <c r="F334" s="383">
        <v>14313.34</v>
      </c>
      <c r="G334" s="383">
        <v>192434.32</v>
      </c>
      <c r="H334" s="1046">
        <v>191066.47</v>
      </c>
      <c r="I334" s="1047"/>
      <c r="J334" s="383">
        <v>12945.49</v>
      </c>
      <c r="P334" s="463"/>
    </row>
    <row r="335" spans="1:19" ht="15" customHeight="1">
      <c r="A335" s="1050"/>
      <c r="B335" s="1050"/>
      <c r="C335" s="382" t="s">
        <v>2897</v>
      </c>
      <c r="D335" s="1049" t="s">
        <v>2120</v>
      </c>
      <c r="E335" s="1047"/>
      <c r="F335" s="383">
        <v>11144.25</v>
      </c>
      <c r="G335" s="383">
        <v>129059.35</v>
      </c>
      <c r="H335" s="1046">
        <v>125451.19</v>
      </c>
      <c r="I335" s="1047"/>
      <c r="J335" s="383">
        <v>7536.09</v>
      </c>
      <c r="P335" s="463"/>
    </row>
    <row r="336" spans="1:19" ht="15" customHeight="1">
      <c r="A336" s="1050"/>
      <c r="B336" s="1050"/>
      <c r="C336" s="382" t="s">
        <v>2898</v>
      </c>
      <c r="D336" s="1049" t="s">
        <v>2121</v>
      </c>
      <c r="E336" s="1047"/>
      <c r="F336" s="383">
        <v>3358.28</v>
      </c>
      <c r="G336" s="383">
        <v>245252.84</v>
      </c>
      <c r="H336" s="1046">
        <v>257314.22</v>
      </c>
      <c r="I336" s="1047"/>
      <c r="J336" s="383">
        <v>15419.66</v>
      </c>
      <c r="P336" s="463"/>
    </row>
    <row r="337" spans="1:19" ht="15" customHeight="1">
      <c r="A337" s="1050"/>
      <c r="B337" s="1050"/>
      <c r="C337" s="382" t="s">
        <v>2899</v>
      </c>
      <c r="D337" s="1049" t="s">
        <v>2122</v>
      </c>
      <c r="E337" s="1047"/>
      <c r="F337" s="383">
        <v>9066.6299999999992</v>
      </c>
      <c r="G337" s="383">
        <v>112086.42</v>
      </c>
      <c r="H337" s="1046">
        <v>108819.79</v>
      </c>
      <c r="I337" s="1047"/>
      <c r="J337" s="383">
        <v>5800</v>
      </c>
      <c r="P337" s="463"/>
    </row>
    <row r="338" spans="1:19" ht="15" customHeight="1">
      <c r="A338" s="1050"/>
      <c r="B338" s="1050"/>
      <c r="C338" s="382" t="s">
        <v>2900</v>
      </c>
      <c r="D338" s="1049" t="s">
        <v>2123</v>
      </c>
      <c r="E338" s="1047"/>
      <c r="F338" s="383">
        <v>368.06</v>
      </c>
      <c r="G338" s="383">
        <v>6000.5</v>
      </c>
      <c r="H338" s="1046">
        <v>6524.01</v>
      </c>
      <c r="I338" s="1047"/>
      <c r="J338" s="383">
        <v>891.57</v>
      </c>
      <c r="P338" s="463"/>
    </row>
    <row r="339" spans="1:19" ht="15" customHeight="1">
      <c r="A339" s="1050"/>
      <c r="B339" s="1050"/>
      <c r="C339" s="382" t="s">
        <v>3154</v>
      </c>
      <c r="D339" s="1049" t="s">
        <v>3155</v>
      </c>
      <c r="E339" s="1047"/>
      <c r="F339" s="383">
        <v>0</v>
      </c>
      <c r="G339" s="383">
        <v>60</v>
      </c>
      <c r="H339" s="1046">
        <v>60</v>
      </c>
      <c r="I339" s="1047"/>
      <c r="J339" s="383">
        <v>0</v>
      </c>
      <c r="P339" s="463"/>
    </row>
    <row r="340" spans="1:19">
      <c r="A340" s="1050"/>
      <c r="B340" s="1051"/>
      <c r="C340" s="437" t="s">
        <v>12</v>
      </c>
      <c r="D340" s="1060" t="s">
        <v>111</v>
      </c>
      <c r="E340" s="1047"/>
      <c r="F340" s="474">
        <v>54141.33</v>
      </c>
      <c r="G340" s="474">
        <v>845182.25</v>
      </c>
      <c r="H340" s="1061">
        <v>843420.66</v>
      </c>
      <c r="I340" s="1047"/>
      <c r="J340" s="474">
        <v>52379.74</v>
      </c>
      <c r="P340" s="463"/>
      <c r="S340" s="434">
        <f>J340</f>
        <v>52379.74</v>
      </c>
    </row>
    <row r="341" spans="1:19" ht="15" customHeight="1">
      <c r="A341" s="1050"/>
      <c r="B341" s="1049" t="s">
        <v>2901</v>
      </c>
      <c r="C341" s="382" t="s">
        <v>2902</v>
      </c>
      <c r="D341" s="1049" t="s">
        <v>2124</v>
      </c>
      <c r="E341" s="1047"/>
      <c r="F341" s="383">
        <v>-793902.3</v>
      </c>
      <c r="G341" s="383">
        <v>3664263.73</v>
      </c>
      <c r="H341" s="1046">
        <v>4137935.5</v>
      </c>
      <c r="I341" s="1047"/>
      <c r="J341" s="383">
        <v>-320230.53000000003</v>
      </c>
      <c r="P341" s="463"/>
    </row>
    <row r="342" spans="1:19" ht="15" customHeight="1">
      <c r="A342" s="1050"/>
      <c r="B342" s="1050"/>
      <c r="C342" s="382" t="s">
        <v>2903</v>
      </c>
      <c r="D342" s="1049" t="s">
        <v>2125</v>
      </c>
      <c r="E342" s="1047"/>
      <c r="F342" s="383">
        <v>-245566.17</v>
      </c>
      <c r="G342" s="383">
        <v>130590.21</v>
      </c>
      <c r="H342" s="1046">
        <v>304432.83</v>
      </c>
      <c r="I342" s="1047"/>
      <c r="J342" s="383">
        <v>-71723.55</v>
      </c>
      <c r="P342" s="463"/>
    </row>
    <row r="343" spans="1:19" ht="15" customHeight="1">
      <c r="A343" s="1050"/>
      <c r="B343" s="1050"/>
      <c r="C343" s="382" t="s">
        <v>2904</v>
      </c>
      <c r="D343" s="1049" t="s">
        <v>2126</v>
      </c>
      <c r="E343" s="1047"/>
      <c r="F343" s="383">
        <v>-906282.51</v>
      </c>
      <c r="G343" s="383">
        <v>2256501.5699999998</v>
      </c>
      <c r="H343" s="1046">
        <v>2482917.37</v>
      </c>
      <c r="I343" s="1047"/>
      <c r="J343" s="383">
        <v>-679866.71</v>
      </c>
      <c r="P343" s="463"/>
    </row>
    <row r="344" spans="1:19" ht="15" customHeight="1">
      <c r="A344" s="1050"/>
      <c r="B344" s="1050"/>
      <c r="C344" s="382" t="s">
        <v>2905</v>
      </c>
      <c r="D344" s="1049" t="s">
        <v>2127</v>
      </c>
      <c r="E344" s="1047"/>
      <c r="F344" s="383">
        <v>-541329.61</v>
      </c>
      <c r="G344" s="383">
        <v>2199558.88</v>
      </c>
      <c r="H344" s="1046">
        <v>2245817.12</v>
      </c>
      <c r="I344" s="1047"/>
      <c r="J344" s="383">
        <v>-495071.37</v>
      </c>
      <c r="P344" s="463"/>
    </row>
    <row r="345" spans="1:19" ht="15" customHeight="1">
      <c r="A345" s="1050"/>
      <c r="B345" s="1050"/>
      <c r="C345" s="382" t="s">
        <v>2906</v>
      </c>
      <c r="D345" s="1049" t="s">
        <v>2128</v>
      </c>
      <c r="E345" s="1047"/>
      <c r="F345" s="383">
        <v>7728632.2199999997</v>
      </c>
      <c r="G345" s="383">
        <v>1701110.09</v>
      </c>
      <c r="H345" s="1046">
        <v>1893550.88</v>
      </c>
      <c r="I345" s="1047"/>
      <c r="J345" s="383">
        <v>7921073.0099999998</v>
      </c>
      <c r="P345" s="463"/>
    </row>
    <row r="346" spans="1:19" ht="15" customHeight="1">
      <c r="A346" s="1050"/>
      <c r="B346" s="1050"/>
      <c r="C346" s="382" t="s">
        <v>2907</v>
      </c>
      <c r="D346" s="1049" t="s">
        <v>2129</v>
      </c>
      <c r="E346" s="1047"/>
      <c r="F346" s="383">
        <v>-124558.39</v>
      </c>
      <c r="G346" s="383">
        <v>241011.79</v>
      </c>
      <c r="H346" s="1046">
        <v>353092.08</v>
      </c>
      <c r="I346" s="1047"/>
      <c r="J346" s="383">
        <v>-12478.1</v>
      </c>
      <c r="P346" s="463"/>
    </row>
    <row r="347" spans="1:19" ht="15" customHeight="1">
      <c r="A347" s="1050"/>
      <c r="B347" s="1050"/>
      <c r="C347" s="382" t="s">
        <v>2908</v>
      </c>
      <c r="D347" s="1049" t="s">
        <v>2130</v>
      </c>
      <c r="E347" s="1047"/>
      <c r="F347" s="383">
        <v>-1542612.86</v>
      </c>
      <c r="G347" s="383">
        <v>705780.28</v>
      </c>
      <c r="H347" s="1046">
        <v>1213351.92</v>
      </c>
      <c r="I347" s="1047"/>
      <c r="J347" s="383">
        <v>-1035041.22</v>
      </c>
      <c r="P347" s="463"/>
    </row>
    <row r="348" spans="1:19">
      <c r="A348" s="1050"/>
      <c r="B348" s="1051"/>
      <c r="C348" s="437" t="s">
        <v>12</v>
      </c>
      <c r="D348" s="1060" t="s">
        <v>111</v>
      </c>
      <c r="E348" s="1047"/>
      <c r="F348" s="474">
        <v>3574380.38</v>
      </c>
      <c r="G348" s="474">
        <v>10898816.550000001</v>
      </c>
      <c r="H348" s="1061">
        <v>12631097.699999999</v>
      </c>
      <c r="I348" s="1047"/>
      <c r="J348" s="474">
        <v>5306661.53</v>
      </c>
      <c r="P348" s="463"/>
      <c r="S348" s="434"/>
    </row>
    <row r="349" spans="1:19" ht="15" customHeight="1">
      <c r="A349" s="1050"/>
      <c r="B349" s="1049" t="s">
        <v>2909</v>
      </c>
      <c r="C349" s="382" t="s">
        <v>2910</v>
      </c>
      <c r="D349" s="1049" t="s">
        <v>2131</v>
      </c>
      <c r="E349" s="1047"/>
      <c r="F349" s="383">
        <v>0</v>
      </c>
      <c r="G349" s="383">
        <v>355583.96</v>
      </c>
      <c r="H349" s="1046">
        <v>355583.96</v>
      </c>
      <c r="I349" s="1047"/>
      <c r="J349" s="383">
        <v>0</v>
      </c>
      <c r="P349" s="463"/>
    </row>
    <row r="350" spans="1:19" ht="15" customHeight="1">
      <c r="A350" s="1050"/>
      <c r="B350" s="1050"/>
      <c r="C350" s="382" t="s">
        <v>3156</v>
      </c>
      <c r="D350" s="1049" t="s">
        <v>3157</v>
      </c>
      <c r="E350" s="1047"/>
      <c r="F350" s="383">
        <v>0</v>
      </c>
      <c r="G350" s="383">
        <v>923524.5</v>
      </c>
      <c r="H350" s="1046">
        <v>923524.5</v>
      </c>
      <c r="I350" s="1047"/>
      <c r="J350" s="383">
        <v>0</v>
      </c>
      <c r="P350" s="463"/>
    </row>
    <row r="351" spans="1:19">
      <c r="A351" s="1050"/>
      <c r="B351" s="1051"/>
      <c r="C351" s="437" t="s">
        <v>12</v>
      </c>
      <c r="D351" s="1060" t="s">
        <v>111</v>
      </c>
      <c r="E351" s="1047"/>
      <c r="F351" s="474">
        <v>0</v>
      </c>
      <c r="G351" s="474">
        <v>1279108.46</v>
      </c>
      <c r="H351" s="1061">
        <v>1279108.46</v>
      </c>
      <c r="I351" s="1047"/>
      <c r="J351" s="474">
        <v>0</v>
      </c>
      <c r="P351" s="463"/>
    </row>
    <row r="352" spans="1:19" ht="15" customHeight="1">
      <c r="A352" s="1050"/>
      <c r="B352" s="1049" t="s">
        <v>3335</v>
      </c>
      <c r="C352" s="382" t="s">
        <v>3158</v>
      </c>
      <c r="D352" s="1049" t="s">
        <v>2010</v>
      </c>
      <c r="E352" s="1047"/>
      <c r="F352" s="383">
        <v>0</v>
      </c>
      <c r="G352" s="383">
        <v>168560.01</v>
      </c>
      <c r="H352" s="1046">
        <v>414754.98</v>
      </c>
      <c r="I352" s="1047"/>
      <c r="J352" s="383">
        <v>246194.97</v>
      </c>
      <c r="P352" s="463"/>
    </row>
    <row r="353" spans="1:16" ht="15" customHeight="1">
      <c r="A353" s="1050"/>
      <c r="B353" s="1050"/>
      <c r="C353" s="382" t="s">
        <v>3159</v>
      </c>
      <c r="D353" s="1049" t="s">
        <v>1981</v>
      </c>
      <c r="E353" s="1047"/>
      <c r="F353" s="383">
        <v>0</v>
      </c>
      <c r="G353" s="383">
        <v>5893.8</v>
      </c>
      <c r="H353" s="1046">
        <v>16442.900000000001</v>
      </c>
      <c r="I353" s="1047"/>
      <c r="J353" s="383">
        <v>10549.1</v>
      </c>
      <c r="P353" s="463"/>
    </row>
    <row r="354" spans="1:16" ht="15" customHeight="1">
      <c r="A354" s="1050"/>
      <c r="B354" s="1050"/>
      <c r="C354" s="382" t="s">
        <v>3160</v>
      </c>
      <c r="D354" s="1049" t="s">
        <v>2011</v>
      </c>
      <c r="E354" s="1047"/>
      <c r="F354" s="383">
        <v>0</v>
      </c>
      <c r="G354" s="383">
        <v>67333.09</v>
      </c>
      <c r="H354" s="1046">
        <v>141274.29</v>
      </c>
      <c r="I354" s="1047"/>
      <c r="J354" s="383">
        <v>73941.2</v>
      </c>
      <c r="P354" s="463"/>
    </row>
    <row r="355" spans="1:16" ht="15" customHeight="1">
      <c r="A355" s="1050"/>
      <c r="B355" s="1050"/>
      <c r="C355" s="382" t="s">
        <v>3161</v>
      </c>
      <c r="D355" s="1049" t="s">
        <v>2012</v>
      </c>
      <c r="E355" s="1047"/>
      <c r="F355" s="383">
        <v>0</v>
      </c>
      <c r="G355" s="383">
        <v>92063.64</v>
      </c>
      <c r="H355" s="1046">
        <v>175401.63</v>
      </c>
      <c r="I355" s="1047"/>
      <c r="J355" s="383">
        <v>83337.990000000005</v>
      </c>
      <c r="P355" s="463"/>
    </row>
    <row r="356" spans="1:16" ht="15" customHeight="1">
      <c r="A356" s="1050"/>
      <c r="B356" s="1050"/>
      <c r="C356" s="382" t="s">
        <v>3162</v>
      </c>
      <c r="D356" s="1049" t="s">
        <v>2013</v>
      </c>
      <c r="E356" s="1047"/>
      <c r="F356" s="383">
        <v>0</v>
      </c>
      <c r="G356" s="383">
        <v>71348.42</v>
      </c>
      <c r="H356" s="1046">
        <v>118985</v>
      </c>
      <c r="I356" s="1047"/>
      <c r="J356" s="383">
        <v>47636.58</v>
      </c>
      <c r="P356" s="463"/>
    </row>
    <row r="357" spans="1:16" ht="15" customHeight="1">
      <c r="A357" s="1050"/>
      <c r="B357" s="1050"/>
      <c r="C357" s="382" t="s">
        <v>3163</v>
      </c>
      <c r="D357" s="1049" t="s">
        <v>2014</v>
      </c>
      <c r="E357" s="1047"/>
      <c r="F357" s="383">
        <v>0</v>
      </c>
      <c r="G357" s="383">
        <v>0</v>
      </c>
      <c r="H357" s="1046">
        <v>227.57</v>
      </c>
      <c r="I357" s="1047"/>
      <c r="J357" s="383">
        <v>227.57</v>
      </c>
      <c r="P357" s="463"/>
    </row>
    <row r="358" spans="1:16" ht="15" customHeight="1">
      <c r="A358" s="1050"/>
      <c r="B358" s="1050"/>
      <c r="C358" s="382" t="s">
        <v>3164</v>
      </c>
      <c r="D358" s="1049" t="s">
        <v>2015</v>
      </c>
      <c r="E358" s="1047"/>
      <c r="F358" s="383">
        <v>0</v>
      </c>
      <c r="G358" s="383">
        <v>24293.22</v>
      </c>
      <c r="H358" s="1046">
        <v>42914.74</v>
      </c>
      <c r="I358" s="1047"/>
      <c r="J358" s="383">
        <v>18621.52</v>
      </c>
      <c r="P358" s="463"/>
    </row>
    <row r="359" spans="1:16">
      <c r="A359" s="1050"/>
      <c r="B359" s="1051"/>
      <c r="C359" s="437" t="s">
        <v>12</v>
      </c>
      <c r="D359" s="1060" t="s">
        <v>111</v>
      </c>
      <c r="E359" s="1047"/>
      <c r="F359" s="474">
        <v>0</v>
      </c>
      <c r="G359" s="474">
        <v>429492.18</v>
      </c>
      <c r="H359" s="1061">
        <v>910001.11</v>
      </c>
      <c r="I359" s="1047"/>
      <c r="J359" s="474">
        <v>480508.93</v>
      </c>
      <c r="P359" s="458">
        <f>J359</f>
        <v>480508.93</v>
      </c>
    </row>
    <row r="360" spans="1:16" ht="15" customHeight="1">
      <c r="A360" s="1050"/>
      <c r="B360" s="1049" t="s">
        <v>2911</v>
      </c>
      <c r="C360" s="382" t="s">
        <v>2912</v>
      </c>
      <c r="D360" s="1049" t="s">
        <v>2010</v>
      </c>
      <c r="E360" s="1047"/>
      <c r="F360" s="383">
        <v>178541.95</v>
      </c>
      <c r="G360" s="383">
        <v>758718.26</v>
      </c>
      <c r="H360" s="1046">
        <v>834763.26</v>
      </c>
      <c r="I360" s="1047"/>
      <c r="J360" s="383">
        <v>254586.95</v>
      </c>
      <c r="P360" s="463"/>
    </row>
    <row r="361" spans="1:16" ht="15" customHeight="1">
      <c r="A361" s="1050"/>
      <c r="B361" s="1050"/>
      <c r="C361" s="382" t="s">
        <v>3165</v>
      </c>
      <c r="D361" s="1049" t="s">
        <v>1981</v>
      </c>
      <c r="E361" s="1047"/>
      <c r="F361" s="383">
        <v>0</v>
      </c>
      <c r="G361" s="383">
        <v>10136.36</v>
      </c>
      <c r="H361" s="1046">
        <v>28630.19</v>
      </c>
      <c r="I361" s="1047"/>
      <c r="J361" s="383">
        <v>18493.830000000002</v>
      </c>
      <c r="P361" s="463"/>
    </row>
    <row r="362" spans="1:16" ht="15" customHeight="1">
      <c r="A362" s="1050"/>
      <c r="B362" s="1050"/>
      <c r="C362" s="382" t="s">
        <v>2913</v>
      </c>
      <c r="D362" s="1049" t="s">
        <v>2011</v>
      </c>
      <c r="E362" s="1047"/>
      <c r="F362" s="383">
        <v>125094</v>
      </c>
      <c r="G362" s="383">
        <v>446802.37</v>
      </c>
      <c r="H362" s="1046">
        <v>466513.93</v>
      </c>
      <c r="I362" s="1047"/>
      <c r="J362" s="383">
        <v>144805.56</v>
      </c>
      <c r="P362" s="463"/>
    </row>
    <row r="363" spans="1:16" ht="15" customHeight="1">
      <c r="A363" s="1050"/>
      <c r="B363" s="1050"/>
      <c r="C363" s="382" t="s">
        <v>2914</v>
      </c>
      <c r="D363" s="1049" t="s">
        <v>2012</v>
      </c>
      <c r="E363" s="1047"/>
      <c r="F363" s="383">
        <v>81886.12</v>
      </c>
      <c r="G363" s="383">
        <v>361616.51</v>
      </c>
      <c r="H363" s="1046">
        <v>365924.86</v>
      </c>
      <c r="I363" s="1047"/>
      <c r="J363" s="383">
        <v>86194.47</v>
      </c>
      <c r="P363" s="463"/>
    </row>
    <row r="364" spans="1:16" ht="15" customHeight="1">
      <c r="A364" s="1050"/>
      <c r="B364" s="1050"/>
      <c r="C364" s="382" t="s">
        <v>2915</v>
      </c>
      <c r="D364" s="1049" t="s">
        <v>2013</v>
      </c>
      <c r="E364" s="1047"/>
      <c r="F364" s="383">
        <v>33280.769999999997</v>
      </c>
      <c r="G364" s="383">
        <v>147443.19</v>
      </c>
      <c r="H364" s="1046">
        <v>156427.93</v>
      </c>
      <c r="I364" s="1047"/>
      <c r="J364" s="383">
        <v>42265.51</v>
      </c>
      <c r="P364" s="463"/>
    </row>
    <row r="365" spans="1:16" ht="15" customHeight="1">
      <c r="A365" s="1050"/>
      <c r="B365" s="1050"/>
      <c r="C365" s="382" t="s">
        <v>2916</v>
      </c>
      <c r="D365" s="1049" t="s">
        <v>2014</v>
      </c>
      <c r="E365" s="1047"/>
      <c r="F365" s="383">
        <v>3879.17</v>
      </c>
      <c r="G365" s="383">
        <v>1656.74</v>
      </c>
      <c r="H365" s="1046">
        <v>3548.58</v>
      </c>
      <c r="I365" s="1047"/>
      <c r="J365" s="383">
        <v>5771.01</v>
      </c>
      <c r="P365" s="463"/>
    </row>
    <row r="366" spans="1:16" ht="15" customHeight="1">
      <c r="A366" s="1050"/>
      <c r="B366" s="1050"/>
      <c r="C366" s="382" t="s">
        <v>3166</v>
      </c>
      <c r="D366" s="1049" t="s">
        <v>2015</v>
      </c>
      <c r="E366" s="1047"/>
      <c r="F366" s="383">
        <v>0</v>
      </c>
      <c r="G366" s="383">
        <v>8791.08</v>
      </c>
      <c r="H366" s="1046">
        <v>15237.99</v>
      </c>
      <c r="I366" s="1047"/>
      <c r="J366" s="383">
        <v>6446.91</v>
      </c>
      <c r="P366" s="463"/>
    </row>
    <row r="367" spans="1:16">
      <c r="A367" s="1050"/>
      <c r="B367" s="1051"/>
      <c r="C367" s="437" t="s">
        <v>12</v>
      </c>
      <c r="D367" s="1060" t="s">
        <v>111</v>
      </c>
      <c r="E367" s="1047"/>
      <c r="F367" s="474">
        <v>422682.01</v>
      </c>
      <c r="G367" s="474">
        <v>1735164.51</v>
      </c>
      <c r="H367" s="1061">
        <v>1871046.74</v>
      </c>
      <c r="I367" s="1047"/>
      <c r="J367" s="474">
        <v>558564.24</v>
      </c>
      <c r="P367" s="458">
        <f>J367</f>
        <v>558564.24</v>
      </c>
    </row>
    <row r="368" spans="1:16" ht="15" customHeight="1">
      <c r="A368" s="1050"/>
      <c r="B368" s="1049" t="s">
        <v>2917</v>
      </c>
      <c r="C368" s="382" t="s">
        <v>2918</v>
      </c>
      <c r="D368" s="1049" t="s">
        <v>2132</v>
      </c>
      <c r="E368" s="1047"/>
      <c r="F368" s="383">
        <v>87019444.769999996</v>
      </c>
      <c r="G368" s="383">
        <v>0</v>
      </c>
      <c r="H368" s="1046">
        <v>275024284.66000003</v>
      </c>
      <c r="I368" s="1047"/>
      <c r="J368" s="383">
        <v>362043729.43000001</v>
      </c>
      <c r="P368" s="434">
        <f>SUM(P79:P367)</f>
        <v>-4074637.2200000007</v>
      </c>
    </row>
    <row r="369" spans="1:19">
      <c r="A369" s="1050"/>
      <c r="B369" s="1051"/>
      <c r="C369" s="437" t="s">
        <v>12</v>
      </c>
      <c r="D369" s="1060" t="s">
        <v>111</v>
      </c>
      <c r="E369" s="1047"/>
      <c r="F369" s="474">
        <v>87019444.769999996</v>
      </c>
      <c r="G369" s="474">
        <v>0</v>
      </c>
      <c r="H369" s="1061">
        <v>275024284.66000003</v>
      </c>
      <c r="I369" s="1047"/>
      <c r="J369" s="474">
        <v>362043729.43000001</v>
      </c>
      <c r="K369" s="434"/>
    </row>
    <row r="370" spans="1:19" ht="15" customHeight="1">
      <c r="A370" s="1050"/>
      <c r="B370" s="1049" t="s">
        <v>2919</v>
      </c>
      <c r="C370" s="382" t="s">
        <v>2920</v>
      </c>
      <c r="D370" s="1049" t="s">
        <v>2133</v>
      </c>
      <c r="E370" s="1047"/>
      <c r="F370" s="383">
        <v>-1574025</v>
      </c>
      <c r="G370" s="383">
        <v>358735.61</v>
      </c>
      <c r="H370" s="1046">
        <v>211481</v>
      </c>
      <c r="I370" s="1047"/>
      <c r="J370" s="383">
        <v>-1721279.61</v>
      </c>
      <c r="L370" s="434"/>
      <c r="S370" s="434"/>
    </row>
    <row r="371" spans="1:19" ht="15" customHeight="1">
      <c r="A371" s="1050"/>
      <c r="B371" s="1050"/>
      <c r="C371" s="382" t="s">
        <v>2921</v>
      </c>
      <c r="D371" s="1049" t="s">
        <v>2134</v>
      </c>
      <c r="E371" s="1047"/>
      <c r="F371" s="383">
        <v>28489.279999999999</v>
      </c>
      <c r="G371" s="383">
        <v>273335.53999999998</v>
      </c>
      <c r="H371" s="1046">
        <v>297336.96999999997</v>
      </c>
      <c r="I371" s="1047"/>
      <c r="J371" s="383">
        <v>52490.71</v>
      </c>
      <c r="S371" s="434">
        <f>J371</f>
        <v>52490.71</v>
      </c>
    </row>
    <row r="372" spans="1:19">
      <c r="A372" s="1050"/>
      <c r="B372" s="1050"/>
      <c r="C372" s="382" t="s">
        <v>2922</v>
      </c>
      <c r="D372" s="1049" t="s">
        <v>2135</v>
      </c>
      <c r="E372" s="1047"/>
      <c r="F372" s="383">
        <v>294723.59000000003</v>
      </c>
      <c r="G372" s="383">
        <v>4830967.62</v>
      </c>
      <c r="H372" s="1046">
        <v>4921423.4800000004</v>
      </c>
      <c r="I372" s="1047"/>
      <c r="J372" s="383">
        <v>385179.45</v>
      </c>
      <c r="S372" s="434">
        <f>J372</f>
        <v>385179.45</v>
      </c>
    </row>
    <row r="373" spans="1:19" ht="15" customHeight="1">
      <c r="A373" s="1050"/>
      <c r="B373" s="1050"/>
      <c r="C373" s="382" t="s">
        <v>2923</v>
      </c>
      <c r="D373" s="1049" t="s">
        <v>2136</v>
      </c>
      <c r="E373" s="1047"/>
      <c r="F373" s="383">
        <v>68372.42</v>
      </c>
      <c r="G373" s="383">
        <v>167898.23</v>
      </c>
      <c r="H373" s="1046">
        <v>230985.04</v>
      </c>
      <c r="I373" s="1047"/>
      <c r="J373" s="383">
        <v>131459.23000000001</v>
      </c>
      <c r="S373" s="434">
        <f>J373</f>
        <v>131459.23000000001</v>
      </c>
    </row>
    <row r="374" spans="1:19" ht="15" customHeight="1">
      <c r="A374" s="1050"/>
      <c r="B374" s="1050"/>
      <c r="C374" s="382" t="s">
        <v>2924</v>
      </c>
      <c r="D374" s="1049" t="s">
        <v>2137</v>
      </c>
      <c r="E374" s="1047"/>
      <c r="F374" s="383">
        <v>1338122.81</v>
      </c>
      <c r="G374" s="383">
        <v>5184007.07</v>
      </c>
      <c r="H374" s="1046">
        <v>5616439.5099999998</v>
      </c>
      <c r="I374" s="1047"/>
      <c r="J374" s="383">
        <v>1770555.25</v>
      </c>
      <c r="S374" s="434">
        <f>J374</f>
        <v>1770555.25</v>
      </c>
    </row>
    <row r="375" spans="1:19" ht="15" customHeight="1">
      <c r="A375" s="1050"/>
      <c r="B375" s="1050"/>
      <c r="C375" s="382" t="s">
        <v>3167</v>
      </c>
      <c r="D375" s="1049" t="s">
        <v>3168</v>
      </c>
      <c r="E375" s="1047"/>
      <c r="F375" s="383">
        <v>510625</v>
      </c>
      <c r="G375" s="383">
        <v>2130963.7400000002</v>
      </c>
      <c r="H375" s="1046">
        <v>1887666.88</v>
      </c>
      <c r="I375" s="1047"/>
      <c r="J375" s="383">
        <v>267328.14</v>
      </c>
      <c r="S375" s="434">
        <f>J375</f>
        <v>267328.14</v>
      </c>
    </row>
    <row r="376" spans="1:19">
      <c r="A376" s="1050"/>
      <c r="B376" s="1051"/>
      <c r="C376" s="437" t="s">
        <v>12</v>
      </c>
      <c r="D376" s="1060" t="s">
        <v>111</v>
      </c>
      <c r="E376" s="1047"/>
      <c r="F376" s="474">
        <v>666308.1</v>
      </c>
      <c r="G376" s="474">
        <v>12945907.810000001</v>
      </c>
      <c r="H376" s="1061">
        <v>13165332.880000001</v>
      </c>
      <c r="I376" s="1047"/>
      <c r="J376" s="474">
        <v>885733.17</v>
      </c>
    </row>
    <row r="377" spans="1:19" ht="15" customHeight="1">
      <c r="A377" s="1050"/>
      <c r="B377" s="1049" t="s">
        <v>2925</v>
      </c>
      <c r="C377" s="382" t="s">
        <v>2926</v>
      </c>
      <c r="D377" s="1049" t="s">
        <v>2138</v>
      </c>
      <c r="E377" s="1047"/>
      <c r="F377" s="383">
        <v>0</v>
      </c>
      <c r="G377" s="383">
        <v>19746.43</v>
      </c>
      <c r="H377" s="1046">
        <v>294746.43</v>
      </c>
      <c r="I377" s="1047"/>
      <c r="J377" s="383">
        <v>275000</v>
      </c>
      <c r="S377" s="434">
        <f>J377</f>
        <v>275000</v>
      </c>
    </row>
    <row r="378" spans="1:19" ht="15" customHeight="1">
      <c r="A378" s="1050"/>
      <c r="B378" s="1050"/>
      <c r="C378" s="382" t="s">
        <v>2927</v>
      </c>
      <c r="D378" s="1049" t="s">
        <v>2139</v>
      </c>
      <c r="E378" s="1047"/>
      <c r="F378" s="383">
        <v>1600</v>
      </c>
      <c r="G378" s="383">
        <v>717476.68</v>
      </c>
      <c r="H378" s="1046">
        <v>715876.68</v>
      </c>
      <c r="I378" s="1047"/>
      <c r="J378" s="383">
        <v>0</v>
      </c>
    </row>
    <row r="379" spans="1:19" ht="15" customHeight="1">
      <c r="A379" s="1050"/>
      <c r="B379" s="1050"/>
      <c r="C379" s="382" t="s">
        <v>2928</v>
      </c>
      <c r="D379" s="1049" t="s">
        <v>2140</v>
      </c>
      <c r="E379" s="1047"/>
      <c r="F379" s="383">
        <v>176377.21</v>
      </c>
      <c r="G379" s="383">
        <v>636738.18999999994</v>
      </c>
      <c r="H379" s="1046">
        <v>645740</v>
      </c>
      <c r="I379" s="1047"/>
      <c r="J379" s="383">
        <v>185379.02</v>
      </c>
      <c r="S379" s="434">
        <f>J379</f>
        <v>185379.02</v>
      </c>
    </row>
    <row r="380" spans="1:19" ht="15" customHeight="1">
      <c r="A380" s="1050"/>
      <c r="B380" s="1050"/>
      <c r="C380" s="382" t="s">
        <v>2929</v>
      </c>
      <c r="D380" s="1049" t="s">
        <v>2141</v>
      </c>
      <c r="E380" s="1047"/>
      <c r="F380" s="383">
        <v>903839.09</v>
      </c>
      <c r="G380" s="383">
        <v>3466886.74</v>
      </c>
      <c r="H380" s="1046">
        <v>4658371.22</v>
      </c>
      <c r="I380" s="1047"/>
      <c r="J380" s="383">
        <v>2095323.57</v>
      </c>
    </row>
    <row r="381" spans="1:19" ht="15" customHeight="1">
      <c r="A381" s="1050"/>
      <c r="B381" s="1050"/>
      <c r="C381" s="382" t="s">
        <v>2930</v>
      </c>
      <c r="D381" s="1049" t="s">
        <v>3169</v>
      </c>
      <c r="E381" s="1047"/>
      <c r="F381" s="383">
        <v>0</v>
      </c>
      <c r="G381" s="383">
        <v>86668.72</v>
      </c>
      <c r="H381" s="1046">
        <v>400477.37</v>
      </c>
      <c r="I381" s="1047"/>
      <c r="J381" s="383">
        <v>313808.65000000002</v>
      </c>
      <c r="Q381" s="469">
        <f>J381</f>
        <v>313808.65000000002</v>
      </c>
    </row>
    <row r="382" spans="1:19" ht="15" customHeight="1">
      <c r="A382" s="1050"/>
      <c r="B382" s="1050"/>
      <c r="C382" s="382" t="s">
        <v>3170</v>
      </c>
      <c r="D382" s="1049" t="s">
        <v>3171</v>
      </c>
      <c r="E382" s="1047"/>
      <c r="F382" s="383">
        <v>0</v>
      </c>
      <c r="G382" s="383">
        <v>7000</v>
      </c>
      <c r="H382" s="1046">
        <v>7000</v>
      </c>
      <c r="I382" s="1047"/>
      <c r="J382" s="383">
        <v>0</v>
      </c>
      <c r="Q382" s="434">
        <f>SUM(Q254:Q381)</f>
        <v>1034572.16</v>
      </c>
    </row>
    <row r="383" spans="1:19" ht="15" customHeight="1">
      <c r="A383" s="1050"/>
      <c r="B383" s="1050"/>
      <c r="C383" s="382" t="s">
        <v>2931</v>
      </c>
      <c r="D383" s="1049" t="s">
        <v>2143</v>
      </c>
      <c r="E383" s="1047"/>
      <c r="F383" s="383">
        <v>0</v>
      </c>
      <c r="G383" s="383">
        <v>2000000</v>
      </c>
      <c r="H383" s="1046">
        <v>2000000</v>
      </c>
      <c r="I383" s="1047"/>
      <c r="J383" s="383">
        <v>0</v>
      </c>
    </row>
    <row r="384" spans="1:19" ht="15" customHeight="1">
      <c r="A384" s="1050"/>
      <c r="B384" s="1050"/>
      <c r="C384" s="382" t="s">
        <v>3172</v>
      </c>
      <c r="D384" s="1049" t="s">
        <v>3173</v>
      </c>
      <c r="E384" s="1047"/>
      <c r="F384" s="383">
        <v>0</v>
      </c>
      <c r="G384" s="383">
        <v>19955.59</v>
      </c>
      <c r="H384" s="1046">
        <v>19955.59</v>
      </c>
      <c r="I384" s="1047"/>
      <c r="J384" s="383">
        <v>0</v>
      </c>
    </row>
    <row r="385" spans="1:19">
      <c r="A385" s="1050"/>
      <c r="B385" s="1051"/>
      <c r="C385" s="437" t="s">
        <v>12</v>
      </c>
      <c r="D385" s="1060" t="s">
        <v>111</v>
      </c>
      <c r="E385" s="1047"/>
      <c r="F385" s="474">
        <v>1081816.3</v>
      </c>
      <c r="G385" s="474">
        <v>6954472.3499999996</v>
      </c>
      <c r="H385" s="1061">
        <v>8742167.2899999991</v>
      </c>
      <c r="I385" s="1047"/>
      <c r="J385" s="474">
        <v>2869511.24</v>
      </c>
    </row>
    <row r="386" spans="1:19" ht="15" customHeight="1">
      <c r="A386" s="1050"/>
      <c r="B386" s="1049" t="s">
        <v>2932</v>
      </c>
      <c r="C386" s="382" t="s">
        <v>2933</v>
      </c>
      <c r="D386" s="1049" t="s">
        <v>2144</v>
      </c>
      <c r="E386" s="1047"/>
      <c r="F386" s="383">
        <v>61065.93</v>
      </c>
      <c r="G386" s="383">
        <v>25515968.489999998</v>
      </c>
      <c r="H386" s="1046">
        <v>25454902.559999999</v>
      </c>
      <c r="I386" s="1047"/>
      <c r="J386" s="383">
        <v>0</v>
      </c>
    </row>
    <row r="387" spans="1:19">
      <c r="A387" s="1050"/>
      <c r="B387" s="1050"/>
      <c r="C387" s="382" t="s">
        <v>2934</v>
      </c>
      <c r="D387" s="1049" t="s">
        <v>2145</v>
      </c>
      <c r="E387" s="1047"/>
      <c r="F387" s="383">
        <v>202380.04</v>
      </c>
      <c r="G387" s="383">
        <v>2775965.69</v>
      </c>
      <c r="H387" s="1046">
        <v>2754854.1</v>
      </c>
      <c r="I387" s="1047"/>
      <c r="J387" s="383">
        <v>181268.45</v>
      </c>
    </row>
    <row r="388" spans="1:19" ht="15" customHeight="1">
      <c r="A388" s="1050"/>
      <c r="B388" s="1050"/>
      <c r="C388" s="382" t="s">
        <v>2935</v>
      </c>
      <c r="D388" s="1049" t="s">
        <v>2146</v>
      </c>
      <c r="E388" s="1047"/>
      <c r="F388" s="383">
        <v>9510.99</v>
      </c>
      <c r="G388" s="383">
        <v>335146.93</v>
      </c>
      <c r="H388" s="1046">
        <v>334876.62</v>
      </c>
      <c r="I388" s="1047"/>
      <c r="J388" s="383">
        <v>9240.68</v>
      </c>
    </row>
    <row r="389" spans="1:19" ht="15" customHeight="1">
      <c r="A389" s="1050"/>
      <c r="B389" s="1050"/>
      <c r="C389" s="382" t="s">
        <v>2936</v>
      </c>
      <c r="D389" s="1049" t="s">
        <v>2147</v>
      </c>
      <c r="E389" s="1047"/>
      <c r="F389" s="383">
        <v>5531156.3399999999</v>
      </c>
      <c r="G389" s="383">
        <v>5261678.9000000004</v>
      </c>
      <c r="H389" s="1046">
        <v>5327948.7699999996</v>
      </c>
      <c r="I389" s="1047"/>
      <c r="J389" s="383">
        <v>5597426.21</v>
      </c>
    </row>
    <row r="390" spans="1:19" ht="15" customHeight="1">
      <c r="A390" s="1050"/>
      <c r="B390" s="1050"/>
      <c r="C390" s="382" t="s">
        <v>2937</v>
      </c>
      <c r="D390" s="1049" t="s">
        <v>2148</v>
      </c>
      <c r="E390" s="1047"/>
      <c r="F390" s="383">
        <v>0</v>
      </c>
      <c r="G390" s="383">
        <v>5115</v>
      </c>
      <c r="H390" s="1046">
        <v>8235</v>
      </c>
      <c r="I390" s="1047"/>
      <c r="J390" s="383">
        <v>3120</v>
      </c>
    </row>
    <row r="391" spans="1:19" ht="15" customHeight="1">
      <c r="A391" s="1050"/>
      <c r="B391" s="1050"/>
      <c r="C391" s="382" t="s">
        <v>2938</v>
      </c>
      <c r="D391" s="1049" t="s">
        <v>2149</v>
      </c>
      <c r="E391" s="1047"/>
      <c r="F391" s="383">
        <v>898707.04</v>
      </c>
      <c r="G391" s="383">
        <v>4920310.7</v>
      </c>
      <c r="H391" s="1046">
        <v>4499344.88</v>
      </c>
      <c r="I391" s="1047"/>
      <c r="J391" s="383">
        <v>477741.22</v>
      </c>
    </row>
    <row r="392" spans="1:19">
      <c r="A392" s="1050"/>
      <c r="B392" s="1051"/>
      <c r="C392" s="437" t="s">
        <v>12</v>
      </c>
      <c r="D392" s="1060" t="s">
        <v>111</v>
      </c>
      <c r="E392" s="1047"/>
      <c r="F392" s="474">
        <v>6702820.3399999999</v>
      </c>
      <c r="G392" s="474">
        <v>38814185.710000001</v>
      </c>
      <c r="H392" s="1061">
        <v>38380161.93</v>
      </c>
      <c r="I392" s="1047"/>
      <c r="J392" s="474">
        <v>6268796.5599999996</v>
      </c>
      <c r="S392" s="439">
        <f>J392-J389</f>
        <v>671370.34999999963</v>
      </c>
    </row>
    <row r="393" spans="1:19" ht="15" customHeight="1">
      <c r="A393" s="1050"/>
      <c r="B393" s="1049" t="s">
        <v>2939</v>
      </c>
      <c r="C393" s="382" t="s">
        <v>2940</v>
      </c>
      <c r="D393" s="1049" t="s">
        <v>2150</v>
      </c>
      <c r="E393" s="1047"/>
      <c r="F393" s="383">
        <v>0</v>
      </c>
      <c r="G393" s="383">
        <v>1743.54</v>
      </c>
      <c r="H393" s="1046">
        <v>1743.54</v>
      </c>
      <c r="I393" s="1047"/>
      <c r="J393" s="383">
        <v>0</v>
      </c>
    </row>
    <row r="394" spans="1:19" ht="15" customHeight="1">
      <c r="A394" s="1050"/>
      <c r="B394" s="1050"/>
      <c r="C394" s="382" t="s">
        <v>2941</v>
      </c>
      <c r="D394" s="1049" t="s">
        <v>2151</v>
      </c>
      <c r="E394" s="1047"/>
      <c r="F394" s="383">
        <v>0</v>
      </c>
      <c r="G394" s="383">
        <v>0</v>
      </c>
      <c r="H394" s="1046">
        <v>0</v>
      </c>
      <c r="I394" s="1047"/>
      <c r="J394" s="383">
        <v>0</v>
      </c>
    </row>
    <row r="395" spans="1:19" ht="15" customHeight="1">
      <c r="A395" s="1050"/>
      <c r="B395" s="1050"/>
      <c r="C395" s="382" t="s">
        <v>2942</v>
      </c>
      <c r="D395" s="1049" t="s">
        <v>2152</v>
      </c>
      <c r="E395" s="1047"/>
      <c r="F395" s="383">
        <v>0</v>
      </c>
      <c r="G395" s="383">
        <v>38473470.659999996</v>
      </c>
      <c r="H395" s="1046">
        <v>38473470.659999996</v>
      </c>
      <c r="I395" s="1047"/>
      <c r="J395" s="383">
        <v>0</v>
      </c>
    </row>
    <row r="396" spans="1:19" ht="15" customHeight="1">
      <c r="A396" s="1050"/>
      <c r="B396" s="1050"/>
      <c r="C396" s="382" t="s">
        <v>2943</v>
      </c>
      <c r="D396" s="1049" t="s">
        <v>2153</v>
      </c>
      <c r="E396" s="1047"/>
      <c r="F396" s="383">
        <v>-4.79</v>
      </c>
      <c r="G396" s="383">
        <v>69199.48</v>
      </c>
      <c r="H396" s="1046">
        <v>69204.27</v>
      </c>
      <c r="I396" s="1047"/>
      <c r="J396" s="383">
        <v>0</v>
      </c>
    </row>
    <row r="397" spans="1:19" ht="15" customHeight="1">
      <c r="A397" s="1050"/>
      <c r="B397" s="1050"/>
      <c r="C397" s="382" t="s">
        <v>2944</v>
      </c>
      <c r="D397" s="1049" t="s">
        <v>2154</v>
      </c>
      <c r="E397" s="1047"/>
      <c r="F397" s="383">
        <v>106073.56</v>
      </c>
      <c r="G397" s="383">
        <v>819627.24</v>
      </c>
      <c r="H397" s="1046">
        <v>150255.76999999999</v>
      </c>
      <c r="I397" s="1047"/>
      <c r="J397" s="383">
        <v>-563297.91</v>
      </c>
    </row>
    <row r="398" spans="1:19" ht="15" customHeight="1">
      <c r="A398" s="1050"/>
      <c r="B398" s="1050"/>
      <c r="C398" s="382" t="s">
        <v>3174</v>
      </c>
      <c r="D398" s="1049" t="s">
        <v>3175</v>
      </c>
      <c r="E398" s="1047"/>
      <c r="F398" s="383">
        <v>0</v>
      </c>
      <c r="G398" s="383">
        <v>4285288.93</v>
      </c>
      <c r="H398" s="1046">
        <v>4473333.32</v>
      </c>
      <c r="I398" s="1047"/>
      <c r="J398" s="383">
        <v>188044.39</v>
      </c>
    </row>
    <row r="399" spans="1:19" ht="15" customHeight="1">
      <c r="A399" s="1050"/>
      <c r="B399" s="1050"/>
      <c r="C399" s="382" t="s">
        <v>2945</v>
      </c>
      <c r="D399" s="1049" t="s">
        <v>2155</v>
      </c>
      <c r="E399" s="1047"/>
      <c r="F399" s="383">
        <v>1000000</v>
      </c>
      <c r="G399" s="383">
        <v>8840209.6600000001</v>
      </c>
      <c r="H399" s="1046">
        <v>8959142.5199999996</v>
      </c>
      <c r="I399" s="1047"/>
      <c r="J399" s="383">
        <v>1118932.8600000001</v>
      </c>
    </row>
    <row r="400" spans="1:19" ht="15" customHeight="1">
      <c r="A400" s="1050"/>
      <c r="B400" s="1050"/>
      <c r="C400" s="382" t="s">
        <v>2946</v>
      </c>
      <c r="D400" s="1049" t="s">
        <v>2156</v>
      </c>
      <c r="E400" s="1047"/>
      <c r="F400" s="383">
        <v>749186.55</v>
      </c>
      <c r="G400" s="383">
        <v>1340219.1000000001</v>
      </c>
      <c r="H400" s="1046">
        <v>1140960.82</v>
      </c>
      <c r="I400" s="1047"/>
      <c r="J400" s="383">
        <v>549928.27</v>
      </c>
    </row>
    <row r="401" spans="1:19" ht="15" customHeight="1">
      <c r="A401" s="1050"/>
      <c r="B401" s="1050"/>
      <c r="C401" s="382" t="s">
        <v>3176</v>
      </c>
      <c r="D401" s="1049" t="s">
        <v>3177</v>
      </c>
      <c r="E401" s="1047"/>
      <c r="F401" s="383">
        <v>0</v>
      </c>
      <c r="G401" s="383">
        <v>26065.119999999999</v>
      </c>
      <c r="H401" s="1046">
        <v>372507.18</v>
      </c>
      <c r="I401" s="1047"/>
      <c r="J401" s="383">
        <v>346442.06</v>
      </c>
    </row>
    <row r="402" spans="1:19">
      <c r="A402" s="1050"/>
      <c r="B402" s="1051"/>
      <c r="C402" s="437" t="s">
        <v>12</v>
      </c>
      <c r="D402" s="1060" t="s">
        <v>111</v>
      </c>
      <c r="E402" s="1047"/>
      <c r="F402" s="474">
        <v>1855255.32</v>
      </c>
      <c r="G402" s="474">
        <v>53855823.729999997</v>
      </c>
      <c r="H402" s="1061">
        <v>53640618.079999998</v>
      </c>
      <c r="I402" s="1047"/>
      <c r="J402" s="474">
        <v>1640049.67</v>
      </c>
      <c r="S402" s="434">
        <f>J402</f>
        <v>1640049.67</v>
      </c>
    </row>
    <row r="403" spans="1:19" ht="15" customHeight="1">
      <c r="A403" s="1050"/>
      <c r="B403" s="1049" t="s">
        <v>2947</v>
      </c>
      <c r="C403" s="382" t="s">
        <v>2948</v>
      </c>
      <c r="D403" s="1049" t="s">
        <v>2157</v>
      </c>
      <c r="E403" s="1047"/>
      <c r="F403" s="383">
        <v>173430.2</v>
      </c>
      <c r="G403" s="383">
        <v>2432622.83</v>
      </c>
      <c r="H403" s="1046">
        <v>2395288.94</v>
      </c>
      <c r="I403" s="1047"/>
      <c r="J403" s="383">
        <v>136096.31</v>
      </c>
    </row>
    <row r="404" spans="1:19" ht="15" customHeight="1">
      <c r="A404" s="1050"/>
      <c r="B404" s="1050"/>
      <c r="C404" s="382" t="s">
        <v>2949</v>
      </c>
      <c r="D404" s="1049" t="s">
        <v>2158</v>
      </c>
      <c r="E404" s="1047"/>
      <c r="F404" s="383">
        <v>99531.97</v>
      </c>
      <c r="G404" s="383">
        <v>668052.81000000006</v>
      </c>
      <c r="H404" s="1046">
        <v>859872.69</v>
      </c>
      <c r="I404" s="1047"/>
      <c r="J404" s="383">
        <v>291351.84999999998</v>
      </c>
    </row>
    <row r="405" spans="1:19" ht="15" customHeight="1">
      <c r="A405" s="1050"/>
      <c r="B405" s="1050"/>
      <c r="C405" s="382" t="s">
        <v>2950</v>
      </c>
      <c r="D405" s="1049" t="s">
        <v>2159</v>
      </c>
      <c r="E405" s="1047"/>
      <c r="F405" s="383">
        <v>5638.7</v>
      </c>
      <c r="G405" s="383">
        <v>20.9</v>
      </c>
      <c r="H405" s="1046">
        <v>52332.3</v>
      </c>
      <c r="I405" s="1047"/>
      <c r="J405" s="383">
        <v>57950.1</v>
      </c>
    </row>
    <row r="406" spans="1:19" ht="15" customHeight="1">
      <c r="A406" s="1050"/>
      <c r="B406" s="1050"/>
      <c r="C406" s="382" t="s">
        <v>2951</v>
      </c>
      <c r="D406" s="1049" t="s">
        <v>2160</v>
      </c>
      <c r="E406" s="1047"/>
      <c r="F406" s="383">
        <v>2749.44</v>
      </c>
      <c r="G406" s="383">
        <v>10.41</v>
      </c>
      <c r="H406" s="1046">
        <v>25998.06</v>
      </c>
      <c r="I406" s="1047"/>
      <c r="J406" s="383">
        <v>28737.09</v>
      </c>
    </row>
    <row r="407" spans="1:19" ht="15" customHeight="1">
      <c r="A407" s="1050"/>
      <c r="B407" s="1050"/>
      <c r="C407" s="382" t="s">
        <v>2952</v>
      </c>
      <c r="D407" s="1049" t="s">
        <v>2161</v>
      </c>
      <c r="E407" s="1047"/>
      <c r="F407" s="383">
        <v>168609.06</v>
      </c>
      <c r="G407" s="383">
        <v>2447111.83</v>
      </c>
      <c r="H407" s="1046">
        <v>2957341.72</v>
      </c>
      <c r="I407" s="1047"/>
      <c r="J407" s="383">
        <v>678838.95</v>
      </c>
    </row>
    <row r="408" spans="1:19" ht="15" customHeight="1">
      <c r="A408" s="1050"/>
      <c r="B408" s="1050"/>
      <c r="C408" s="382" t="s">
        <v>2953</v>
      </c>
      <c r="D408" s="1049" t="s">
        <v>2162</v>
      </c>
      <c r="E408" s="1047"/>
      <c r="F408" s="383">
        <v>95295.87</v>
      </c>
      <c r="G408" s="383">
        <v>657781.17000000004</v>
      </c>
      <c r="H408" s="1046">
        <v>996365.48</v>
      </c>
      <c r="I408" s="1047"/>
      <c r="J408" s="383">
        <v>433880.18</v>
      </c>
    </row>
    <row r="409" spans="1:19" ht="15" customHeight="1">
      <c r="A409" s="1050"/>
      <c r="B409" s="1050"/>
      <c r="C409" s="382" t="s">
        <v>2954</v>
      </c>
      <c r="D409" s="1049" t="s">
        <v>2163</v>
      </c>
      <c r="E409" s="1047"/>
      <c r="F409" s="383">
        <v>114238.61</v>
      </c>
      <c r="G409" s="383">
        <v>1170178.8899999999</v>
      </c>
      <c r="H409" s="1046">
        <v>1779570.56</v>
      </c>
      <c r="I409" s="1047"/>
      <c r="J409" s="383">
        <v>723630.28</v>
      </c>
    </row>
    <row r="410" spans="1:19" ht="15" customHeight="1">
      <c r="A410" s="1050"/>
      <c r="B410" s="1050"/>
      <c r="C410" s="382" t="s">
        <v>2955</v>
      </c>
      <c r="D410" s="1049" t="s">
        <v>2164</v>
      </c>
      <c r="E410" s="1047"/>
      <c r="F410" s="383">
        <v>72954.27</v>
      </c>
      <c r="G410" s="383">
        <v>648315.34</v>
      </c>
      <c r="H410" s="1046">
        <v>799537.16</v>
      </c>
      <c r="I410" s="1047"/>
      <c r="J410" s="383">
        <v>224176.09</v>
      </c>
    </row>
    <row r="411" spans="1:19" ht="15" customHeight="1">
      <c r="A411" s="1050"/>
      <c r="B411" s="1050"/>
      <c r="C411" s="382" t="s">
        <v>2956</v>
      </c>
      <c r="D411" s="1049" t="s">
        <v>2165</v>
      </c>
      <c r="E411" s="1047"/>
      <c r="F411" s="383">
        <v>152179.4</v>
      </c>
      <c r="G411" s="383">
        <v>2046220</v>
      </c>
      <c r="H411" s="1046">
        <v>2760431.64</v>
      </c>
      <c r="I411" s="1047"/>
      <c r="J411" s="383">
        <v>866391.04000000004</v>
      </c>
    </row>
    <row r="412" spans="1:19" ht="15" customHeight="1">
      <c r="A412" s="1050"/>
      <c r="B412" s="1050"/>
      <c r="C412" s="382" t="s">
        <v>2957</v>
      </c>
      <c r="D412" s="1049" t="s">
        <v>2166</v>
      </c>
      <c r="E412" s="1047"/>
      <c r="F412" s="383">
        <v>104167.26</v>
      </c>
      <c r="G412" s="383">
        <v>753224.35</v>
      </c>
      <c r="H412" s="1046">
        <v>1122360.0900000001</v>
      </c>
      <c r="I412" s="1047"/>
      <c r="J412" s="383">
        <v>473303</v>
      </c>
    </row>
    <row r="413" spans="1:19" ht="15" customHeight="1">
      <c r="A413" s="1050"/>
      <c r="B413" s="1050"/>
      <c r="C413" s="382" t="s">
        <v>2958</v>
      </c>
      <c r="D413" s="1049" t="s">
        <v>2167</v>
      </c>
      <c r="E413" s="1047"/>
      <c r="F413" s="383">
        <v>62453.7</v>
      </c>
      <c r="G413" s="383">
        <v>1442312.85</v>
      </c>
      <c r="H413" s="1046">
        <v>1363221.28</v>
      </c>
      <c r="I413" s="1047"/>
      <c r="J413" s="383">
        <v>-16637.87</v>
      </c>
    </row>
    <row r="414" spans="1:19" ht="15" customHeight="1">
      <c r="A414" s="1050"/>
      <c r="B414" s="1050"/>
      <c r="C414" s="382" t="s">
        <v>2959</v>
      </c>
      <c r="D414" s="1049" t="s">
        <v>2168</v>
      </c>
      <c r="E414" s="1047"/>
      <c r="F414" s="383">
        <v>55648.56</v>
      </c>
      <c r="G414" s="383">
        <v>650333.35</v>
      </c>
      <c r="H414" s="1046">
        <v>749675.75</v>
      </c>
      <c r="I414" s="1047"/>
      <c r="J414" s="383">
        <v>154990.96</v>
      </c>
    </row>
    <row r="415" spans="1:19" ht="15" customHeight="1">
      <c r="A415" s="1050"/>
      <c r="B415" s="1050"/>
      <c r="C415" s="382" t="s">
        <v>2960</v>
      </c>
      <c r="D415" s="1049" t="s">
        <v>2169</v>
      </c>
      <c r="E415" s="1047"/>
      <c r="F415" s="383">
        <v>1104.17</v>
      </c>
      <c r="G415" s="383">
        <v>5553.25</v>
      </c>
      <c r="H415" s="1046">
        <v>19731.98</v>
      </c>
      <c r="I415" s="1047"/>
      <c r="J415" s="383">
        <v>15282.9</v>
      </c>
    </row>
    <row r="416" spans="1:19" ht="15" customHeight="1">
      <c r="A416" s="1050"/>
      <c r="B416" s="1050"/>
      <c r="C416" s="382" t="s">
        <v>3178</v>
      </c>
      <c r="D416" s="1049" t="s">
        <v>3179</v>
      </c>
      <c r="E416" s="1047"/>
      <c r="F416" s="383">
        <v>0</v>
      </c>
      <c r="G416" s="383">
        <v>0</v>
      </c>
      <c r="H416" s="1046">
        <v>180</v>
      </c>
      <c r="I416" s="1047"/>
      <c r="J416" s="383">
        <v>180</v>
      </c>
    </row>
    <row r="417" spans="1:19">
      <c r="A417" s="1050"/>
      <c r="B417" s="1051"/>
      <c r="C417" s="437" t="s">
        <v>12</v>
      </c>
      <c r="D417" s="1060" t="s">
        <v>111</v>
      </c>
      <c r="E417" s="1047"/>
      <c r="F417" s="474">
        <v>1108001.21</v>
      </c>
      <c r="G417" s="474">
        <v>12921737.98</v>
      </c>
      <c r="H417" s="1061">
        <v>15881907.65</v>
      </c>
      <c r="I417" s="1047"/>
      <c r="J417" s="474">
        <v>4068170.88</v>
      </c>
    </row>
    <row r="418" spans="1:19" ht="15" customHeight="1">
      <c r="A418" s="1050"/>
      <c r="B418" s="1049" t="s">
        <v>2961</v>
      </c>
      <c r="C418" s="382" t="s">
        <v>2962</v>
      </c>
      <c r="D418" s="1049" t="s">
        <v>2170</v>
      </c>
      <c r="E418" s="1047"/>
      <c r="F418" s="383">
        <v>1021510.66</v>
      </c>
      <c r="G418" s="383">
        <v>1031013.88</v>
      </c>
      <c r="H418" s="1046">
        <v>9503.2199999999993</v>
      </c>
      <c r="I418" s="1047"/>
      <c r="J418" s="383">
        <v>0</v>
      </c>
    </row>
    <row r="419" spans="1:19">
      <c r="A419" s="1050"/>
      <c r="B419" s="1051"/>
      <c r="C419" s="437" t="s">
        <v>12</v>
      </c>
      <c r="D419" s="1060" t="s">
        <v>111</v>
      </c>
      <c r="E419" s="1047"/>
      <c r="F419" s="474">
        <v>1021510.66</v>
      </c>
      <c r="G419" s="474">
        <v>1031013.88</v>
      </c>
      <c r="H419" s="1061">
        <v>9503.2199999999993</v>
      </c>
      <c r="I419" s="1047"/>
      <c r="J419" s="474">
        <v>0</v>
      </c>
    </row>
    <row r="420" spans="1:19" ht="15" customHeight="1">
      <c r="A420" s="1050"/>
      <c r="B420" s="1049" t="s">
        <v>2963</v>
      </c>
      <c r="C420" s="382" t="s">
        <v>2964</v>
      </c>
      <c r="D420" s="1049" t="s">
        <v>2036</v>
      </c>
      <c r="E420" s="1047"/>
      <c r="F420" s="383">
        <v>0</v>
      </c>
      <c r="G420" s="383">
        <v>51932.32</v>
      </c>
      <c r="H420" s="1046">
        <v>2630.27</v>
      </c>
      <c r="I420" s="1047"/>
      <c r="J420" s="383">
        <v>-49302.05</v>
      </c>
    </row>
    <row r="421" spans="1:19" ht="15" customHeight="1">
      <c r="A421" s="1050"/>
      <c r="B421" s="1050"/>
      <c r="C421" s="382" t="s">
        <v>2965</v>
      </c>
      <c r="D421" s="1049" t="s">
        <v>2171</v>
      </c>
      <c r="E421" s="1047"/>
      <c r="F421" s="383">
        <v>-2939.72</v>
      </c>
      <c r="G421" s="383">
        <v>800</v>
      </c>
      <c r="H421" s="1046">
        <v>3739.72</v>
      </c>
      <c r="I421" s="1047"/>
      <c r="J421" s="383">
        <v>0</v>
      </c>
    </row>
    <row r="422" spans="1:19" ht="15" customHeight="1">
      <c r="A422" s="1050"/>
      <c r="B422" s="1050"/>
      <c r="C422" s="382" t="s">
        <v>2966</v>
      </c>
      <c r="D422" s="1049" t="s">
        <v>2172</v>
      </c>
      <c r="E422" s="1047"/>
      <c r="F422" s="383">
        <v>81783.789999999994</v>
      </c>
      <c r="G422" s="383">
        <v>760</v>
      </c>
      <c r="H422" s="1046">
        <v>0</v>
      </c>
      <c r="I422" s="1047"/>
      <c r="J422" s="383">
        <v>81023.789999999994</v>
      </c>
    </row>
    <row r="423" spans="1:19" ht="15" customHeight="1">
      <c r="A423" s="1050"/>
      <c r="B423" s="1050"/>
      <c r="C423" s="382" t="s">
        <v>2967</v>
      </c>
      <c r="D423" s="1049" t="s">
        <v>2173</v>
      </c>
      <c r="E423" s="1047"/>
      <c r="F423" s="383">
        <v>141139.64000000001</v>
      </c>
      <c r="G423" s="383">
        <v>22872.87</v>
      </c>
      <c r="H423" s="1046">
        <v>0</v>
      </c>
      <c r="I423" s="1047"/>
      <c r="J423" s="383">
        <v>118266.77</v>
      </c>
    </row>
    <row r="424" spans="1:19" ht="15" customHeight="1">
      <c r="A424" s="1050"/>
      <c r="B424" s="1050"/>
      <c r="C424" s="382" t="s">
        <v>2968</v>
      </c>
      <c r="D424" s="1049" t="s">
        <v>2174</v>
      </c>
      <c r="E424" s="1047"/>
      <c r="F424" s="383">
        <v>543047.62</v>
      </c>
      <c r="G424" s="383">
        <v>11253.64</v>
      </c>
      <c r="H424" s="1046">
        <v>0</v>
      </c>
      <c r="I424" s="1047"/>
      <c r="J424" s="383">
        <v>531793.98</v>
      </c>
    </row>
    <row r="425" spans="1:19" ht="15" customHeight="1">
      <c r="A425" s="1050"/>
      <c r="B425" s="1050"/>
      <c r="C425" s="382" t="s">
        <v>2969</v>
      </c>
      <c r="D425" s="1049" t="s">
        <v>2175</v>
      </c>
      <c r="E425" s="1047"/>
      <c r="F425" s="383">
        <v>0</v>
      </c>
      <c r="G425" s="383">
        <v>0</v>
      </c>
      <c r="H425" s="1046">
        <v>0</v>
      </c>
      <c r="I425" s="1047"/>
      <c r="J425" s="383">
        <v>0</v>
      </c>
    </row>
    <row r="426" spans="1:19">
      <c r="A426" s="1050"/>
      <c r="B426" s="1051"/>
      <c r="C426" s="437" t="s">
        <v>12</v>
      </c>
      <c r="D426" s="1060" t="s">
        <v>111</v>
      </c>
      <c r="E426" s="1047"/>
      <c r="F426" s="474">
        <v>763031.33</v>
      </c>
      <c r="G426" s="474">
        <v>87618.83</v>
      </c>
      <c r="H426" s="1061">
        <v>6369.99</v>
      </c>
      <c r="I426" s="1047"/>
      <c r="J426" s="474">
        <v>681782.49</v>
      </c>
      <c r="S426" s="434">
        <f>J426-J422</f>
        <v>600758.69999999995</v>
      </c>
    </row>
    <row r="427" spans="1:19" ht="15" customHeight="1">
      <c r="A427" s="1050"/>
      <c r="B427" s="1049" t="s">
        <v>2970</v>
      </c>
      <c r="C427" s="382" t="s">
        <v>2971</v>
      </c>
      <c r="D427" s="1049" t="s">
        <v>2176</v>
      </c>
      <c r="E427" s="1047"/>
      <c r="F427" s="383">
        <v>0</v>
      </c>
      <c r="G427" s="383">
        <v>0</v>
      </c>
      <c r="H427" s="1046">
        <v>0</v>
      </c>
      <c r="I427" s="1047"/>
      <c r="J427" s="383">
        <v>0</v>
      </c>
      <c r="S427" s="430">
        <f>SUM(S3:S426)</f>
        <v>6442551.96</v>
      </c>
    </row>
    <row r="428" spans="1:19">
      <c r="A428" s="1050"/>
      <c r="B428" s="1051"/>
      <c r="C428" s="437" t="s">
        <v>12</v>
      </c>
      <c r="D428" s="1060" t="s">
        <v>111</v>
      </c>
      <c r="E428" s="1047"/>
      <c r="F428" s="474">
        <v>0</v>
      </c>
      <c r="G428" s="474">
        <v>0</v>
      </c>
      <c r="H428" s="1061">
        <v>0</v>
      </c>
      <c r="I428" s="1047"/>
      <c r="J428" s="474">
        <v>0</v>
      </c>
      <c r="S428" s="429">
        <v>6442306</v>
      </c>
    </row>
    <row r="429" spans="1:19" ht="15" customHeight="1">
      <c r="A429" s="1050"/>
      <c r="B429" s="1049" t="s">
        <v>2972</v>
      </c>
      <c r="C429" s="382" t="s">
        <v>2973</v>
      </c>
      <c r="D429" s="1049" t="s">
        <v>2010</v>
      </c>
      <c r="E429" s="1047"/>
      <c r="F429" s="383">
        <v>953286.26</v>
      </c>
      <c r="G429" s="383">
        <v>53742494.729999997</v>
      </c>
      <c r="H429" s="1046">
        <v>52783890.100000001</v>
      </c>
      <c r="I429" s="1047"/>
      <c r="J429" s="383">
        <v>-5318.37</v>
      </c>
      <c r="S429" s="431">
        <f>S427-S428</f>
        <v>245.95999999996275</v>
      </c>
    </row>
    <row r="430" spans="1:19" ht="15" customHeight="1">
      <c r="A430" s="1050"/>
      <c r="B430" s="1050"/>
      <c r="C430" s="382" t="s">
        <v>2974</v>
      </c>
      <c r="D430" s="1049" t="s">
        <v>1981</v>
      </c>
      <c r="E430" s="1047"/>
      <c r="F430" s="383">
        <v>5855.74</v>
      </c>
      <c r="G430" s="383">
        <v>2841847.13</v>
      </c>
      <c r="H430" s="1046">
        <v>2835991.39</v>
      </c>
      <c r="I430" s="1047"/>
      <c r="J430" s="383">
        <v>0</v>
      </c>
    </row>
    <row r="431" spans="1:19" ht="15" customHeight="1">
      <c r="A431" s="1050"/>
      <c r="B431" s="1050"/>
      <c r="C431" s="382" t="s">
        <v>2975</v>
      </c>
      <c r="D431" s="1049" t="s">
        <v>2011</v>
      </c>
      <c r="E431" s="1047"/>
      <c r="F431" s="383">
        <v>610500.57999999996</v>
      </c>
      <c r="G431" s="383">
        <v>62017608.710000001</v>
      </c>
      <c r="H431" s="1046">
        <v>61409645.43</v>
      </c>
      <c r="I431" s="1047"/>
      <c r="J431" s="383">
        <v>2537.3000000000002</v>
      </c>
    </row>
    <row r="432" spans="1:19" ht="15" customHeight="1">
      <c r="A432" s="1050"/>
      <c r="B432" s="1050"/>
      <c r="C432" s="382" t="s">
        <v>2976</v>
      </c>
      <c r="D432" s="1049" t="s">
        <v>2012</v>
      </c>
      <c r="E432" s="1047"/>
      <c r="F432" s="383">
        <v>599473.11</v>
      </c>
      <c r="G432" s="383">
        <v>42404170.689999998</v>
      </c>
      <c r="H432" s="1046">
        <v>41804535.060000002</v>
      </c>
      <c r="I432" s="1047"/>
      <c r="J432" s="383">
        <v>-162.52000000000001</v>
      </c>
    </row>
    <row r="433" spans="1:13" ht="15" customHeight="1">
      <c r="A433" s="1050"/>
      <c r="B433" s="1050"/>
      <c r="C433" s="382" t="s">
        <v>2977</v>
      </c>
      <c r="D433" s="1049" t="s">
        <v>2013</v>
      </c>
      <c r="E433" s="1047"/>
      <c r="F433" s="383">
        <v>667304.24</v>
      </c>
      <c r="G433" s="383">
        <v>59077500.140000001</v>
      </c>
      <c r="H433" s="1046">
        <v>58406953.170000002</v>
      </c>
      <c r="I433" s="1047"/>
      <c r="J433" s="383">
        <v>-3242.73</v>
      </c>
    </row>
    <row r="434" spans="1:13" ht="15" customHeight="1">
      <c r="A434" s="1050"/>
      <c r="B434" s="1050"/>
      <c r="C434" s="382" t="s">
        <v>2978</v>
      </c>
      <c r="D434" s="1049" t="s">
        <v>2014</v>
      </c>
      <c r="E434" s="1047"/>
      <c r="F434" s="383">
        <v>103603.45</v>
      </c>
      <c r="G434" s="383">
        <v>3002074.23</v>
      </c>
      <c r="H434" s="1046">
        <v>2932524.57</v>
      </c>
      <c r="I434" s="1047"/>
      <c r="J434" s="383">
        <v>34053.79</v>
      </c>
    </row>
    <row r="435" spans="1:13" ht="15" customHeight="1">
      <c r="A435" s="1050"/>
      <c r="B435" s="1050"/>
      <c r="C435" s="382" t="s">
        <v>2979</v>
      </c>
      <c r="D435" s="1049" t="s">
        <v>2015</v>
      </c>
      <c r="E435" s="1047"/>
      <c r="F435" s="383">
        <v>243469.69</v>
      </c>
      <c r="G435" s="383">
        <v>24430550.120000001</v>
      </c>
      <c r="H435" s="1046">
        <v>24206110.09</v>
      </c>
      <c r="I435" s="1047"/>
      <c r="J435" s="383">
        <v>19029.66</v>
      </c>
    </row>
    <row r="436" spans="1:13" ht="15" customHeight="1">
      <c r="A436" s="1050"/>
      <c r="B436" s="1050"/>
      <c r="C436" s="382" t="s">
        <v>3180</v>
      </c>
      <c r="D436" s="1049" t="s">
        <v>3181</v>
      </c>
      <c r="E436" s="1047"/>
      <c r="F436" s="383">
        <v>0</v>
      </c>
      <c r="G436" s="383">
        <v>27999.99</v>
      </c>
      <c r="H436" s="1046">
        <v>27999.99</v>
      </c>
      <c r="I436" s="1047"/>
      <c r="J436" s="383">
        <v>0</v>
      </c>
    </row>
    <row r="437" spans="1:13">
      <c r="A437" s="1050"/>
      <c r="B437" s="1051"/>
      <c r="C437" s="437" t="s">
        <v>12</v>
      </c>
      <c r="D437" s="1060" t="s">
        <v>111</v>
      </c>
      <c r="E437" s="1047"/>
      <c r="F437" s="474">
        <v>3183493.07</v>
      </c>
      <c r="G437" s="474">
        <v>247544245.74000001</v>
      </c>
      <c r="H437" s="1061">
        <v>244407649.80000001</v>
      </c>
      <c r="I437" s="1047"/>
      <c r="J437" s="474">
        <v>46897.13</v>
      </c>
    </row>
    <row r="438" spans="1:13" ht="15" customHeight="1">
      <c r="A438" s="1050"/>
      <c r="B438" s="1049" t="s">
        <v>2980</v>
      </c>
      <c r="C438" s="382" t="s">
        <v>2981</v>
      </c>
      <c r="D438" s="1049" t="s">
        <v>1904</v>
      </c>
      <c r="E438" s="1047"/>
      <c r="F438" s="383">
        <v>25392783.370000001</v>
      </c>
      <c r="G438" s="383">
        <v>0</v>
      </c>
      <c r="H438" s="1046">
        <v>0</v>
      </c>
      <c r="I438" s="1047"/>
      <c r="J438" s="383">
        <v>25392783.370000001</v>
      </c>
    </row>
    <row r="439" spans="1:13">
      <c r="A439" s="1050"/>
      <c r="B439" s="1051"/>
      <c r="C439" s="437" t="s">
        <v>12</v>
      </c>
      <c r="D439" s="1060" t="s">
        <v>111</v>
      </c>
      <c r="E439" s="1047"/>
      <c r="F439" s="474">
        <v>25392783.370000001</v>
      </c>
      <c r="G439" s="474">
        <v>0</v>
      </c>
      <c r="H439" s="1061">
        <v>0</v>
      </c>
      <c r="I439" s="1047"/>
      <c r="J439" s="474">
        <v>25392783.370000001</v>
      </c>
    </row>
    <row r="440" spans="1:13" ht="15" customHeight="1">
      <c r="A440" s="1050"/>
      <c r="B440" s="1049" t="s">
        <v>2982</v>
      </c>
      <c r="C440" s="382" t="s">
        <v>2983</v>
      </c>
      <c r="D440" s="1049" t="s">
        <v>2177</v>
      </c>
      <c r="E440" s="1047"/>
      <c r="F440" s="383">
        <v>133839</v>
      </c>
      <c r="G440" s="383">
        <v>0</v>
      </c>
      <c r="H440" s="1046">
        <v>38116.71</v>
      </c>
      <c r="I440" s="1047"/>
      <c r="J440" s="383">
        <v>171955.71</v>
      </c>
    </row>
    <row r="441" spans="1:13" ht="15" customHeight="1">
      <c r="A441" s="1050"/>
      <c r="B441" s="1050"/>
      <c r="C441" s="382" t="s">
        <v>2984</v>
      </c>
      <c r="D441" s="1049" t="s">
        <v>2178</v>
      </c>
      <c r="E441" s="1047"/>
      <c r="F441" s="383">
        <v>1086365.1299999999</v>
      </c>
      <c r="G441" s="383">
        <v>0</v>
      </c>
      <c r="H441" s="1046">
        <v>0</v>
      </c>
      <c r="I441" s="1047"/>
      <c r="J441" s="383">
        <v>1086365.1299999999</v>
      </c>
    </row>
    <row r="442" spans="1:13" ht="15" customHeight="1">
      <c r="A442" s="1050"/>
      <c r="B442" s="1050"/>
      <c r="C442" s="382" t="s">
        <v>2985</v>
      </c>
      <c r="D442" s="1049" t="s">
        <v>2179</v>
      </c>
      <c r="E442" s="1047"/>
      <c r="F442" s="383">
        <v>-2083524.55</v>
      </c>
      <c r="G442" s="383">
        <v>0</v>
      </c>
      <c r="H442" s="1046">
        <v>0</v>
      </c>
      <c r="I442" s="1047"/>
      <c r="J442" s="383">
        <v>-2083524.55</v>
      </c>
      <c r="K442" s="472">
        <f>J442+J444</f>
        <v>-2704045.8</v>
      </c>
      <c r="L442" s="460">
        <v>2703810</v>
      </c>
      <c r="M442" s="473">
        <f>K442+L442</f>
        <v>-235.79999999981374</v>
      </c>
    </row>
    <row r="443" spans="1:13">
      <c r="A443" s="1050"/>
      <c r="B443" s="1051"/>
      <c r="C443" s="437" t="s">
        <v>12</v>
      </c>
      <c r="D443" s="1060" t="s">
        <v>111</v>
      </c>
      <c r="E443" s="1047"/>
      <c r="F443" s="474">
        <v>-863320.42</v>
      </c>
      <c r="G443" s="474">
        <v>0</v>
      </c>
      <c r="H443" s="1061">
        <v>38116.71</v>
      </c>
      <c r="I443" s="1047"/>
      <c r="J443" s="474">
        <v>-825203.71</v>
      </c>
    </row>
    <row r="444" spans="1:13" ht="15" customHeight="1">
      <c r="A444" s="1050"/>
      <c r="B444" s="1049" t="s">
        <v>2986</v>
      </c>
      <c r="C444" s="382" t="s">
        <v>2987</v>
      </c>
      <c r="D444" s="1049" t="s">
        <v>2180</v>
      </c>
      <c r="E444" s="1047"/>
      <c r="F444" s="383">
        <v>-620521.25</v>
      </c>
      <c r="G444" s="383">
        <v>0</v>
      </c>
      <c r="H444" s="1046">
        <v>0</v>
      </c>
      <c r="I444" s="1047"/>
      <c r="J444" s="383">
        <v>-620521.25</v>
      </c>
    </row>
    <row r="445" spans="1:13">
      <c r="A445" s="1050"/>
      <c r="B445" s="1051"/>
      <c r="C445" s="437" t="s">
        <v>12</v>
      </c>
      <c r="D445" s="1060" t="s">
        <v>111</v>
      </c>
      <c r="E445" s="1047"/>
      <c r="F445" s="474">
        <v>-620521.25</v>
      </c>
      <c r="G445" s="474">
        <v>0</v>
      </c>
      <c r="H445" s="1061">
        <v>0</v>
      </c>
      <c r="I445" s="1047"/>
      <c r="J445" s="474">
        <v>-620521.25</v>
      </c>
    </row>
    <row r="446" spans="1:13">
      <c r="A446" s="1051"/>
      <c r="B446" s="359" t="s">
        <v>12</v>
      </c>
      <c r="C446" s="359" t="s">
        <v>111</v>
      </c>
      <c r="D446" s="1059" t="s">
        <v>111</v>
      </c>
      <c r="E446" s="1047"/>
      <c r="F446" s="384">
        <v>229225282.80000001</v>
      </c>
      <c r="G446" s="384">
        <v>968193603.34000003</v>
      </c>
      <c r="H446" s="1048">
        <v>1263586243.1199999</v>
      </c>
      <c r="I446" s="1047"/>
      <c r="J446" s="384">
        <v>524617922.57999998</v>
      </c>
    </row>
    <row r="447" spans="1:13" ht="15" customHeight="1">
      <c r="A447" s="1049" t="s">
        <v>2717</v>
      </c>
      <c r="B447" s="1049" t="s">
        <v>2718</v>
      </c>
      <c r="C447" s="382" t="s">
        <v>2719</v>
      </c>
      <c r="D447" s="1049" t="s">
        <v>2720</v>
      </c>
      <c r="E447" s="1047"/>
      <c r="F447" s="383">
        <v>0</v>
      </c>
      <c r="G447" s="383">
        <v>10508.96</v>
      </c>
      <c r="H447" s="1046">
        <v>320809.88</v>
      </c>
      <c r="I447" s="1047"/>
      <c r="J447" s="383">
        <v>310300.92</v>
      </c>
    </row>
    <row r="448" spans="1:13">
      <c r="A448" s="1050"/>
      <c r="B448" s="1051"/>
      <c r="C448" s="437" t="s">
        <v>12</v>
      </c>
      <c r="D448" s="1060" t="s">
        <v>111</v>
      </c>
      <c r="E448" s="1047"/>
      <c r="F448" s="474">
        <v>0</v>
      </c>
      <c r="G448" s="474">
        <v>10508.96</v>
      </c>
      <c r="H448" s="1061">
        <v>320809.88</v>
      </c>
      <c r="I448" s="1047"/>
      <c r="J448" s="474">
        <v>310300.92</v>
      </c>
      <c r="K448" s="434"/>
      <c r="L448" s="441">
        <f>J448</f>
        <v>310300.92</v>
      </c>
    </row>
    <row r="449" spans="1:13" ht="15" customHeight="1">
      <c r="A449" s="1050"/>
      <c r="B449" s="1049" t="s">
        <v>2721</v>
      </c>
      <c r="C449" s="382" t="s">
        <v>2722</v>
      </c>
      <c r="D449" s="1049" t="s">
        <v>2181</v>
      </c>
      <c r="E449" s="1047"/>
      <c r="F449" s="383">
        <v>0</v>
      </c>
      <c r="G449" s="383">
        <v>378323.57</v>
      </c>
      <c r="H449" s="1046">
        <v>8169672.4800000004</v>
      </c>
      <c r="I449" s="1047"/>
      <c r="J449" s="383">
        <v>7791348.9100000001</v>
      </c>
    </row>
    <row r="450" spans="1:13" ht="15" customHeight="1">
      <c r="A450" s="1050"/>
      <c r="B450" s="1050"/>
      <c r="C450" s="382" t="s">
        <v>2723</v>
      </c>
      <c r="D450" s="1049" t="s">
        <v>3182</v>
      </c>
      <c r="E450" s="1047"/>
      <c r="F450" s="383">
        <v>0</v>
      </c>
      <c r="G450" s="383">
        <v>14552.52</v>
      </c>
      <c r="H450" s="1046">
        <v>486442.26</v>
      </c>
      <c r="I450" s="1047"/>
      <c r="J450" s="383">
        <v>471889.74</v>
      </c>
    </row>
    <row r="451" spans="1:13" ht="15" customHeight="1">
      <c r="A451" s="1050"/>
      <c r="B451" s="1050"/>
      <c r="C451" s="382" t="s">
        <v>2725</v>
      </c>
      <c r="D451" s="1049" t="s">
        <v>3183</v>
      </c>
      <c r="E451" s="1047"/>
      <c r="F451" s="383">
        <v>0</v>
      </c>
      <c r="G451" s="383">
        <v>265548.45</v>
      </c>
      <c r="H451" s="1046">
        <v>10386456.92</v>
      </c>
      <c r="I451" s="1047"/>
      <c r="J451" s="383">
        <v>10120908.470000001</v>
      </c>
    </row>
    <row r="452" spans="1:13" ht="15" customHeight="1">
      <c r="A452" s="1050"/>
      <c r="B452" s="1050"/>
      <c r="C452" s="382" t="s">
        <v>2727</v>
      </c>
      <c r="D452" s="1049" t="s">
        <v>3184</v>
      </c>
      <c r="E452" s="1047"/>
      <c r="F452" s="383">
        <v>0</v>
      </c>
      <c r="G452" s="383">
        <v>265378.57</v>
      </c>
      <c r="H452" s="1046">
        <v>9229376.9600000009</v>
      </c>
      <c r="I452" s="1047"/>
      <c r="J452" s="383">
        <v>8963998.3900000006</v>
      </c>
    </row>
    <row r="453" spans="1:13" ht="15" customHeight="1">
      <c r="A453" s="1050"/>
      <c r="B453" s="1050"/>
      <c r="C453" s="382" t="s">
        <v>2729</v>
      </c>
      <c r="D453" s="1049" t="s">
        <v>2182</v>
      </c>
      <c r="E453" s="1047"/>
      <c r="F453" s="383">
        <v>0</v>
      </c>
      <c r="G453" s="383">
        <v>326491.52000000002</v>
      </c>
      <c r="H453" s="1046">
        <v>16937444.68</v>
      </c>
      <c r="I453" s="1047"/>
      <c r="J453" s="383">
        <v>16610953.16</v>
      </c>
    </row>
    <row r="454" spans="1:13" ht="15" customHeight="1">
      <c r="A454" s="1050"/>
      <c r="B454" s="1050"/>
      <c r="C454" s="382" t="s">
        <v>2730</v>
      </c>
      <c r="D454" s="1049" t="s">
        <v>3185</v>
      </c>
      <c r="E454" s="1047"/>
      <c r="F454" s="383">
        <v>0</v>
      </c>
      <c r="G454" s="383">
        <v>255311</v>
      </c>
      <c r="H454" s="1046">
        <v>10225052.24</v>
      </c>
      <c r="I454" s="1047"/>
      <c r="J454" s="383">
        <v>9969741.2400000002</v>
      </c>
    </row>
    <row r="455" spans="1:13">
      <c r="A455" s="1050"/>
      <c r="B455" s="1051"/>
      <c r="C455" s="437" t="s">
        <v>12</v>
      </c>
      <c r="D455" s="1060" t="s">
        <v>111</v>
      </c>
      <c r="E455" s="1047"/>
      <c r="F455" s="474">
        <v>0</v>
      </c>
      <c r="G455" s="474">
        <v>1505605.63</v>
      </c>
      <c r="H455" s="1061">
        <v>55434445.539999999</v>
      </c>
      <c r="I455" s="1047"/>
      <c r="J455" s="474">
        <v>53928839.909999996</v>
      </c>
      <c r="M455" s="444">
        <f>J455</f>
        <v>53928839.909999996</v>
      </c>
    </row>
    <row r="456" spans="1:13" ht="15" customHeight="1">
      <c r="A456" s="1050"/>
      <c r="B456" s="1049" t="s">
        <v>2732</v>
      </c>
      <c r="C456" s="382" t="s">
        <v>3186</v>
      </c>
      <c r="D456" s="1049" t="s">
        <v>3187</v>
      </c>
      <c r="E456" s="1047"/>
      <c r="F456" s="383">
        <v>0</v>
      </c>
      <c r="G456" s="383">
        <v>262.5</v>
      </c>
      <c r="H456" s="1046">
        <v>1874.04</v>
      </c>
      <c r="I456" s="1047"/>
      <c r="J456" s="383">
        <v>1611.54</v>
      </c>
      <c r="M456" s="445"/>
    </row>
    <row r="457" spans="1:13" ht="15" customHeight="1">
      <c r="A457" s="1050"/>
      <c r="B457" s="1050"/>
      <c r="C457" s="382" t="s">
        <v>3188</v>
      </c>
      <c r="D457" s="1049" t="s">
        <v>3189</v>
      </c>
      <c r="E457" s="1047"/>
      <c r="F457" s="383">
        <v>0</v>
      </c>
      <c r="G457" s="383">
        <v>0.02</v>
      </c>
      <c r="H457" s="1046">
        <v>95.73</v>
      </c>
      <c r="I457" s="1047"/>
      <c r="J457" s="383">
        <v>95.71</v>
      </c>
      <c r="M457" s="445"/>
    </row>
    <row r="458" spans="1:13" ht="15" customHeight="1">
      <c r="A458" s="1050"/>
      <c r="B458" s="1050"/>
      <c r="C458" s="382" t="s">
        <v>2733</v>
      </c>
      <c r="D458" s="1049" t="s">
        <v>2183</v>
      </c>
      <c r="E458" s="1047"/>
      <c r="F458" s="383">
        <v>0</v>
      </c>
      <c r="G458" s="383">
        <v>21.44</v>
      </c>
      <c r="H458" s="1046">
        <v>75.16</v>
      </c>
      <c r="I458" s="1047"/>
      <c r="J458" s="383">
        <v>53.72</v>
      </c>
      <c r="M458" s="445"/>
    </row>
    <row r="459" spans="1:13">
      <c r="A459" s="1050"/>
      <c r="B459" s="1051"/>
      <c r="C459" s="437" t="s">
        <v>12</v>
      </c>
      <c r="D459" s="1060" t="s">
        <v>111</v>
      </c>
      <c r="E459" s="1047"/>
      <c r="F459" s="474">
        <v>0</v>
      </c>
      <c r="G459" s="474">
        <v>283.95999999999998</v>
      </c>
      <c r="H459" s="1061">
        <v>2044.93</v>
      </c>
      <c r="I459" s="1047"/>
      <c r="J459" s="474">
        <v>1760.97</v>
      </c>
      <c r="M459" s="444">
        <f t="shared" ref="M459:M464" si="0">J459</f>
        <v>1760.97</v>
      </c>
    </row>
    <row r="460" spans="1:13" ht="15" customHeight="1">
      <c r="A460" s="1050"/>
      <c r="B460" s="1049" t="s">
        <v>2734</v>
      </c>
      <c r="C460" s="382" t="s">
        <v>2735</v>
      </c>
      <c r="D460" s="1049" t="s">
        <v>3190</v>
      </c>
      <c r="E460" s="1047"/>
      <c r="F460" s="383">
        <v>0</v>
      </c>
      <c r="G460" s="383">
        <v>191.8</v>
      </c>
      <c r="H460" s="1046">
        <v>78404.820000000007</v>
      </c>
      <c r="I460" s="1047"/>
      <c r="J460" s="383">
        <v>78213.02</v>
      </c>
      <c r="M460" s="444">
        <f t="shared" si="0"/>
        <v>78213.02</v>
      </c>
    </row>
    <row r="461" spans="1:13" ht="15" customHeight="1">
      <c r="A461" s="1050"/>
      <c r="B461" s="1050"/>
      <c r="C461" s="382" t="s">
        <v>3191</v>
      </c>
      <c r="D461" s="1049" t="s">
        <v>3336</v>
      </c>
      <c r="E461" s="1047"/>
      <c r="F461" s="383">
        <v>0</v>
      </c>
      <c r="G461" s="383">
        <v>0</v>
      </c>
      <c r="H461" s="1046">
        <v>2077.86</v>
      </c>
      <c r="I461" s="1047"/>
      <c r="J461" s="383">
        <v>2077.86</v>
      </c>
      <c r="M461" s="444">
        <f t="shared" si="0"/>
        <v>2077.86</v>
      </c>
    </row>
    <row r="462" spans="1:13" ht="15" customHeight="1">
      <c r="A462" s="1050"/>
      <c r="B462" s="1050"/>
      <c r="C462" s="382" t="s">
        <v>2737</v>
      </c>
      <c r="D462" s="1049" t="s">
        <v>2184</v>
      </c>
      <c r="E462" s="1047"/>
      <c r="F462" s="383">
        <v>0</v>
      </c>
      <c r="G462" s="383">
        <v>0</v>
      </c>
      <c r="H462" s="1046">
        <v>39270.839999999997</v>
      </c>
      <c r="I462" s="1047"/>
      <c r="J462" s="383">
        <v>39270.839999999997</v>
      </c>
      <c r="M462" s="444">
        <f t="shared" si="0"/>
        <v>39270.839999999997</v>
      </c>
    </row>
    <row r="463" spans="1:13" ht="15" customHeight="1">
      <c r="A463" s="1050"/>
      <c r="B463" s="1050"/>
      <c r="C463" s="382" t="s">
        <v>2738</v>
      </c>
      <c r="D463" s="1049" t="s">
        <v>2739</v>
      </c>
      <c r="E463" s="1047"/>
      <c r="F463" s="383">
        <v>0</v>
      </c>
      <c r="G463" s="383">
        <v>0</v>
      </c>
      <c r="H463" s="1046">
        <v>52205.19</v>
      </c>
      <c r="I463" s="1047"/>
      <c r="J463" s="383">
        <v>52205.19</v>
      </c>
      <c r="M463" s="444">
        <f t="shared" si="0"/>
        <v>52205.19</v>
      </c>
    </row>
    <row r="464" spans="1:13" ht="15" customHeight="1">
      <c r="A464" s="1050"/>
      <c r="B464" s="1050"/>
      <c r="C464" s="382" t="s">
        <v>2740</v>
      </c>
      <c r="D464" s="1049" t="s">
        <v>2741</v>
      </c>
      <c r="E464" s="1047"/>
      <c r="F464" s="383">
        <v>0</v>
      </c>
      <c r="G464" s="383">
        <v>0</v>
      </c>
      <c r="H464" s="1046">
        <v>53970.14</v>
      </c>
      <c r="I464" s="1047"/>
      <c r="J464" s="383">
        <v>53970.14</v>
      </c>
      <c r="M464" s="444">
        <f t="shared" si="0"/>
        <v>53970.14</v>
      </c>
    </row>
    <row r="465" spans="1:13" ht="15" customHeight="1">
      <c r="A465" s="1050"/>
      <c r="B465" s="1050"/>
      <c r="C465" s="382" t="s">
        <v>2742</v>
      </c>
      <c r="D465" s="1049" t="s">
        <v>2743</v>
      </c>
      <c r="E465" s="1047"/>
      <c r="F465" s="383">
        <v>0</v>
      </c>
      <c r="G465" s="383">
        <v>0</v>
      </c>
      <c r="H465" s="1046">
        <v>11337.07</v>
      </c>
      <c r="I465" s="1047"/>
      <c r="J465" s="383">
        <v>11337.07</v>
      </c>
      <c r="L465" s="441">
        <f>J465</f>
        <v>11337.07</v>
      </c>
      <c r="M465" s="445"/>
    </row>
    <row r="466" spans="1:13" ht="15" customHeight="1">
      <c r="A466" s="1050"/>
      <c r="B466" s="1050"/>
      <c r="C466" s="382" t="s">
        <v>3195</v>
      </c>
      <c r="D466" s="1049" t="s">
        <v>2762</v>
      </c>
      <c r="E466" s="1047"/>
      <c r="F466" s="383">
        <v>0</v>
      </c>
      <c r="G466" s="383">
        <v>0</v>
      </c>
      <c r="H466" s="1046">
        <v>22794.98</v>
      </c>
      <c r="I466" s="1047"/>
      <c r="J466" s="383">
        <v>22794.98</v>
      </c>
      <c r="M466" s="444">
        <f>J466</f>
        <v>22794.98</v>
      </c>
    </row>
    <row r="467" spans="1:13">
      <c r="A467" s="1050"/>
      <c r="B467" s="1051"/>
      <c r="C467" s="437" t="s">
        <v>12</v>
      </c>
      <c r="D467" s="1060" t="s">
        <v>111</v>
      </c>
      <c r="E467" s="1047"/>
      <c r="F467" s="474">
        <v>0</v>
      </c>
      <c r="G467" s="474">
        <v>191.8</v>
      </c>
      <c r="H467" s="1061">
        <v>260060.9</v>
      </c>
      <c r="I467" s="1047"/>
      <c r="J467" s="474">
        <v>259869.1</v>
      </c>
      <c r="M467" s="445"/>
    </row>
    <row r="468" spans="1:13" ht="15" customHeight="1">
      <c r="A468" s="1050"/>
      <c r="B468" s="1049" t="s">
        <v>2744</v>
      </c>
      <c r="C468" s="382" t="s">
        <v>2745</v>
      </c>
      <c r="D468" s="1049" t="s">
        <v>2746</v>
      </c>
      <c r="E468" s="1047"/>
      <c r="F468" s="383">
        <v>0</v>
      </c>
      <c r="G468" s="383">
        <v>0</v>
      </c>
      <c r="H468" s="1046">
        <v>53488.02</v>
      </c>
      <c r="I468" s="1047"/>
      <c r="J468" s="383">
        <v>53488.02</v>
      </c>
      <c r="M468" s="444">
        <f>J468</f>
        <v>53488.02</v>
      </c>
    </row>
    <row r="469" spans="1:13" ht="15" customHeight="1">
      <c r="A469" s="1050"/>
      <c r="B469" s="1050"/>
      <c r="C469" s="382" t="s">
        <v>3196</v>
      </c>
      <c r="D469" s="1049" t="s">
        <v>3337</v>
      </c>
      <c r="E469" s="1047"/>
      <c r="F469" s="383">
        <v>0</v>
      </c>
      <c r="G469" s="383">
        <v>0</v>
      </c>
      <c r="H469" s="1046">
        <v>188.15</v>
      </c>
      <c r="I469" s="1047"/>
      <c r="J469" s="383">
        <v>188.15</v>
      </c>
      <c r="M469" s="444">
        <f>J469</f>
        <v>188.15</v>
      </c>
    </row>
    <row r="470" spans="1:13" ht="15" customHeight="1">
      <c r="A470" s="1050"/>
      <c r="B470" s="1050"/>
      <c r="C470" s="382" t="s">
        <v>2747</v>
      </c>
      <c r="D470" s="1049" t="s">
        <v>2184</v>
      </c>
      <c r="E470" s="1047"/>
      <c r="F470" s="383">
        <v>0</v>
      </c>
      <c r="G470" s="383">
        <v>0</v>
      </c>
      <c r="H470" s="1046">
        <v>28840.34</v>
      </c>
      <c r="I470" s="1047"/>
      <c r="J470" s="383">
        <v>28840.34</v>
      </c>
      <c r="M470" s="444">
        <f>J470</f>
        <v>28840.34</v>
      </c>
    </row>
    <row r="471" spans="1:13" ht="15" customHeight="1">
      <c r="A471" s="1050"/>
      <c r="B471" s="1050"/>
      <c r="C471" s="382" t="s">
        <v>2748</v>
      </c>
      <c r="D471" s="1049" t="s">
        <v>2749</v>
      </c>
      <c r="E471" s="1047"/>
      <c r="F471" s="383">
        <v>0</v>
      </c>
      <c r="G471" s="383">
        <v>0</v>
      </c>
      <c r="H471" s="1046">
        <v>26818.12</v>
      </c>
      <c r="I471" s="1047"/>
      <c r="J471" s="383">
        <v>26818.12</v>
      </c>
      <c r="M471" s="444">
        <f>J471</f>
        <v>26818.12</v>
      </c>
    </row>
    <row r="472" spans="1:13" ht="15" customHeight="1">
      <c r="A472" s="1050"/>
      <c r="B472" s="1050"/>
      <c r="C472" s="382" t="s">
        <v>2750</v>
      </c>
      <c r="D472" s="1049" t="s">
        <v>2741</v>
      </c>
      <c r="E472" s="1047"/>
      <c r="F472" s="383">
        <v>0</v>
      </c>
      <c r="G472" s="383">
        <v>0</v>
      </c>
      <c r="H472" s="1046">
        <v>20794.099999999999</v>
      </c>
      <c r="I472" s="1047"/>
      <c r="J472" s="383">
        <v>20794.099999999999</v>
      </c>
      <c r="M472" s="444">
        <f>J472</f>
        <v>20794.099999999999</v>
      </c>
    </row>
    <row r="473" spans="1:13" ht="15" customHeight="1">
      <c r="A473" s="1050"/>
      <c r="B473" s="1050"/>
      <c r="C473" s="382" t="s">
        <v>2751</v>
      </c>
      <c r="D473" s="1049" t="s">
        <v>3194</v>
      </c>
      <c r="E473" s="1047"/>
      <c r="F473" s="383">
        <v>0</v>
      </c>
      <c r="G473" s="383">
        <v>34.15</v>
      </c>
      <c r="H473" s="1046">
        <v>1631.66</v>
      </c>
      <c r="I473" s="1047"/>
      <c r="J473" s="383">
        <v>1597.51</v>
      </c>
      <c r="L473" s="441">
        <f>J473</f>
        <v>1597.51</v>
      </c>
      <c r="M473" s="445"/>
    </row>
    <row r="474" spans="1:13" ht="15" customHeight="1">
      <c r="A474" s="1050"/>
      <c r="B474" s="1050"/>
      <c r="C474" s="382" t="s">
        <v>3197</v>
      </c>
      <c r="D474" s="1049" t="s">
        <v>2762</v>
      </c>
      <c r="E474" s="1047"/>
      <c r="F474" s="383">
        <v>0</v>
      </c>
      <c r="G474" s="383">
        <v>0</v>
      </c>
      <c r="H474" s="1046">
        <v>1561.03</v>
      </c>
      <c r="I474" s="1047"/>
      <c r="J474" s="383">
        <v>1561.03</v>
      </c>
      <c r="M474" s="444">
        <f>J474</f>
        <v>1561.03</v>
      </c>
    </row>
    <row r="475" spans="1:13">
      <c r="A475" s="1050"/>
      <c r="B475" s="1051"/>
      <c r="C475" s="437" t="s">
        <v>12</v>
      </c>
      <c r="D475" s="1060" t="s">
        <v>111</v>
      </c>
      <c r="E475" s="1047"/>
      <c r="F475" s="474">
        <v>0</v>
      </c>
      <c r="G475" s="474">
        <v>34.15</v>
      </c>
      <c r="H475" s="1061">
        <v>133321.42000000001</v>
      </c>
      <c r="I475" s="1047"/>
      <c r="J475" s="474">
        <v>133287.26999999999</v>
      </c>
      <c r="M475" s="445"/>
    </row>
    <row r="476" spans="1:13" ht="15" customHeight="1">
      <c r="A476" s="1050"/>
      <c r="B476" s="1049" t="s">
        <v>3338</v>
      </c>
      <c r="C476" s="382" t="s">
        <v>3198</v>
      </c>
      <c r="D476" s="1049" t="s">
        <v>2746</v>
      </c>
      <c r="E476" s="1047"/>
      <c r="F476" s="383">
        <v>0</v>
      </c>
      <c r="G476" s="383">
        <v>0</v>
      </c>
      <c r="H476" s="1046">
        <v>43352.86</v>
      </c>
      <c r="I476" s="1047"/>
      <c r="J476" s="383">
        <v>43352.86</v>
      </c>
      <c r="M476" s="444">
        <f t="shared" ref="M476:M481" si="1">J476</f>
        <v>43352.86</v>
      </c>
    </row>
    <row r="477" spans="1:13" ht="15" customHeight="1">
      <c r="A477" s="1050"/>
      <c r="B477" s="1050"/>
      <c r="C477" s="382" t="s">
        <v>3199</v>
      </c>
      <c r="D477" s="1049" t="s">
        <v>3192</v>
      </c>
      <c r="E477" s="1047"/>
      <c r="F477" s="383">
        <v>0</v>
      </c>
      <c r="G477" s="383">
        <v>0</v>
      </c>
      <c r="H477" s="1046">
        <v>988.14</v>
      </c>
      <c r="I477" s="1047"/>
      <c r="J477" s="383">
        <v>988.14</v>
      </c>
      <c r="M477" s="444">
        <f t="shared" si="1"/>
        <v>988.14</v>
      </c>
    </row>
    <row r="478" spans="1:13" ht="15" customHeight="1">
      <c r="A478" s="1050"/>
      <c r="B478" s="1050"/>
      <c r="C478" s="382" t="s">
        <v>3200</v>
      </c>
      <c r="D478" s="1049" t="s">
        <v>2184</v>
      </c>
      <c r="E478" s="1047"/>
      <c r="F478" s="383">
        <v>0</v>
      </c>
      <c r="G478" s="383">
        <v>0</v>
      </c>
      <c r="H478" s="1046">
        <v>14697.41</v>
      </c>
      <c r="I478" s="1047"/>
      <c r="J478" s="383">
        <v>14697.41</v>
      </c>
      <c r="M478" s="444">
        <f t="shared" si="1"/>
        <v>14697.41</v>
      </c>
    </row>
    <row r="479" spans="1:13" ht="15" customHeight="1">
      <c r="A479" s="1050"/>
      <c r="B479" s="1050"/>
      <c r="C479" s="382" t="s">
        <v>3201</v>
      </c>
      <c r="D479" s="1049" t="s">
        <v>3339</v>
      </c>
      <c r="E479" s="1047"/>
      <c r="F479" s="383">
        <v>0</v>
      </c>
      <c r="G479" s="383">
        <v>0</v>
      </c>
      <c r="H479" s="1046">
        <v>18829.560000000001</v>
      </c>
      <c r="I479" s="1047"/>
      <c r="J479" s="383">
        <v>18829.560000000001</v>
      </c>
      <c r="M479" s="444">
        <f t="shared" si="1"/>
        <v>18829.560000000001</v>
      </c>
    </row>
    <row r="480" spans="1:13" ht="15" customHeight="1">
      <c r="A480" s="1050"/>
      <c r="B480" s="1050"/>
      <c r="C480" s="382" t="s">
        <v>3202</v>
      </c>
      <c r="D480" s="1049" t="s">
        <v>3193</v>
      </c>
      <c r="E480" s="1047"/>
      <c r="F480" s="383">
        <v>0</v>
      </c>
      <c r="G480" s="383">
        <v>267.92</v>
      </c>
      <c r="H480" s="1046">
        <v>24339.66</v>
      </c>
      <c r="I480" s="1047"/>
      <c r="J480" s="383">
        <v>24071.74</v>
      </c>
      <c r="M480" s="444">
        <f t="shared" si="1"/>
        <v>24071.74</v>
      </c>
    </row>
    <row r="481" spans="1:13" ht="15" customHeight="1">
      <c r="A481" s="1050"/>
      <c r="B481" s="1050"/>
      <c r="C481" s="382" t="s">
        <v>3203</v>
      </c>
      <c r="D481" s="1049" t="s">
        <v>2762</v>
      </c>
      <c r="E481" s="1047"/>
      <c r="F481" s="383">
        <v>0</v>
      </c>
      <c r="G481" s="383">
        <v>0</v>
      </c>
      <c r="H481" s="1046">
        <v>2013.66</v>
      </c>
      <c r="I481" s="1047"/>
      <c r="J481" s="383">
        <v>2013.66</v>
      </c>
      <c r="M481" s="444">
        <f t="shared" si="1"/>
        <v>2013.66</v>
      </c>
    </row>
    <row r="482" spans="1:13">
      <c r="A482" s="1050"/>
      <c r="B482" s="1051"/>
      <c r="C482" s="437" t="s">
        <v>12</v>
      </c>
      <c r="D482" s="1060" t="s">
        <v>111</v>
      </c>
      <c r="E482" s="1047"/>
      <c r="F482" s="474">
        <v>0</v>
      </c>
      <c r="G482" s="474">
        <v>267.92</v>
      </c>
      <c r="H482" s="1061">
        <v>104221.29</v>
      </c>
      <c r="I482" s="1047"/>
      <c r="J482" s="474">
        <v>103953.37</v>
      </c>
      <c r="M482" s="445"/>
    </row>
    <row r="483" spans="1:13" ht="15" customHeight="1">
      <c r="A483" s="1050"/>
      <c r="B483" s="1049" t="s">
        <v>2752</v>
      </c>
      <c r="C483" s="382" t="s">
        <v>2753</v>
      </c>
      <c r="D483" s="1049" t="s">
        <v>2185</v>
      </c>
      <c r="E483" s="1047"/>
      <c r="F483" s="383">
        <v>0</v>
      </c>
      <c r="G483" s="383">
        <v>150041.32</v>
      </c>
      <c r="H483" s="1046">
        <v>322292.78999999998</v>
      </c>
      <c r="I483" s="1047"/>
      <c r="J483" s="383">
        <v>172251.47</v>
      </c>
      <c r="M483" s="445"/>
    </row>
    <row r="484" spans="1:13" ht="15" customHeight="1">
      <c r="A484" s="1050"/>
      <c r="B484" s="1050"/>
      <c r="C484" s="382" t="s">
        <v>3204</v>
      </c>
      <c r="D484" s="1049" t="s">
        <v>3205</v>
      </c>
      <c r="E484" s="1047"/>
      <c r="F484" s="383">
        <v>0</v>
      </c>
      <c r="G484" s="383">
        <v>10483.49</v>
      </c>
      <c r="H484" s="1046">
        <v>27103.56</v>
      </c>
      <c r="I484" s="1047"/>
      <c r="J484" s="383">
        <v>16620.07</v>
      </c>
      <c r="M484" s="445"/>
    </row>
    <row r="485" spans="1:13" ht="15" customHeight="1">
      <c r="A485" s="1050"/>
      <c r="B485" s="1050"/>
      <c r="C485" s="382" t="s">
        <v>3206</v>
      </c>
      <c r="D485" s="1049" t="s">
        <v>3207</v>
      </c>
      <c r="E485" s="1047"/>
      <c r="F485" s="383">
        <v>0</v>
      </c>
      <c r="G485" s="383">
        <v>65459.06</v>
      </c>
      <c r="H485" s="1046">
        <v>213714.67</v>
      </c>
      <c r="I485" s="1047"/>
      <c r="J485" s="383">
        <v>148255.60999999999</v>
      </c>
      <c r="M485" s="445"/>
    </row>
    <row r="486" spans="1:13" ht="15" customHeight="1">
      <c r="A486" s="1050"/>
      <c r="B486" s="1050"/>
      <c r="C486" s="382" t="s">
        <v>3208</v>
      </c>
      <c r="D486" s="1049" t="s">
        <v>3209</v>
      </c>
      <c r="E486" s="1047"/>
      <c r="F486" s="383">
        <v>0</v>
      </c>
      <c r="G486" s="383">
        <v>55217.15</v>
      </c>
      <c r="H486" s="1046">
        <v>145159.14000000001</v>
      </c>
      <c r="I486" s="1047"/>
      <c r="J486" s="383">
        <v>89941.99</v>
      </c>
      <c r="M486" s="445"/>
    </row>
    <row r="487" spans="1:13" ht="15" customHeight="1">
      <c r="A487" s="1050"/>
      <c r="B487" s="1050"/>
      <c r="C487" s="382" t="s">
        <v>3210</v>
      </c>
      <c r="D487" s="1049" t="s">
        <v>3211</v>
      </c>
      <c r="E487" s="1047"/>
      <c r="F487" s="383">
        <v>0</v>
      </c>
      <c r="G487" s="383">
        <v>41807.21</v>
      </c>
      <c r="H487" s="1046">
        <v>149401.19</v>
      </c>
      <c r="I487" s="1047"/>
      <c r="J487" s="383">
        <v>107593.98</v>
      </c>
      <c r="M487" s="445"/>
    </row>
    <row r="488" spans="1:13" ht="15" customHeight="1">
      <c r="A488" s="1050"/>
      <c r="B488" s="1050"/>
      <c r="C488" s="382" t="s">
        <v>3212</v>
      </c>
      <c r="D488" s="1049" t="s">
        <v>3213</v>
      </c>
      <c r="E488" s="1047"/>
      <c r="F488" s="383">
        <v>0</v>
      </c>
      <c r="G488" s="383">
        <v>353.13</v>
      </c>
      <c r="H488" s="1046">
        <v>2084.56</v>
      </c>
      <c r="I488" s="1047"/>
      <c r="J488" s="383">
        <v>1731.43</v>
      </c>
      <c r="L488" s="441">
        <f>J488</f>
        <v>1731.43</v>
      </c>
      <c r="M488" s="445"/>
    </row>
    <row r="489" spans="1:13" ht="15" customHeight="1">
      <c r="A489" s="1050"/>
      <c r="B489" s="1050"/>
      <c r="C489" s="382" t="s">
        <v>3214</v>
      </c>
      <c r="D489" s="1049" t="s">
        <v>3215</v>
      </c>
      <c r="E489" s="1047"/>
      <c r="F489" s="383">
        <v>0</v>
      </c>
      <c r="G489" s="383">
        <v>9028.74</v>
      </c>
      <c r="H489" s="1046">
        <v>38118.94</v>
      </c>
      <c r="I489" s="1047"/>
      <c r="J489" s="383">
        <v>29090.2</v>
      </c>
      <c r="K489" s="431">
        <f>K490-J490</f>
        <v>54935473.25</v>
      </c>
      <c r="M489" s="445"/>
    </row>
    <row r="490" spans="1:13">
      <c r="A490" s="1050"/>
      <c r="B490" s="1051"/>
      <c r="C490" s="437" t="s">
        <v>12</v>
      </c>
      <c r="D490" s="1060" t="s">
        <v>111</v>
      </c>
      <c r="E490" s="1047"/>
      <c r="F490" s="474">
        <v>0</v>
      </c>
      <c r="G490" s="474">
        <v>332390.09999999998</v>
      </c>
      <c r="H490" s="1061">
        <v>897874.85</v>
      </c>
      <c r="I490" s="1047"/>
      <c r="J490" s="474">
        <v>565484.75</v>
      </c>
      <c r="K490" s="429">
        <v>55500958</v>
      </c>
      <c r="M490" s="445"/>
    </row>
    <row r="491" spans="1:13" ht="15" customHeight="1">
      <c r="A491" s="1050"/>
      <c r="B491" s="1049" t="s">
        <v>2754</v>
      </c>
      <c r="C491" s="382" t="s">
        <v>2755</v>
      </c>
      <c r="D491" s="1049" t="s">
        <v>2746</v>
      </c>
      <c r="E491" s="1047"/>
      <c r="F491" s="383">
        <v>0</v>
      </c>
      <c r="G491" s="383">
        <v>190424.56</v>
      </c>
      <c r="H491" s="1046">
        <v>251562.94</v>
      </c>
      <c r="I491" s="1047"/>
      <c r="J491" s="383">
        <v>61138.38</v>
      </c>
      <c r="K491" s="440">
        <f>J490-J488</f>
        <v>563753.31999999995</v>
      </c>
      <c r="M491" s="444">
        <f>J491</f>
        <v>61138.38</v>
      </c>
    </row>
    <row r="492" spans="1:13" ht="15" customHeight="1">
      <c r="A492" s="1050"/>
      <c r="B492" s="1050"/>
      <c r="C492" s="382" t="s">
        <v>3216</v>
      </c>
      <c r="D492" s="1049" t="s">
        <v>3340</v>
      </c>
      <c r="E492" s="1047"/>
      <c r="F492" s="383">
        <v>0</v>
      </c>
      <c r="G492" s="383">
        <v>8678.2199999999993</v>
      </c>
      <c r="H492" s="1046">
        <v>14489.22</v>
      </c>
      <c r="I492" s="1047"/>
      <c r="J492" s="383">
        <v>5811</v>
      </c>
      <c r="M492" s="444">
        <f>J492</f>
        <v>5811</v>
      </c>
    </row>
    <row r="493" spans="1:13" ht="15" customHeight="1">
      <c r="A493" s="1050"/>
      <c r="B493" s="1050"/>
      <c r="C493" s="382" t="s">
        <v>2756</v>
      </c>
      <c r="D493" s="1049" t="s">
        <v>2184</v>
      </c>
      <c r="E493" s="1047"/>
      <c r="F493" s="383">
        <v>0</v>
      </c>
      <c r="G493" s="383">
        <v>106945.83</v>
      </c>
      <c r="H493" s="1046">
        <v>173557.54</v>
      </c>
      <c r="I493" s="1047"/>
      <c r="J493" s="383">
        <v>66611.710000000006</v>
      </c>
      <c r="M493" s="444">
        <f>J493</f>
        <v>66611.710000000006</v>
      </c>
    </row>
    <row r="494" spans="1:13" ht="15" customHeight="1">
      <c r="A494" s="1050"/>
      <c r="B494" s="1050"/>
      <c r="C494" s="382" t="s">
        <v>2757</v>
      </c>
      <c r="D494" s="1049" t="s">
        <v>2758</v>
      </c>
      <c r="E494" s="1047"/>
      <c r="F494" s="383">
        <v>0</v>
      </c>
      <c r="G494" s="383">
        <v>57246.31</v>
      </c>
      <c r="H494" s="1046">
        <v>87463.62</v>
      </c>
      <c r="I494" s="1047"/>
      <c r="J494" s="383">
        <v>30217.31</v>
      </c>
      <c r="M494" s="444">
        <f>J494</f>
        <v>30217.31</v>
      </c>
    </row>
    <row r="495" spans="1:13" ht="15" customHeight="1">
      <c r="A495" s="1050"/>
      <c r="B495" s="1050"/>
      <c r="C495" s="382" t="s">
        <v>2759</v>
      </c>
      <c r="D495" s="1049" t="s">
        <v>2741</v>
      </c>
      <c r="E495" s="1047"/>
      <c r="F495" s="383">
        <v>0</v>
      </c>
      <c r="G495" s="383">
        <v>33481.910000000003</v>
      </c>
      <c r="H495" s="1046">
        <v>62145.73</v>
      </c>
      <c r="I495" s="1047"/>
      <c r="J495" s="383">
        <v>28663.82</v>
      </c>
      <c r="M495" s="444">
        <f>J495</f>
        <v>28663.82</v>
      </c>
    </row>
    <row r="496" spans="1:13" ht="15" customHeight="1">
      <c r="A496" s="1050"/>
      <c r="B496" s="1050"/>
      <c r="C496" s="382" t="s">
        <v>2760</v>
      </c>
      <c r="D496" s="1049" t="s">
        <v>2743</v>
      </c>
      <c r="E496" s="1047"/>
      <c r="F496" s="383">
        <v>0</v>
      </c>
      <c r="G496" s="383">
        <v>53.25</v>
      </c>
      <c r="H496" s="1046">
        <v>190.88</v>
      </c>
      <c r="I496" s="1047"/>
      <c r="J496" s="383">
        <v>137.63</v>
      </c>
      <c r="L496" s="441">
        <f>J496</f>
        <v>137.63</v>
      </c>
      <c r="M496" s="445"/>
    </row>
    <row r="497" spans="1:13" ht="15" customHeight="1">
      <c r="A497" s="1050"/>
      <c r="B497" s="1050"/>
      <c r="C497" s="382" t="s">
        <v>2761</v>
      </c>
      <c r="D497" s="1049" t="s">
        <v>2762</v>
      </c>
      <c r="E497" s="1047"/>
      <c r="F497" s="383">
        <v>0</v>
      </c>
      <c r="G497" s="383">
        <v>2694.11</v>
      </c>
      <c r="H497" s="1046">
        <v>7575.91</v>
      </c>
      <c r="I497" s="1047"/>
      <c r="J497" s="383">
        <v>4881.8</v>
      </c>
      <c r="L497" s="434">
        <f>SUM(L448:L496)</f>
        <v>325104.56</v>
      </c>
      <c r="M497" s="444">
        <f>J497</f>
        <v>4881.8</v>
      </c>
    </row>
    <row r="498" spans="1:13">
      <c r="A498" s="1050"/>
      <c r="B498" s="1051"/>
      <c r="C498" s="437" t="s">
        <v>12</v>
      </c>
      <c r="D498" s="1060" t="s">
        <v>111</v>
      </c>
      <c r="E498" s="1047"/>
      <c r="F498" s="474">
        <v>0</v>
      </c>
      <c r="G498" s="474">
        <v>399524.19</v>
      </c>
      <c r="H498" s="1061">
        <v>596985.84</v>
      </c>
      <c r="I498" s="1047"/>
      <c r="J498" s="474">
        <v>197461.65</v>
      </c>
      <c r="M498" s="442">
        <f>SUM(M455:M497)</f>
        <v>54612100.060000002</v>
      </c>
    </row>
    <row r="499" spans="1:13" ht="15" customHeight="1">
      <c r="A499" s="1050"/>
      <c r="B499" s="1049" t="s">
        <v>2763</v>
      </c>
      <c r="C499" s="382" t="s">
        <v>3217</v>
      </c>
      <c r="D499" s="1049" t="s">
        <v>3218</v>
      </c>
      <c r="E499" s="1047"/>
      <c r="F499" s="383">
        <v>0</v>
      </c>
      <c r="G499" s="383">
        <v>486483.28</v>
      </c>
      <c r="H499" s="1046">
        <v>921819.5</v>
      </c>
      <c r="I499" s="1047"/>
      <c r="J499" s="383">
        <v>435336.22</v>
      </c>
      <c r="M499" s="431" t="e">
        <f>#REF!</f>
        <v>#REF!</v>
      </c>
    </row>
    <row r="500" spans="1:13" ht="15" customHeight="1">
      <c r="A500" s="1050"/>
      <c r="B500" s="1050"/>
      <c r="C500" s="382" t="s">
        <v>3219</v>
      </c>
      <c r="D500" s="1049" t="s">
        <v>3220</v>
      </c>
      <c r="E500" s="1047"/>
      <c r="F500" s="383">
        <v>0</v>
      </c>
      <c r="G500" s="383">
        <v>424021.02</v>
      </c>
      <c r="H500" s="1046">
        <v>667258.97</v>
      </c>
      <c r="I500" s="1047"/>
      <c r="J500" s="383">
        <v>243237.95</v>
      </c>
      <c r="M500" s="443" t="e">
        <f>M498-M499</f>
        <v>#REF!</v>
      </c>
    </row>
    <row r="501" spans="1:13" ht="15" customHeight="1">
      <c r="A501" s="1050"/>
      <c r="B501" s="1050"/>
      <c r="C501" s="382" t="s">
        <v>2764</v>
      </c>
      <c r="D501" s="1049" t="s">
        <v>2186</v>
      </c>
      <c r="E501" s="1047"/>
      <c r="F501" s="383">
        <v>0</v>
      </c>
      <c r="G501" s="383">
        <v>4189.5</v>
      </c>
      <c r="H501" s="1046">
        <v>1277598.76</v>
      </c>
      <c r="I501" s="1047"/>
      <c r="J501" s="383">
        <v>1273409.26</v>
      </c>
    </row>
    <row r="502" spans="1:13" ht="15" customHeight="1">
      <c r="A502" s="1050"/>
      <c r="B502" s="1050"/>
      <c r="C502" s="382" t="s">
        <v>2765</v>
      </c>
      <c r="D502" s="1049" t="s">
        <v>2187</v>
      </c>
      <c r="E502" s="1047"/>
      <c r="F502" s="383">
        <v>0</v>
      </c>
      <c r="G502" s="383">
        <v>38.5</v>
      </c>
      <c r="H502" s="1046">
        <v>355946.11</v>
      </c>
      <c r="I502" s="1047"/>
      <c r="J502" s="383">
        <v>355907.61</v>
      </c>
    </row>
    <row r="503" spans="1:13" ht="15" customHeight="1">
      <c r="A503" s="1050"/>
      <c r="B503" s="1050"/>
      <c r="C503" s="382" t="s">
        <v>2766</v>
      </c>
      <c r="D503" s="1049" t="s">
        <v>2188</v>
      </c>
      <c r="E503" s="1047"/>
      <c r="F503" s="383">
        <v>0</v>
      </c>
      <c r="G503" s="383">
        <v>486483.28</v>
      </c>
      <c r="H503" s="1046">
        <v>1174121.83</v>
      </c>
      <c r="I503" s="1047"/>
      <c r="J503" s="383">
        <v>687638.55</v>
      </c>
    </row>
    <row r="504" spans="1:13" ht="15" customHeight="1">
      <c r="A504" s="1050"/>
      <c r="B504" s="1050"/>
      <c r="C504" s="382" t="s">
        <v>3221</v>
      </c>
      <c r="D504" s="1049" t="s">
        <v>3222</v>
      </c>
      <c r="E504" s="1047"/>
      <c r="F504" s="383">
        <v>0</v>
      </c>
      <c r="G504" s="383">
        <v>424021.02</v>
      </c>
      <c r="H504" s="1046">
        <v>656363.29</v>
      </c>
      <c r="I504" s="1047"/>
      <c r="J504" s="383">
        <v>232342.27</v>
      </c>
    </row>
    <row r="505" spans="1:13" ht="15" customHeight="1">
      <c r="A505" s="1050"/>
      <c r="B505" s="1050"/>
      <c r="C505" s="382" t="s">
        <v>2767</v>
      </c>
      <c r="D505" s="1049" t="s">
        <v>2189</v>
      </c>
      <c r="E505" s="1047"/>
      <c r="F505" s="383">
        <v>0</v>
      </c>
      <c r="G505" s="383">
        <v>4854.5</v>
      </c>
      <c r="H505" s="1046">
        <v>1894465.31</v>
      </c>
      <c r="I505" s="1047"/>
      <c r="J505" s="383">
        <v>1889610.81</v>
      </c>
    </row>
    <row r="506" spans="1:13" ht="15" customHeight="1">
      <c r="A506" s="1050"/>
      <c r="B506" s="1050"/>
      <c r="C506" s="382" t="s">
        <v>2768</v>
      </c>
      <c r="D506" s="1049" t="s">
        <v>2190</v>
      </c>
      <c r="E506" s="1047"/>
      <c r="F506" s="383">
        <v>0</v>
      </c>
      <c r="G506" s="383">
        <v>486483.28</v>
      </c>
      <c r="H506" s="1046">
        <v>1066090.33</v>
      </c>
      <c r="I506" s="1047"/>
      <c r="J506" s="383">
        <v>579607.05000000005</v>
      </c>
    </row>
    <row r="507" spans="1:13" ht="15" customHeight="1">
      <c r="A507" s="1050"/>
      <c r="B507" s="1050"/>
      <c r="C507" s="382" t="s">
        <v>3223</v>
      </c>
      <c r="D507" s="1049" t="s">
        <v>3224</v>
      </c>
      <c r="E507" s="1047"/>
      <c r="F507" s="383">
        <v>0</v>
      </c>
      <c r="G507" s="383">
        <v>427344.14</v>
      </c>
      <c r="H507" s="1046">
        <v>650811.98</v>
      </c>
      <c r="I507" s="1047"/>
      <c r="J507" s="383">
        <v>223467.84</v>
      </c>
    </row>
    <row r="508" spans="1:13" ht="15" customHeight="1">
      <c r="A508" s="1050"/>
      <c r="B508" s="1050"/>
      <c r="C508" s="382" t="s">
        <v>2769</v>
      </c>
      <c r="D508" s="1049" t="s">
        <v>2191</v>
      </c>
      <c r="E508" s="1047"/>
      <c r="F508" s="383">
        <v>0</v>
      </c>
      <c r="G508" s="383">
        <v>3940</v>
      </c>
      <c r="H508" s="1046">
        <v>1264983.8400000001</v>
      </c>
      <c r="I508" s="1047"/>
      <c r="J508" s="383">
        <v>1261043.8400000001</v>
      </c>
    </row>
    <row r="509" spans="1:13" ht="15" customHeight="1">
      <c r="A509" s="1050"/>
      <c r="B509" s="1050"/>
      <c r="C509" s="382" t="s">
        <v>2770</v>
      </c>
      <c r="D509" s="1049" t="s">
        <v>2192</v>
      </c>
      <c r="E509" s="1047"/>
      <c r="F509" s="383">
        <v>0</v>
      </c>
      <c r="G509" s="383">
        <v>700</v>
      </c>
      <c r="H509" s="1046">
        <v>180350</v>
      </c>
      <c r="I509" s="1047"/>
      <c r="J509" s="383">
        <v>179650</v>
      </c>
    </row>
    <row r="510" spans="1:13" ht="15" customHeight="1">
      <c r="A510" s="1050"/>
      <c r="B510" s="1050"/>
      <c r="C510" s="382" t="s">
        <v>2771</v>
      </c>
      <c r="D510" s="1049" t="s">
        <v>2193</v>
      </c>
      <c r="E510" s="1047"/>
      <c r="F510" s="383">
        <v>0</v>
      </c>
      <c r="G510" s="383">
        <v>2400</v>
      </c>
      <c r="H510" s="1046">
        <v>723780.42</v>
      </c>
      <c r="I510" s="1047"/>
      <c r="J510" s="383">
        <v>721380.42</v>
      </c>
    </row>
    <row r="511" spans="1:13" ht="15" customHeight="1">
      <c r="A511" s="1050"/>
      <c r="B511" s="1050"/>
      <c r="C511" s="382" t="s">
        <v>2772</v>
      </c>
      <c r="D511" s="1049" t="s">
        <v>2165</v>
      </c>
      <c r="E511" s="1047"/>
      <c r="F511" s="383">
        <v>0</v>
      </c>
      <c r="G511" s="383">
        <v>487187.13</v>
      </c>
      <c r="H511" s="1046">
        <v>2602991.5</v>
      </c>
      <c r="I511" s="1047"/>
      <c r="J511" s="383">
        <v>2115804.37</v>
      </c>
    </row>
    <row r="512" spans="1:13" ht="15" customHeight="1">
      <c r="A512" s="1050"/>
      <c r="B512" s="1050"/>
      <c r="C512" s="382" t="s">
        <v>2773</v>
      </c>
      <c r="D512" s="1049" t="s">
        <v>2194</v>
      </c>
      <c r="E512" s="1047"/>
      <c r="F512" s="383">
        <v>0</v>
      </c>
      <c r="G512" s="383">
        <v>433476.61</v>
      </c>
      <c r="H512" s="1046">
        <v>1590739.47</v>
      </c>
      <c r="I512" s="1047"/>
      <c r="J512" s="383">
        <v>1157262.8600000001</v>
      </c>
    </row>
    <row r="513" spans="1:12" ht="15" customHeight="1">
      <c r="A513" s="1050"/>
      <c r="B513" s="1050"/>
      <c r="C513" s="382" t="s">
        <v>2774</v>
      </c>
      <c r="D513" s="1049" t="s">
        <v>2195</v>
      </c>
      <c r="E513" s="1047"/>
      <c r="F513" s="383">
        <v>0</v>
      </c>
      <c r="G513" s="383">
        <v>3600</v>
      </c>
      <c r="H513" s="1046">
        <v>2222538</v>
      </c>
      <c r="I513" s="1047"/>
      <c r="J513" s="383">
        <v>2218938</v>
      </c>
    </row>
    <row r="514" spans="1:12" ht="15" customHeight="1">
      <c r="A514" s="1050"/>
      <c r="B514" s="1050"/>
      <c r="C514" s="382" t="s">
        <v>2775</v>
      </c>
      <c r="D514" s="1049" t="s">
        <v>2196</v>
      </c>
      <c r="E514" s="1047"/>
      <c r="F514" s="383">
        <v>0</v>
      </c>
      <c r="G514" s="383">
        <v>300</v>
      </c>
      <c r="H514" s="1046">
        <v>175100</v>
      </c>
      <c r="I514" s="1047"/>
      <c r="J514" s="383">
        <v>174800</v>
      </c>
    </row>
    <row r="515" spans="1:12" ht="15" customHeight="1">
      <c r="A515" s="1050"/>
      <c r="B515" s="1050"/>
      <c r="C515" s="382" t="s">
        <v>2776</v>
      </c>
      <c r="D515" s="1049" t="s">
        <v>2197</v>
      </c>
      <c r="E515" s="1047"/>
      <c r="F515" s="383">
        <v>0</v>
      </c>
      <c r="G515" s="383">
        <v>1600</v>
      </c>
      <c r="H515" s="1046">
        <v>1111696.5</v>
      </c>
      <c r="I515" s="1047"/>
      <c r="J515" s="383">
        <v>1110096.5</v>
      </c>
    </row>
    <row r="516" spans="1:12" ht="15" customHeight="1">
      <c r="A516" s="1050"/>
      <c r="B516" s="1050"/>
      <c r="C516" s="382" t="s">
        <v>3225</v>
      </c>
      <c r="D516" s="1049" t="s">
        <v>3226</v>
      </c>
      <c r="E516" s="1047"/>
      <c r="F516" s="383">
        <v>0</v>
      </c>
      <c r="G516" s="383">
        <v>486483.28</v>
      </c>
      <c r="H516" s="1046">
        <v>1124629.1399999999</v>
      </c>
      <c r="I516" s="1047"/>
      <c r="J516" s="383">
        <v>638145.86</v>
      </c>
    </row>
    <row r="517" spans="1:12" ht="15" customHeight="1">
      <c r="A517" s="1050"/>
      <c r="B517" s="1050"/>
      <c r="C517" s="382" t="s">
        <v>3227</v>
      </c>
      <c r="D517" s="1049" t="s">
        <v>3228</v>
      </c>
      <c r="E517" s="1047"/>
      <c r="F517" s="383">
        <v>0</v>
      </c>
      <c r="G517" s="383">
        <v>424021.02</v>
      </c>
      <c r="H517" s="1046">
        <v>638145.04</v>
      </c>
      <c r="I517" s="1047"/>
      <c r="J517" s="383">
        <v>214124.02</v>
      </c>
    </row>
    <row r="518" spans="1:12" ht="15" customHeight="1">
      <c r="A518" s="1050"/>
      <c r="B518" s="1050"/>
      <c r="C518" s="382" t="s">
        <v>2777</v>
      </c>
      <c r="D518" s="1049" t="s">
        <v>2198</v>
      </c>
      <c r="E518" s="1047"/>
      <c r="F518" s="383">
        <v>0</v>
      </c>
      <c r="G518" s="383">
        <v>1000</v>
      </c>
      <c r="H518" s="1046">
        <v>102000</v>
      </c>
      <c r="I518" s="1047"/>
      <c r="J518" s="383">
        <v>101000</v>
      </c>
    </row>
    <row r="519" spans="1:12" ht="15" customHeight="1">
      <c r="A519" s="1050"/>
      <c r="B519" s="1050"/>
      <c r="C519" s="382" t="s">
        <v>2778</v>
      </c>
      <c r="D519" s="1049" t="s">
        <v>2199</v>
      </c>
      <c r="E519" s="1047"/>
      <c r="F519" s="383">
        <v>0</v>
      </c>
      <c r="G519" s="383">
        <v>200</v>
      </c>
      <c r="H519" s="1046">
        <v>20400</v>
      </c>
      <c r="I519" s="1047"/>
      <c r="J519" s="383">
        <v>20200</v>
      </c>
    </row>
    <row r="520" spans="1:12" ht="15" customHeight="1">
      <c r="A520" s="1050"/>
      <c r="B520" s="1050"/>
      <c r="C520" s="382" t="s">
        <v>2779</v>
      </c>
      <c r="D520" s="1049" t="s">
        <v>2200</v>
      </c>
      <c r="E520" s="1047"/>
      <c r="F520" s="383">
        <v>0</v>
      </c>
      <c r="G520" s="383">
        <v>14000</v>
      </c>
      <c r="H520" s="1046">
        <v>446300</v>
      </c>
      <c r="I520" s="1047"/>
      <c r="J520" s="383">
        <v>432300</v>
      </c>
    </row>
    <row r="521" spans="1:12" ht="15" customHeight="1">
      <c r="A521" s="1050"/>
      <c r="B521" s="1050"/>
      <c r="C521" s="382" t="s">
        <v>2780</v>
      </c>
      <c r="D521" s="1049" t="s">
        <v>2201</v>
      </c>
      <c r="E521" s="1047"/>
      <c r="F521" s="383">
        <v>0</v>
      </c>
      <c r="G521" s="383">
        <v>1600</v>
      </c>
      <c r="H521" s="1046">
        <v>389125</v>
      </c>
      <c r="I521" s="1047"/>
      <c r="J521" s="383">
        <v>387525</v>
      </c>
    </row>
    <row r="522" spans="1:12" ht="15" customHeight="1">
      <c r="A522" s="1050"/>
      <c r="B522" s="1050"/>
      <c r="C522" s="382" t="s">
        <v>3229</v>
      </c>
      <c r="D522" s="1049" t="s">
        <v>3230</v>
      </c>
      <c r="E522" s="1047"/>
      <c r="F522" s="383">
        <v>0</v>
      </c>
      <c r="G522" s="383">
        <v>0</v>
      </c>
      <c r="H522" s="1046">
        <v>149361.32</v>
      </c>
      <c r="I522" s="1047"/>
      <c r="J522" s="383">
        <v>149361.32</v>
      </c>
    </row>
    <row r="523" spans="1:12">
      <c r="A523" s="1050"/>
      <c r="B523" s="1051"/>
      <c r="C523" s="437" t="s">
        <v>12</v>
      </c>
      <c r="D523" s="1060" t="s">
        <v>111</v>
      </c>
      <c r="E523" s="1047"/>
      <c r="F523" s="474">
        <v>0</v>
      </c>
      <c r="G523" s="474">
        <v>4604426.5599999996</v>
      </c>
      <c r="H523" s="1061">
        <v>21406616.309999999</v>
      </c>
      <c r="I523" s="1047"/>
      <c r="J523" s="474">
        <v>16802189.75</v>
      </c>
      <c r="K523" s="452">
        <f>J523</f>
        <v>16802189.75</v>
      </c>
    </row>
    <row r="524" spans="1:12" ht="15" customHeight="1">
      <c r="A524" s="1050"/>
      <c r="B524" s="1049" t="s">
        <v>2781</v>
      </c>
      <c r="C524" s="382" t="s">
        <v>2782</v>
      </c>
      <c r="D524" s="1049" t="s">
        <v>2202</v>
      </c>
      <c r="E524" s="1047"/>
      <c r="F524" s="383">
        <v>0</v>
      </c>
      <c r="G524" s="383">
        <v>0</v>
      </c>
      <c r="H524" s="1046">
        <v>1495977.06</v>
      </c>
      <c r="I524" s="1047"/>
      <c r="J524" s="383">
        <v>1495977.06</v>
      </c>
      <c r="K524" s="453"/>
    </row>
    <row r="525" spans="1:12">
      <c r="A525" s="1050"/>
      <c r="B525" s="1051"/>
      <c r="C525" s="437" t="s">
        <v>12</v>
      </c>
      <c r="D525" s="1060" t="s">
        <v>111</v>
      </c>
      <c r="E525" s="1047"/>
      <c r="F525" s="474">
        <v>0</v>
      </c>
      <c r="G525" s="474">
        <v>0</v>
      </c>
      <c r="H525" s="1061">
        <v>1495977.06</v>
      </c>
      <c r="I525" s="1047"/>
      <c r="J525" s="474">
        <v>1495977.06</v>
      </c>
      <c r="K525" s="452">
        <f>J525</f>
        <v>1495977.06</v>
      </c>
    </row>
    <row r="526" spans="1:12" ht="15" customHeight="1">
      <c r="A526" s="1050"/>
      <c r="B526" s="1049" t="s">
        <v>2783</v>
      </c>
      <c r="C526" s="382" t="s">
        <v>2784</v>
      </c>
      <c r="D526" s="1049" t="s">
        <v>2203</v>
      </c>
      <c r="E526" s="1047"/>
      <c r="F526" s="383">
        <v>0</v>
      </c>
      <c r="G526" s="383">
        <v>1490.41</v>
      </c>
      <c r="H526" s="1046">
        <v>445141.58</v>
      </c>
      <c r="I526" s="1047"/>
      <c r="J526" s="383">
        <v>443651.17</v>
      </c>
      <c r="K526" s="453"/>
    </row>
    <row r="527" spans="1:12" ht="15" customHeight="1">
      <c r="A527" s="1050"/>
      <c r="B527" s="1050"/>
      <c r="C527" s="382" t="s">
        <v>2785</v>
      </c>
      <c r="D527" s="1049" t="s">
        <v>2204</v>
      </c>
      <c r="E527" s="1047"/>
      <c r="F527" s="383">
        <v>0</v>
      </c>
      <c r="G527" s="383">
        <v>0</v>
      </c>
      <c r="H527" s="1046">
        <v>0</v>
      </c>
      <c r="I527" s="1047"/>
      <c r="J527" s="383">
        <v>0</v>
      </c>
      <c r="K527" s="453"/>
    </row>
    <row r="528" spans="1:12">
      <c r="A528" s="1050"/>
      <c r="B528" s="1051"/>
      <c r="C528" s="437" t="s">
        <v>12</v>
      </c>
      <c r="D528" s="1060" t="s">
        <v>111</v>
      </c>
      <c r="E528" s="1047"/>
      <c r="F528" s="474">
        <v>0</v>
      </c>
      <c r="G528" s="474">
        <v>1490.41</v>
      </c>
      <c r="H528" s="1061">
        <v>445141.58</v>
      </c>
      <c r="I528" s="1047"/>
      <c r="J528" s="474">
        <v>443651.17</v>
      </c>
      <c r="K528" s="453"/>
      <c r="L528" s="440">
        <f>J528+J530+J547</f>
        <v>445277.89999999997</v>
      </c>
    </row>
    <row r="529" spans="1:13" ht="15" customHeight="1">
      <c r="A529" s="1050"/>
      <c r="B529" s="1049" t="s">
        <v>2786</v>
      </c>
      <c r="C529" s="382" t="s">
        <v>2787</v>
      </c>
      <c r="D529" s="1049" t="s">
        <v>2205</v>
      </c>
      <c r="E529" s="1047"/>
      <c r="F529" s="383">
        <v>0</v>
      </c>
      <c r="G529" s="383">
        <v>37.44</v>
      </c>
      <c r="H529" s="1046">
        <v>1139.17</v>
      </c>
      <c r="I529" s="1047"/>
      <c r="J529" s="383">
        <v>1101.73</v>
      </c>
      <c r="K529" s="453"/>
      <c r="M529" s="471"/>
    </row>
    <row r="530" spans="1:13">
      <c r="A530" s="1050"/>
      <c r="B530" s="1051"/>
      <c r="C530" s="437" t="s">
        <v>12</v>
      </c>
      <c r="D530" s="1060" t="s">
        <v>111</v>
      </c>
      <c r="E530" s="1047"/>
      <c r="F530" s="474">
        <v>0</v>
      </c>
      <c r="G530" s="474">
        <v>37.44</v>
      </c>
      <c r="H530" s="1061">
        <v>1139.17</v>
      </c>
      <c r="I530" s="1047"/>
      <c r="J530" s="474">
        <v>1101.73</v>
      </c>
      <c r="K530" s="453"/>
    </row>
    <row r="531" spans="1:13" ht="15" customHeight="1">
      <c r="A531" s="1050"/>
      <c r="B531" s="1049" t="s">
        <v>2788</v>
      </c>
      <c r="C531" s="382" t="s">
        <v>2789</v>
      </c>
      <c r="D531" s="1049" t="s">
        <v>2206</v>
      </c>
      <c r="E531" s="1047"/>
      <c r="F531" s="383">
        <v>0</v>
      </c>
      <c r="G531" s="383">
        <v>0</v>
      </c>
      <c r="H531" s="1046">
        <v>845.23</v>
      </c>
      <c r="I531" s="1047"/>
      <c r="J531" s="383">
        <v>845.23</v>
      </c>
      <c r="K531" s="453"/>
    </row>
    <row r="532" spans="1:13">
      <c r="A532" s="1050"/>
      <c r="B532" s="1051"/>
      <c r="C532" s="437" t="s">
        <v>12</v>
      </c>
      <c r="D532" s="1060" t="s">
        <v>111</v>
      </c>
      <c r="E532" s="1047"/>
      <c r="F532" s="474">
        <v>0</v>
      </c>
      <c r="G532" s="474">
        <v>0</v>
      </c>
      <c r="H532" s="1061">
        <v>845.23</v>
      </c>
      <c r="I532" s="1047"/>
      <c r="J532" s="474">
        <v>845.23</v>
      </c>
      <c r="K532" s="452">
        <f>J532</f>
        <v>845.23</v>
      </c>
    </row>
    <row r="533" spans="1:13" ht="15" customHeight="1">
      <c r="A533" s="1050"/>
      <c r="B533" s="1049" t="s">
        <v>2790</v>
      </c>
      <c r="C533" s="382" t="s">
        <v>2791</v>
      </c>
      <c r="D533" s="1049" t="s">
        <v>2207</v>
      </c>
      <c r="E533" s="1047"/>
      <c r="F533" s="383">
        <v>0</v>
      </c>
      <c r="G533" s="383">
        <v>0</v>
      </c>
      <c r="H533" s="1046">
        <v>132055</v>
      </c>
      <c r="I533" s="1047"/>
      <c r="J533" s="383">
        <v>132055</v>
      </c>
      <c r="K533" s="453"/>
    </row>
    <row r="534" spans="1:13" ht="15" customHeight="1">
      <c r="A534" s="1050"/>
      <c r="B534" s="1050"/>
      <c r="C534" s="382" t="s">
        <v>2792</v>
      </c>
      <c r="D534" s="1049" t="s">
        <v>2208</v>
      </c>
      <c r="E534" s="1047"/>
      <c r="F534" s="383">
        <v>0</v>
      </c>
      <c r="G534" s="383">
        <v>75668.33</v>
      </c>
      <c r="H534" s="1046">
        <v>4527943.09</v>
      </c>
      <c r="I534" s="1047"/>
      <c r="J534" s="383">
        <v>4452274.76</v>
      </c>
      <c r="K534" s="453"/>
    </row>
    <row r="535" spans="1:13" ht="15" customHeight="1">
      <c r="A535" s="1050"/>
      <c r="B535" s="1050"/>
      <c r="C535" s="382" t="s">
        <v>3231</v>
      </c>
      <c r="D535" s="1049" t="s">
        <v>3232</v>
      </c>
      <c r="E535" s="1047"/>
      <c r="F535" s="383">
        <v>0</v>
      </c>
      <c r="G535" s="383">
        <v>0</v>
      </c>
      <c r="H535" s="1046">
        <v>318</v>
      </c>
      <c r="I535" s="1047"/>
      <c r="J535" s="383">
        <v>318</v>
      </c>
      <c r="K535" s="453"/>
    </row>
    <row r="536" spans="1:13" ht="15" customHeight="1">
      <c r="A536" s="1050"/>
      <c r="B536" s="1050"/>
      <c r="C536" s="382" t="s">
        <v>2793</v>
      </c>
      <c r="D536" s="1049" t="s">
        <v>2209</v>
      </c>
      <c r="E536" s="1047"/>
      <c r="F536" s="383">
        <v>0</v>
      </c>
      <c r="G536" s="383">
        <v>4488.0600000000004</v>
      </c>
      <c r="H536" s="1046">
        <v>11315381.880000001</v>
      </c>
      <c r="I536" s="1047"/>
      <c r="J536" s="383">
        <v>11310893.82</v>
      </c>
      <c r="K536" s="453"/>
    </row>
    <row r="537" spans="1:13" ht="15" customHeight="1">
      <c r="A537" s="1050"/>
      <c r="B537" s="1050"/>
      <c r="C537" s="382" t="s">
        <v>2794</v>
      </c>
      <c r="D537" s="1049" t="s">
        <v>2210</v>
      </c>
      <c r="E537" s="1047"/>
      <c r="F537" s="383">
        <v>0</v>
      </c>
      <c r="G537" s="383">
        <v>0</v>
      </c>
      <c r="H537" s="1046">
        <v>5460</v>
      </c>
      <c r="I537" s="1047"/>
      <c r="J537" s="383">
        <v>5460</v>
      </c>
      <c r="K537" s="453"/>
    </row>
    <row r="538" spans="1:13" ht="15" customHeight="1">
      <c r="A538" s="1050"/>
      <c r="B538" s="1050"/>
      <c r="C538" s="382" t="s">
        <v>2795</v>
      </c>
      <c r="D538" s="1049" t="s">
        <v>3233</v>
      </c>
      <c r="E538" s="1047"/>
      <c r="F538" s="383">
        <v>0</v>
      </c>
      <c r="G538" s="383">
        <v>0</v>
      </c>
      <c r="H538" s="1046">
        <v>67870</v>
      </c>
      <c r="I538" s="1047"/>
      <c r="J538" s="383">
        <v>67870</v>
      </c>
      <c r="K538" s="453"/>
    </row>
    <row r="539" spans="1:13" ht="15" customHeight="1">
      <c r="A539" s="1050"/>
      <c r="B539" s="1050"/>
      <c r="C539" s="382" t="s">
        <v>3234</v>
      </c>
      <c r="D539" s="1049" t="s">
        <v>3235</v>
      </c>
      <c r="E539" s="1047"/>
      <c r="F539" s="383">
        <v>0</v>
      </c>
      <c r="G539" s="383">
        <v>0</v>
      </c>
      <c r="H539" s="1046">
        <v>90</v>
      </c>
      <c r="I539" s="1047"/>
      <c r="J539" s="383">
        <v>90</v>
      </c>
      <c r="K539" s="453"/>
    </row>
    <row r="540" spans="1:13" ht="15" customHeight="1">
      <c r="A540" s="1050"/>
      <c r="B540" s="1050"/>
      <c r="C540" s="382" t="s">
        <v>3236</v>
      </c>
      <c r="D540" s="1049" t="s">
        <v>3237</v>
      </c>
      <c r="E540" s="1047"/>
      <c r="F540" s="383">
        <v>0</v>
      </c>
      <c r="G540" s="383">
        <v>0</v>
      </c>
      <c r="H540" s="1046">
        <v>289.13</v>
      </c>
      <c r="I540" s="1047"/>
      <c r="J540" s="383">
        <v>289.13</v>
      </c>
      <c r="K540" s="453"/>
    </row>
    <row r="541" spans="1:13" ht="15" customHeight="1">
      <c r="A541" s="1050"/>
      <c r="B541" s="1050"/>
      <c r="C541" s="382" t="s">
        <v>3238</v>
      </c>
      <c r="D541" s="1049" t="s">
        <v>3239</v>
      </c>
      <c r="E541" s="1047"/>
      <c r="F541" s="383">
        <v>0</v>
      </c>
      <c r="G541" s="383">
        <v>0</v>
      </c>
      <c r="H541" s="1046">
        <v>175</v>
      </c>
      <c r="I541" s="1047"/>
      <c r="J541" s="383">
        <v>175</v>
      </c>
      <c r="K541" s="453"/>
    </row>
    <row r="542" spans="1:13" ht="15" customHeight="1">
      <c r="A542" s="1050"/>
      <c r="B542" s="1050"/>
      <c r="C542" s="382" t="s">
        <v>3240</v>
      </c>
      <c r="D542" s="1049" t="s">
        <v>3241</v>
      </c>
      <c r="E542" s="1047"/>
      <c r="F542" s="383">
        <v>0</v>
      </c>
      <c r="G542" s="383">
        <v>45</v>
      </c>
      <c r="H542" s="1046">
        <v>2651.46</v>
      </c>
      <c r="I542" s="1047"/>
      <c r="J542" s="383">
        <v>2606.46</v>
      </c>
      <c r="K542" s="453"/>
    </row>
    <row r="543" spans="1:13" ht="15" customHeight="1">
      <c r="A543" s="1050"/>
      <c r="B543" s="1050"/>
      <c r="C543" s="382" t="s">
        <v>3242</v>
      </c>
      <c r="D543" s="1049" t="s">
        <v>3243</v>
      </c>
      <c r="E543" s="1047"/>
      <c r="F543" s="383">
        <v>0</v>
      </c>
      <c r="G543" s="383">
        <v>20</v>
      </c>
      <c r="H543" s="1046">
        <v>2540</v>
      </c>
      <c r="I543" s="1047"/>
      <c r="J543" s="383">
        <v>2520</v>
      </c>
      <c r="K543" s="453"/>
    </row>
    <row r="544" spans="1:13" ht="15" customHeight="1">
      <c r="A544" s="1050"/>
      <c r="B544" s="1050"/>
      <c r="C544" s="382" t="s">
        <v>3244</v>
      </c>
      <c r="D544" s="1049" t="s">
        <v>3341</v>
      </c>
      <c r="E544" s="1047"/>
      <c r="F544" s="383">
        <v>0</v>
      </c>
      <c r="G544" s="383">
        <v>0</v>
      </c>
      <c r="H544" s="1046">
        <v>10150</v>
      </c>
      <c r="I544" s="1047"/>
      <c r="J544" s="383">
        <v>10150</v>
      </c>
      <c r="K544" s="453"/>
    </row>
    <row r="545" spans="1:12">
      <c r="A545" s="1050"/>
      <c r="B545" s="1051"/>
      <c r="C545" s="437" t="s">
        <v>12</v>
      </c>
      <c r="D545" s="1060" t="s">
        <v>111</v>
      </c>
      <c r="E545" s="1047"/>
      <c r="F545" s="474">
        <v>0</v>
      </c>
      <c r="G545" s="474">
        <v>80221.39</v>
      </c>
      <c r="H545" s="1061">
        <v>16064923.560000001</v>
      </c>
      <c r="I545" s="1047"/>
      <c r="J545" s="474">
        <v>15984702.17</v>
      </c>
      <c r="K545" s="452">
        <f>J545</f>
        <v>15984702.17</v>
      </c>
    </row>
    <row r="546" spans="1:12" ht="15" customHeight="1">
      <c r="A546" s="1050"/>
      <c r="B546" s="1049" t="s">
        <v>3342</v>
      </c>
      <c r="C546" s="382" t="s">
        <v>3245</v>
      </c>
      <c r="D546" s="1049" t="s">
        <v>3343</v>
      </c>
      <c r="E546" s="1047"/>
      <c r="F546" s="383">
        <v>0</v>
      </c>
      <c r="G546" s="383">
        <v>630025</v>
      </c>
      <c r="H546" s="1046">
        <v>630550</v>
      </c>
      <c r="I546" s="1047"/>
      <c r="J546" s="383">
        <v>525</v>
      </c>
      <c r="K546" s="452"/>
    </row>
    <row r="547" spans="1:12">
      <c r="A547" s="1050"/>
      <c r="B547" s="1051"/>
      <c r="C547" s="437" t="s">
        <v>12</v>
      </c>
      <c r="D547" s="1060" t="s">
        <v>111</v>
      </c>
      <c r="E547" s="1047"/>
      <c r="F547" s="474">
        <v>0</v>
      </c>
      <c r="G547" s="474">
        <v>630025</v>
      </c>
      <c r="H547" s="1061">
        <v>630550</v>
      </c>
      <c r="I547" s="1047"/>
      <c r="J547" s="474">
        <v>525</v>
      </c>
      <c r="K547" s="452"/>
    </row>
    <row r="548" spans="1:12" ht="15" customHeight="1">
      <c r="A548" s="1050"/>
      <c r="B548" s="1049" t="s">
        <v>2797</v>
      </c>
      <c r="C548" s="382" t="s">
        <v>2798</v>
      </c>
      <c r="D548" s="1049" t="s">
        <v>2211</v>
      </c>
      <c r="E548" s="1047"/>
      <c r="F548" s="383">
        <v>0</v>
      </c>
      <c r="G548" s="383">
        <v>0</v>
      </c>
      <c r="H548" s="1046">
        <v>0</v>
      </c>
      <c r="I548" s="1047"/>
      <c r="J548" s="383">
        <v>0</v>
      </c>
      <c r="K548" s="434">
        <f>SUM(K523:K547)</f>
        <v>34283714.210000001</v>
      </c>
    </row>
    <row r="549" spans="1:12">
      <c r="A549" s="1050"/>
      <c r="B549" s="1051"/>
      <c r="C549" s="437" t="s">
        <v>12</v>
      </c>
      <c r="D549" s="1060" t="s">
        <v>111</v>
      </c>
      <c r="E549" s="1047"/>
      <c r="F549" s="474">
        <v>0</v>
      </c>
      <c r="G549" s="474">
        <v>0</v>
      </c>
      <c r="H549" s="1061">
        <v>0</v>
      </c>
      <c r="I549" s="1047"/>
      <c r="J549" s="474">
        <v>0</v>
      </c>
    </row>
    <row r="550" spans="1:12" ht="15" customHeight="1">
      <c r="A550" s="1050"/>
      <c r="B550" s="1049" t="s">
        <v>2799</v>
      </c>
      <c r="C550" s="382" t="s">
        <v>2800</v>
      </c>
      <c r="D550" s="1049" t="s">
        <v>2212</v>
      </c>
      <c r="E550" s="1047"/>
      <c r="F550" s="383">
        <v>0</v>
      </c>
      <c r="G550" s="383">
        <v>0</v>
      </c>
      <c r="H550" s="1046">
        <v>0</v>
      </c>
      <c r="I550" s="1047"/>
      <c r="J550" s="383">
        <v>0</v>
      </c>
    </row>
    <row r="551" spans="1:12">
      <c r="A551" s="1050"/>
      <c r="B551" s="1051"/>
      <c r="C551" s="437" t="s">
        <v>12</v>
      </c>
      <c r="D551" s="1060" t="s">
        <v>111</v>
      </c>
      <c r="E551" s="1047"/>
      <c r="F551" s="474">
        <v>0</v>
      </c>
      <c r="G551" s="474">
        <v>0</v>
      </c>
      <c r="H551" s="1061">
        <v>0</v>
      </c>
      <c r="I551" s="1047"/>
      <c r="J551" s="474">
        <v>0</v>
      </c>
    </row>
    <row r="552" spans="1:12" ht="15" customHeight="1">
      <c r="A552" s="1050"/>
      <c r="B552" s="1049" t="s">
        <v>2801</v>
      </c>
      <c r="C552" s="382" t="s">
        <v>2802</v>
      </c>
      <c r="D552" s="1049" t="s">
        <v>2213</v>
      </c>
      <c r="E552" s="1047"/>
      <c r="F552" s="383">
        <v>0</v>
      </c>
      <c r="G552" s="383">
        <v>10325</v>
      </c>
      <c r="H552" s="1046">
        <v>20650</v>
      </c>
      <c r="I552" s="1047"/>
      <c r="J552" s="383">
        <v>10325</v>
      </c>
      <c r="L552" s="454">
        <f>J552</f>
        <v>10325</v>
      </c>
    </row>
    <row r="553" spans="1:12">
      <c r="A553" s="1050"/>
      <c r="B553" s="1051"/>
      <c r="C553" s="437" t="s">
        <v>12</v>
      </c>
      <c r="D553" s="1060" t="s">
        <v>111</v>
      </c>
      <c r="E553" s="1047"/>
      <c r="F553" s="474">
        <v>0</v>
      </c>
      <c r="G553" s="474">
        <v>10325</v>
      </c>
      <c r="H553" s="1061">
        <v>20650</v>
      </c>
      <c r="I553" s="1047"/>
      <c r="J553" s="474">
        <v>10325</v>
      </c>
      <c r="L553" s="455"/>
    </row>
    <row r="554" spans="1:12" ht="15" customHeight="1">
      <c r="A554" s="1050"/>
      <c r="B554" s="1049" t="s">
        <v>2803</v>
      </c>
      <c r="C554" s="382" t="s">
        <v>2804</v>
      </c>
      <c r="D554" s="1049" t="s">
        <v>2214</v>
      </c>
      <c r="E554" s="1047"/>
      <c r="F554" s="383">
        <v>0</v>
      </c>
      <c r="G554" s="383">
        <v>26911.64</v>
      </c>
      <c r="H554" s="1046">
        <v>91519.61</v>
      </c>
      <c r="I554" s="1047"/>
      <c r="J554" s="383">
        <v>64607.97</v>
      </c>
      <c r="L554" s="455"/>
    </row>
    <row r="555" spans="1:12">
      <c r="A555" s="1050"/>
      <c r="B555" s="1051"/>
      <c r="C555" s="437" t="s">
        <v>12</v>
      </c>
      <c r="D555" s="1060" t="s">
        <v>111</v>
      </c>
      <c r="E555" s="1047"/>
      <c r="F555" s="474">
        <v>0</v>
      </c>
      <c r="G555" s="474">
        <v>26911.64</v>
      </c>
      <c r="H555" s="1061">
        <v>91519.61</v>
      </c>
      <c r="I555" s="1047"/>
      <c r="J555" s="474">
        <v>64607.97</v>
      </c>
      <c r="K555" s="434">
        <f>H555-G555</f>
        <v>64607.97</v>
      </c>
      <c r="L555" s="454">
        <f>J555</f>
        <v>64607.97</v>
      </c>
    </row>
    <row r="556" spans="1:12" ht="15" customHeight="1">
      <c r="A556" s="1050"/>
      <c r="B556" s="1049" t="s">
        <v>2805</v>
      </c>
      <c r="C556" s="382" t="s">
        <v>2806</v>
      </c>
      <c r="D556" s="1049" t="s">
        <v>2215</v>
      </c>
      <c r="E556" s="1047"/>
      <c r="F556" s="383">
        <v>0</v>
      </c>
      <c r="G556" s="383">
        <v>150</v>
      </c>
      <c r="H556" s="1046">
        <v>32141.68</v>
      </c>
      <c r="I556" s="1047"/>
      <c r="J556" s="383">
        <v>31991.68</v>
      </c>
      <c r="L556" s="455"/>
    </row>
    <row r="557" spans="1:12" ht="15" customHeight="1">
      <c r="A557" s="1050"/>
      <c r="B557" s="1050"/>
      <c r="C557" s="382" t="s">
        <v>3246</v>
      </c>
      <c r="D557" s="1049" t="s">
        <v>3247</v>
      </c>
      <c r="E557" s="1047"/>
      <c r="F557" s="383">
        <v>0</v>
      </c>
      <c r="G557" s="383">
        <v>0</v>
      </c>
      <c r="H557" s="1046">
        <v>167</v>
      </c>
      <c r="I557" s="1047"/>
      <c r="J557" s="383">
        <v>167</v>
      </c>
      <c r="L557" s="455"/>
    </row>
    <row r="558" spans="1:12" ht="15" customHeight="1">
      <c r="A558" s="1050"/>
      <c r="B558" s="1050"/>
      <c r="C558" s="382" t="s">
        <v>2807</v>
      </c>
      <c r="D558" s="1049" t="s">
        <v>2216</v>
      </c>
      <c r="E558" s="1047"/>
      <c r="F558" s="383">
        <v>0</v>
      </c>
      <c r="G558" s="383">
        <v>0</v>
      </c>
      <c r="H558" s="1046">
        <v>10358.01</v>
      </c>
      <c r="I558" s="1047"/>
      <c r="J558" s="383">
        <v>10358.01</v>
      </c>
      <c r="L558" s="455"/>
    </row>
    <row r="559" spans="1:12" ht="15" customHeight="1">
      <c r="A559" s="1050"/>
      <c r="B559" s="1050"/>
      <c r="C559" s="382" t="s">
        <v>2808</v>
      </c>
      <c r="D559" s="1049" t="s">
        <v>2217</v>
      </c>
      <c r="E559" s="1047"/>
      <c r="F559" s="383">
        <v>0</v>
      </c>
      <c r="G559" s="383">
        <v>0</v>
      </c>
      <c r="H559" s="1046">
        <v>15917.43</v>
      </c>
      <c r="I559" s="1047"/>
      <c r="J559" s="383">
        <v>15917.43</v>
      </c>
      <c r="L559" s="455"/>
    </row>
    <row r="560" spans="1:12" ht="15" customHeight="1">
      <c r="A560" s="1050"/>
      <c r="B560" s="1050"/>
      <c r="C560" s="382" t="s">
        <v>2809</v>
      </c>
      <c r="D560" s="1049" t="s">
        <v>2218</v>
      </c>
      <c r="E560" s="1047"/>
      <c r="F560" s="383">
        <v>0</v>
      </c>
      <c r="G560" s="383">
        <v>0</v>
      </c>
      <c r="H560" s="1046">
        <v>60969.760000000002</v>
      </c>
      <c r="I560" s="1047"/>
      <c r="J560" s="383">
        <v>60969.760000000002</v>
      </c>
      <c r="L560" s="455"/>
    </row>
    <row r="561" spans="1:12">
      <c r="A561" s="1050"/>
      <c r="B561" s="1051"/>
      <c r="C561" s="437" t="s">
        <v>12</v>
      </c>
      <c r="D561" s="1060" t="s">
        <v>111</v>
      </c>
      <c r="E561" s="1047"/>
      <c r="F561" s="474">
        <v>0</v>
      </c>
      <c r="G561" s="474">
        <v>150</v>
      </c>
      <c r="H561" s="1061">
        <v>119553.88</v>
      </c>
      <c r="I561" s="1047"/>
      <c r="J561" s="474">
        <v>119403.88</v>
      </c>
      <c r="K561" s="434">
        <f>H561-G561</f>
        <v>119403.88</v>
      </c>
      <c r="L561" s="454">
        <f>J561</f>
        <v>119403.88</v>
      </c>
    </row>
    <row r="562" spans="1:12" ht="15" customHeight="1">
      <c r="A562" s="1050"/>
      <c r="B562" s="1049" t="s">
        <v>2810</v>
      </c>
      <c r="C562" s="382" t="s">
        <v>2811</v>
      </c>
      <c r="D562" s="1049" t="s">
        <v>2219</v>
      </c>
      <c r="E562" s="1047"/>
      <c r="F562" s="383">
        <v>0</v>
      </c>
      <c r="G562" s="383">
        <v>0</v>
      </c>
      <c r="H562" s="1046">
        <v>5439277.6399999997</v>
      </c>
      <c r="I562" s="1047"/>
      <c r="J562" s="383">
        <v>5439277.6399999997</v>
      </c>
      <c r="L562" s="448">
        <f>SUM(L552:L561)</f>
        <v>194336.85</v>
      </c>
    </row>
    <row r="563" spans="1:12">
      <c r="A563" s="1050"/>
      <c r="B563" s="1051"/>
      <c r="C563" s="437" t="s">
        <v>12</v>
      </c>
      <c r="D563" s="1060" t="s">
        <v>111</v>
      </c>
      <c r="E563" s="1047"/>
      <c r="F563" s="474">
        <v>0</v>
      </c>
      <c r="G563" s="474">
        <v>0</v>
      </c>
      <c r="H563" s="1061">
        <v>5439277.6399999997</v>
      </c>
      <c r="I563" s="1047"/>
      <c r="J563" s="474">
        <v>5439277.6399999997</v>
      </c>
    </row>
    <row r="564" spans="1:12" ht="15" customHeight="1">
      <c r="A564" s="1050"/>
      <c r="B564" s="1049" t="s">
        <v>2812</v>
      </c>
      <c r="C564" s="382" t="s">
        <v>2813</v>
      </c>
      <c r="D564" s="1049" t="s">
        <v>2220</v>
      </c>
      <c r="E564" s="1047"/>
      <c r="F564" s="383">
        <v>0</v>
      </c>
      <c r="G564" s="383">
        <v>2710187.52</v>
      </c>
      <c r="H564" s="1046">
        <v>1404760.24</v>
      </c>
      <c r="I564" s="1047"/>
      <c r="J564" s="383">
        <v>-1305427.28</v>
      </c>
    </row>
    <row r="565" spans="1:12">
      <c r="A565" s="1050"/>
      <c r="B565" s="1051"/>
      <c r="C565" s="437" t="s">
        <v>12</v>
      </c>
      <c r="D565" s="1060" t="s">
        <v>111</v>
      </c>
      <c r="E565" s="1047"/>
      <c r="F565" s="474">
        <v>0</v>
      </c>
      <c r="G565" s="474">
        <v>2710187.52</v>
      </c>
      <c r="H565" s="1061">
        <v>1404760.24</v>
      </c>
      <c r="I565" s="1047"/>
      <c r="J565" s="474">
        <v>-1305427.28</v>
      </c>
    </row>
    <row r="566" spans="1:12">
      <c r="A566" s="1051"/>
      <c r="B566" s="359" t="s">
        <v>12</v>
      </c>
      <c r="C566" s="359" t="s">
        <v>111</v>
      </c>
      <c r="D566" s="1059" t="s">
        <v>111</v>
      </c>
      <c r="E566" s="1047"/>
      <c r="F566" s="384">
        <v>0</v>
      </c>
      <c r="G566" s="384">
        <v>10312581.67</v>
      </c>
      <c r="H566" s="1048">
        <v>104870718.93000001</v>
      </c>
      <c r="I566" s="1047"/>
      <c r="J566" s="384">
        <v>94558137.260000005</v>
      </c>
    </row>
    <row r="567" spans="1:12" ht="15" customHeight="1">
      <c r="A567" s="1049" t="s">
        <v>2553</v>
      </c>
      <c r="B567" s="1049" t="s">
        <v>2554</v>
      </c>
      <c r="C567" s="382" t="s">
        <v>2555</v>
      </c>
      <c r="D567" s="1049" t="s">
        <v>2221</v>
      </c>
      <c r="E567" s="1047"/>
      <c r="F567" s="383">
        <v>0</v>
      </c>
      <c r="G567" s="383">
        <v>160420.84</v>
      </c>
      <c r="H567" s="1046">
        <v>25493.24</v>
      </c>
      <c r="I567" s="1047"/>
      <c r="J567" s="383">
        <v>-134927.6</v>
      </c>
    </row>
    <row r="568" spans="1:12" ht="15" customHeight="1">
      <c r="A568" s="1050"/>
      <c r="B568" s="1050"/>
      <c r="C568" s="382" t="s">
        <v>2556</v>
      </c>
      <c r="D568" s="1049" t="s">
        <v>2222</v>
      </c>
      <c r="E568" s="1047"/>
      <c r="F568" s="383">
        <v>0</v>
      </c>
      <c r="G568" s="383">
        <v>43548.65</v>
      </c>
      <c r="H568" s="1046">
        <v>21560.32</v>
      </c>
      <c r="I568" s="1047"/>
      <c r="J568" s="383">
        <v>-21988.33</v>
      </c>
    </row>
    <row r="569" spans="1:12">
      <c r="A569" s="1050"/>
      <c r="B569" s="1051"/>
      <c r="C569" s="437" t="s">
        <v>12</v>
      </c>
      <c r="D569" s="1060" t="s">
        <v>111</v>
      </c>
      <c r="E569" s="1047"/>
      <c r="F569" s="474">
        <v>0</v>
      </c>
      <c r="G569" s="474">
        <v>203969.49</v>
      </c>
      <c r="H569" s="1061">
        <v>47053.56</v>
      </c>
      <c r="I569" s="1047"/>
      <c r="J569" s="474">
        <v>-156915.93</v>
      </c>
      <c r="L569" s="446">
        <f>J569</f>
        <v>-156915.93</v>
      </c>
    </row>
    <row r="570" spans="1:12" ht="15" customHeight="1">
      <c r="A570" s="1050"/>
      <c r="B570" s="1049" t="s">
        <v>2557</v>
      </c>
      <c r="C570" s="382" t="s">
        <v>2558</v>
      </c>
      <c r="D570" s="1049" t="s">
        <v>2223</v>
      </c>
      <c r="E570" s="1047"/>
      <c r="F570" s="383">
        <v>0</v>
      </c>
      <c r="G570" s="383">
        <v>0</v>
      </c>
      <c r="H570" s="1046">
        <v>0</v>
      </c>
      <c r="I570" s="1047"/>
      <c r="J570" s="383">
        <v>0</v>
      </c>
      <c r="L570" s="447"/>
    </row>
    <row r="571" spans="1:12">
      <c r="A571" s="1050"/>
      <c r="B571" s="1051"/>
      <c r="C571" s="437" t="s">
        <v>12</v>
      </c>
      <c r="D571" s="1060" t="s">
        <v>111</v>
      </c>
      <c r="E571" s="1047"/>
      <c r="F571" s="474">
        <v>0</v>
      </c>
      <c r="G571" s="474">
        <v>0</v>
      </c>
      <c r="H571" s="1061">
        <v>0</v>
      </c>
      <c r="I571" s="1047"/>
      <c r="J571" s="474">
        <v>0</v>
      </c>
      <c r="L571" s="447"/>
    </row>
    <row r="572" spans="1:12" ht="15" customHeight="1">
      <c r="A572" s="1050"/>
      <c r="B572" s="1049" t="s">
        <v>2559</v>
      </c>
      <c r="C572" s="382" t="s">
        <v>2560</v>
      </c>
      <c r="D572" s="1049" t="s">
        <v>2224</v>
      </c>
      <c r="E572" s="1047"/>
      <c r="F572" s="383">
        <v>0</v>
      </c>
      <c r="G572" s="383">
        <v>664668.76</v>
      </c>
      <c r="H572" s="1046">
        <v>49473.19</v>
      </c>
      <c r="I572" s="1047"/>
      <c r="J572" s="383">
        <v>-615195.56999999995</v>
      </c>
      <c r="L572" s="447"/>
    </row>
    <row r="573" spans="1:12" ht="15" customHeight="1">
      <c r="A573" s="1050"/>
      <c r="B573" s="1050"/>
      <c r="C573" s="382" t="s">
        <v>2561</v>
      </c>
      <c r="D573" s="1049" t="s">
        <v>2225</v>
      </c>
      <c r="E573" s="1047"/>
      <c r="F573" s="383">
        <v>0</v>
      </c>
      <c r="G573" s="383">
        <v>1190185.97</v>
      </c>
      <c r="H573" s="1046">
        <v>49783.92</v>
      </c>
      <c r="I573" s="1047"/>
      <c r="J573" s="383">
        <v>-1140402.05</v>
      </c>
      <c r="L573" s="447"/>
    </row>
    <row r="574" spans="1:12" ht="15" customHeight="1">
      <c r="A574" s="1050"/>
      <c r="B574" s="1050"/>
      <c r="C574" s="382" t="s">
        <v>2562</v>
      </c>
      <c r="D574" s="1049" t="s">
        <v>2067</v>
      </c>
      <c r="E574" s="1047"/>
      <c r="F574" s="383">
        <v>0</v>
      </c>
      <c r="G574" s="383">
        <v>21780.29</v>
      </c>
      <c r="H574" s="1046">
        <v>1716.44</v>
      </c>
      <c r="I574" s="1047"/>
      <c r="J574" s="383">
        <v>-20063.849999999999</v>
      </c>
      <c r="L574" s="447"/>
    </row>
    <row r="575" spans="1:12">
      <c r="A575" s="1050"/>
      <c r="B575" s="1051"/>
      <c r="C575" s="437" t="s">
        <v>12</v>
      </c>
      <c r="D575" s="1060" t="s">
        <v>111</v>
      </c>
      <c r="E575" s="1047"/>
      <c r="F575" s="474">
        <v>0</v>
      </c>
      <c r="G575" s="474">
        <v>1876635.02</v>
      </c>
      <c r="H575" s="1061">
        <v>100973.55</v>
      </c>
      <c r="I575" s="1047"/>
      <c r="J575" s="474">
        <v>-1775661.47</v>
      </c>
      <c r="L575" s="446">
        <f>J575</f>
        <v>-1775661.47</v>
      </c>
    </row>
    <row r="576" spans="1:12" ht="15" customHeight="1">
      <c r="A576" s="1050"/>
      <c r="B576" s="1049" t="s">
        <v>2563</v>
      </c>
      <c r="C576" s="382" t="s">
        <v>2564</v>
      </c>
      <c r="D576" s="1049" t="s">
        <v>2226</v>
      </c>
      <c r="E576" s="1047"/>
      <c r="F576" s="383">
        <v>0</v>
      </c>
      <c r="G576" s="383">
        <v>94728.67</v>
      </c>
      <c r="H576" s="1046">
        <v>94728.639999999999</v>
      </c>
      <c r="I576" s="1047"/>
      <c r="J576" s="383">
        <v>-0.03</v>
      </c>
      <c r="L576" s="448">
        <f>SUM(L569:L575)</f>
        <v>-1932577.4</v>
      </c>
    </row>
    <row r="577" spans="1:10" ht="15" customHeight="1">
      <c r="A577" s="1050"/>
      <c r="B577" s="1050"/>
      <c r="C577" s="382" t="s">
        <v>2565</v>
      </c>
      <c r="D577" s="1049" t="s">
        <v>2227</v>
      </c>
      <c r="E577" s="1047"/>
      <c r="F577" s="383">
        <v>0</v>
      </c>
      <c r="G577" s="383">
        <v>0</v>
      </c>
      <c r="H577" s="1046">
        <v>0</v>
      </c>
      <c r="I577" s="1047"/>
      <c r="J577" s="383">
        <v>0</v>
      </c>
    </row>
    <row r="578" spans="1:10" ht="15" customHeight="1">
      <c r="A578" s="1050"/>
      <c r="B578" s="1050"/>
      <c r="C578" s="382" t="s">
        <v>2566</v>
      </c>
      <c r="D578" s="1049" t="s">
        <v>2228</v>
      </c>
      <c r="E578" s="1047"/>
      <c r="F578" s="383">
        <v>0</v>
      </c>
      <c r="G578" s="383">
        <v>618853.61</v>
      </c>
      <c r="H578" s="1046">
        <v>92736.85</v>
      </c>
      <c r="I578" s="1047"/>
      <c r="J578" s="383">
        <v>-526116.76</v>
      </c>
    </row>
    <row r="579" spans="1:10" ht="15" customHeight="1">
      <c r="A579" s="1050"/>
      <c r="B579" s="1050"/>
      <c r="C579" s="382" t="s">
        <v>2567</v>
      </c>
      <c r="D579" s="1049" t="s">
        <v>2229</v>
      </c>
      <c r="E579" s="1047"/>
      <c r="F579" s="383">
        <v>0</v>
      </c>
      <c r="G579" s="383">
        <v>0</v>
      </c>
      <c r="H579" s="1046">
        <v>0</v>
      </c>
      <c r="I579" s="1047"/>
      <c r="J579" s="383">
        <v>0</v>
      </c>
    </row>
    <row r="580" spans="1:10" ht="15" customHeight="1">
      <c r="A580" s="1050"/>
      <c r="B580" s="1050"/>
      <c r="C580" s="382" t="s">
        <v>2568</v>
      </c>
      <c r="D580" s="1049" t="s">
        <v>2230</v>
      </c>
      <c r="E580" s="1047"/>
      <c r="F580" s="383">
        <v>0</v>
      </c>
      <c r="G580" s="383">
        <v>1209732.3799999999</v>
      </c>
      <c r="H580" s="1046">
        <v>87379.520000000004</v>
      </c>
      <c r="I580" s="1047"/>
      <c r="J580" s="383">
        <v>-1122352.8600000001</v>
      </c>
    </row>
    <row r="581" spans="1:10" ht="15" customHeight="1">
      <c r="A581" s="1050"/>
      <c r="B581" s="1050"/>
      <c r="C581" s="382" t="s">
        <v>2569</v>
      </c>
      <c r="D581" s="1049" t="s">
        <v>2231</v>
      </c>
      <c r="E581" s="1047"/>
      <c r="F581" s="383">
        <v>0</v>
      </c>
      <c r="G581" s="383">
        <v>0</v>
      </c>
      <c r="H581" s="1046">
        <v>0</v>
      </c>
      <c r="I581" s="1047"/>
      <c r="J581" s="383">
        <v>0</v>
      </c>
    </row>
    <row r="582" spans="1:10" ht="15" customHeight="1">
      <c r="A582" s="1050"/>
      <c r="B582" s="1050"/>
      <c r="C582" s="382" t="s">
        <v>2570</v>
      </c>
      <c r="D582" s="1049" t="s">
        <v>2232</v>
      </c>
      <c r="E582" s="1047"/>
      <c r="F582" s="383">
        <v>0</v>
      </c>
      <c r="G582" s="383">
        <v>296163.86</v>
      </c>
      <c r="H582" s="1046">
        <v>88277.24</v>
      </c>
      <c r="I582" s="1047"/>
      <c r="J582" s="383">
        <v>-207886.62</v>
      </c>
    </row>
    <row r="583" spans="1:10" ht="15" customHeight="1">
      <c r="A583" s="1050"/>
      <c r="B583" s="1050"/>
      <c r="C583" s="382" t="s">
        <v>2571</v>
      </c>
      <c r="D583" s="1049" t="s">
        <v>2233</v>
      </c>
      <c r="E583" s="1047"/>
      <c r="F583" s="383">
        <v>0</v>
      </c>
      <c r="G583" s="383">
        <v>158145</v>
      </c>
      <c r="H583" s="1046">
        <v>0</v>
      </c>
      <c r="I583" s="1047"/>
      <c r="J583" s="383">
        <v>-158145</v>
      </c>
    </row>
    <row r="584" spans="1:10" ht="15" customHeight="1">
      <c r="A584" s="1050"/>
      <c r="B584" s="1050"/>
      <c r="C584" s="382" t="s">
        <v>2572</v>
      </c>
      <c r="D584" s="1049" t="s">
        <v>2234</v>
      </c>
      <c r="E584" s="1047"/>
      <c r="F584" s="383">
        <v>0</v>
      </c>
      <c r="G584" s="383">
        <v>0</v>
      </c>
      <c r="H584" s="1046">
        <v>0</v>
      </c>
      <c r="I584" s="1047"/>
      <c r="J584" s="383">
        <v>0</v>
      </c>
    </row>
    <row r="585" spans="1:10" ht="15" customHeight="1">
      <c r="A585" s="1050"/>
      <c r="B585" s="1050"/>
      <c r="C585" s="382" t="s">
        <v>2573</v>
      </c>
      <c r="D585" s="1049" t="s">
        <v>2235</v>
      </c>
      <c r="E585" s="1047"/>
      <c r="F585" s="383">
        <v>0</v>
      </c>
      <c r="G585" s="383">
        <v>236460</v>
      </c>
      <c r="H585" s="1046">
        <v>34876.15</v>
      </c>
      <c r="I585" s="1047"/>
      <c r="J585" s="383">
        <v>-201583.85</v>
      </c>
    </row>
    <row r="586" spans="1:10" ht="15" customHeight="1">
      <c r="A586" s="1050"/>
      <c r="B586" s="1050"/>
      <c r="C586" s="382" t="s">
        <v>2574</v>
      </c>
      <c r="D586" s="1049" t="s">
        <v>2236</v>
      </c>
      <c r="E586" s="1047"/>
      <c r="F586" s="383">
        <v>0</v>
      </c>
      <c r="G586" s="383">
        <v>271694.84999999998</v>
      </c>
      <c r="H586" s="1046">
        <v>0</v>
      </c>
      <c r="I586" s="1047"/>
      <c r="J586" s="383">
        <v>-271694.84999999998</v>
      </c>
    </row>
    <row r="587" spans="1:10" ht="15" customHeight="1">
      <c r="A587" s="1050"/>
      <c r="B587" s="1050"/>
      <c r="C587" s="382" t="s">
        <v>2575</v>
      </c>
      <c r="D587" s="1049" t="s">
        <v>2237</v>
      </c>
      <c r="E587" s="1047"/>
      <c r="F587" s="383">
        <v>0</v>
      </c>
      <c r="G587" s="383">
        <v>276183.46000000002</v>
      </c>
      <c r="H587" s="1046">
        <v>0</v>
      </c>
      <c r="I587" s="1047"/>
      <c r="J587" s="383">
        <v>-276183.46000000002</v>
      </c>
    </row>
    <row r="588" spans="1:10" ht="15" customHeight="1">
      <c r="A588" s="1050"/>
      <c r="B588" s="1050"/>
      <c r="C588" s="382" t="s">
        <v>2576</v>
      </c>
      <c r="D588" s="1049" t="s">
        <v>2238</v>
      </c>
      <c r="E588" s="1047"/>
      <c r="F588" s="383">
        <v>0</v>
      </c>
      <c r="G588" s="383">
        <v>414274.76</v>
      </c>
      <c r="H588" s="1046">
        <v>0</v>
      </c>
      <c r="I588" s="1047"/>
      <c r="J588" s="383">
        <v>-414274.76</v>
      </c>
    </row>
    <row r="589" spans="1:10" ht="15" customHeight="1">
      <c r="A589" s="1050"/>
      <c r="B589" s="1050"/>
      <c r="C589" s="382" t="s">
        <v>2577</v>
      </c>
      <c r="D589" s="1049" t="s">
        <v>2239</v>
      </c>
      <c r="E589" s="1047"/>
      <c r="F589" s="383">
        <v>0</v>
      </c>
      <c r="G589" s="383">
        <v>0</v>
      </c>
      <c r="H589" s="1046">
        <v>0</v>
      </c>
      <c r="I589" s="1047"/>
      <c r="J589" s="383">
        <v>0</v>
      </c>
    </row>
    <row r="590" spans="1:10" ht="15" customHeight="1">
      <c r="A590" s="1050"/>
      <c r="B590" s="1050"/>
      <c r="C590" s="382" t="s">
        <v>2578</v>
      </c>
      <c r="D590" s="1049" t="s">
        <v>2240</v>
      </c>
      <c r="E590" s="1047"/>
      <c r="F590" s="383">
        <v>0</v>
      </c>
      <c r="G590" s="383">
        <v>521548.72</v>
      </c>
      <c r="H590" s="1046">
        <v>64280.97</v>
      </c>
      <c r="I590" s="1047"/>
      <c r="J590" s="383">
        <v>-457267.75</v>
      </c>
    </row>
    <row r="591" spans="1:10" ht="15" customHeight="1">
      <c r="A591" s="1050"/>
      <c r="B591" s="1050"/>
      <c r="C591" s="382" t="s">
        <v>2579</v>
      </c>
      <c r="D591" s="1049" t="s">
        <v>2241</v>
      </c>
      <c r="E591" s="1047"/>
      <c r="F591" s="383">
        <v>0</v>
      </c>
      <c r="G591" s="383">
        <v>1278207.94</v>
      </c>
      <c r="H591" s="1046">
        <v>92325.54</v>
      </c>
      <c r="I591" s="1047"/>
      <c r="J591" s="383">
        <v>-1185882.3999999999</v>
      </c>
    </row>
    <row r="592" spans="1:10" ht="15" customHeight="1">
      <c r="A592" s="1050"/>
      <c r="B592" s="1050"/>
      <c r="C592" s="382" t="s">
        <v>2580</v>
      </c>
      <c r="D592" s="1049" t="s">
        <v>2581</v>
      </c>
      <c r="E592" s="1047"/>
      <c r="F592" s="383">
        <v>0</v>
      </c>
      <c r="G592" s="383">
        <v>981629.65</v>
      </c>
      <c r="H592" s="1046">
        <v>11298.51</v>
      </c>
      <c r="I592" s="1047"/>
      <c r="J592" s="383">
        <v>-970331.14</v>
      </c>
    </row>
    <row r="593" spans="1:12" ht="15" customHeight="1">
      <c r="A593" s="1050"/>
      <c r="B593" s="1050"/>
      <c r="C593" s="382" t="s">
        <v>2582</v>
      </c>
      <c r="D593" s="1049" t="s">
        <v>2242</v>
      </c>
      <c r="E593" s="1047"/>
      <c r="F593" s="383">
        <v>0</v>
      </c>
      <c r="G593" s="383">
        <v>1709866.27</v>
      </c>
      <c r="H593" s="1046">
        <v>154781.64000000001</v>
      </c>
      <c r="I593" s="1047"/>
      <c r="J593" s="383">
        <v>-1555084.63</v>
      </c>
    </row>
    <row r="594" spans="1:12" ht="15" customHeight="1">
      <c r="A594" s="1050"/>
      <c r="B594" s="1050"/>
      <c r="C594" s="382" t="s">
        <v>2583</v>
      </c>
      <c r="D594" s="1049" t="s">
        <v>2243</v>
      </c>
      <c r="E594" s="1047"/>
      <c r="F594" s="383">
        <v>0</v>
      </c>
      <c r="G594" s="383">
        <v>1234855.83</v>
      </c>
      <c r="H594" s="1046">
        <v>0</v>
      </c>
      <c r="I594" s="1047"/>
      <c r="J594" s="383">
        <v>-1234855.83</v>
      </c>
    </row>
    <row r="595" spans="1:12" ht="15" customHeight="1">
      <c r="A595" s="1050"/>
      <c r="B595" s="1050"/>
      <c r="C595" s="382" t="s">
        <v>2584</v>
      </c>
      <c r="D595" s="1049" t="s">
        <v>2244</v>
      </c>
      <c r="E595" s="1047"/>
      <c r="F595" s="383">
        <v>0</v>
      </c>
      <c r="G595" s="383">
        <v>1411734.97</v>
      </c>
      <c r="H595" s="1046">
        <v>101970.27</v>
      </c>
      <c r="I595" s="1047"/>
      <c r="J595" s="383">
        <v>-1309764.7</v>
      </c>
    </row>
    <row r="596" spans="1:12" ht="15" customHeight="1">
      <c r="A596" s="1050"/>
      <c r="B596" s="1050"/>
      <c r="C596" s="382" t="s">
        <v>2585</v>
      </c>
      <c r="D596" s="1049" t="s">
        <v>2245</v>
      </c>
      <c r="E596" s="1047"/>
      <c r="F596" s="383">
        <v>0</v>
      </c>
      <c r="G596" s="383">
        <v>1401659.91</v>
      </c>
      <c r="H596" s="1046">
        <v>7401.04</v>
      </c>
      <c r="I596" s="1047"/>
      <c r="J596" s="383">
        <v>-1394258.87</v>
      </c>
    </row>
    <row r="597" spans="1:12" ht="15" customHeight="1">
      <c r="A597" s="1050"/>
      <c r="B597" s="1050"/>
      <c r="C597" s="382" t="s">
        <v>3248</v>
      </c>
      <c r="D597" s="1049" t="s">
        <v>3249</v>
      </c>
      <c r="E597" s="1047"/>
      <c r="F597" s="383">
        <v>0</v>
      </c>
      <c r="G597" s="383">
        <v>961397.56</v>
      </c>
      <c r="H597" s="1046">
        <v>25917.27</v>
      </c>
      <c r="I597" s="1047"/>
      <c r="J597" s="383">
        <v>-935480.29</v>
      </c>
    </row>
    <row r="598" spans="1:12" ht="15" customHeight="1">
      <c r="A598" s="1050"/>
      <c r="B598" s="1050"/>
      <c r="C598" s="382" t="s">
        <v>3250</v>
      </c>
      <c r="D598" s="1049" t="s">
        <v>3251</v>
      </c>
      <c r="E598" s="1047"/>
      <c r="F598" s="383">
        <v>0</v>
      </c>
      <c r="G598" s="383">
        <v>735694.31</v>
      </c>
      <c r="H598" s="1046">
        <v>16228.55</v>
      </c>
      <c r="I598" s="1047"/>
      <c r="J598" s="383">
        <v>-719465.76</v>
      </c>
    </row>
    <row r="599" spans="1:12" ht="15" customHeight="1">
      <c r="A599" s="1050"/>
      <c r="B599" s="1050"/>
      <c r="C599" s="382" t="s">
        <v>3252</v>
      </c>
      <c r="D599" s="1049" t="s">
        <v>3253</v>
      </c>
      <c r="E599" s="1047"/>
      <c r="F599" s="383">
        <v>0</v>
      </c>
      <c r="G599" s="383">
        <v>18263.68</v>
      </c>
      <c r="H599" s="1046">
        <v>0</v>
      </c>
      <c r="I599" s="1047"/>
      <c r="J599" s="383">
        <v>-18263.68</v>
      </c>
    </row>
    <row r="600" spans="1:12" ht="15" customHeight="1">
      <c r="A600" s="1050"/>
      <c r="B600" s="1050"/>
      <c r="C600" s="382" t="s">
        <v>3254</v>
      </c>
      <c r="D600" s="1049" t="s">
        <v>3255</v>
      </c>
      <c r="E600" s="1047"/>
      <c r="F600" s="383">
        <v>0</v>
      </c>
      <c r="G600" s="383">
        <v>2141987.88</v>
      </c>
      <c r="H600" s="1046">
        <v>337307.39</v>
      </c>
      <c r="I600" s="1047"/>
      <c r="J600" s="383">
        <v>-1804680.49</v>
      </c>
    </row>
    <row r="601" spans="1:12" ht="15" customHeight="1">
      <c r="A601" s="1050"/>
      <c r="B601" s="1050"/>
      <c r="C601" s="382" t="s">
        <v>3256</v>
      </c>
      <c r="D601" s="1049" t="s">
        <v>3257</v>
      </c>
      <c r="E601" s="1047"/>
      <c r="F601" s="383">
        <v>0</v>
      </c>
      <c r="G601" s="383">
        <v>994158.98</v>
      </c>
      <c r="H601" s="1046">
        <v>0</v>
      </c>
      <c r="I601" s="1047"/>
      <c r="J601" s="383">
        <v>-994158.98</v>
      </c>
    </row>
    <row r="602" spans="1:12" ht="15" customHeight="1">
      <c r="A602" s="1050"/>
      <c r="B602" s="1050"/>
      <c r="C602" s="382" t="s">
        <v>3258</v>
      </c>
      <c r="D602" s="1049" t="s">
        <v>3249</v>
      </c>
      <c r="E602" s="1047"/>
      <c r="F602" s="383">
        <v>0</v>
      </c>
      <c r="G602" s="383">
        <v>1356798.9</v>
      </c>
      <c r="H602" s="1046">
        <v>146997.54999999999</v>
      </c>
      <c r="I602" s="1047"/>
      <c r="J602" s="383">
        <v>-1209801.3500000001</v>
      </c>
    </row>
    <row r="603" spans="1:12" ht="15" customHeight="1">
      <c r="A603" s="1050"/>
      <c r="B603" s="1050"/>
      <c r="C603" s="382" t="s">
        <v>3259</v>
      </c>
      <c r="D603" s="1049" t="s">
        <v>3249</v>
      </c>
      <c r="E603" s="1047"/>
      <c r="F603" s="383">
        <v>0</v>
      </c>
      <c r="G603" s="383">
        <v>458050.92</v>
      </c>
      <c r="H603" s="1046">
        <v>3419.79</v>
      </c>
      <c r="I603" s="1047"/>
      <c r="J603" s="383">
        <v>-454631.13</v>
      </c>
    </row>
    <row r="604" spans="1:12" ht="15" customHeight="1">
      <c r="A604" s="1050"/>
      <c r="B604" s="1050"/>
      <c r="C604" s="382" t="s">
        <v>3260</v>
      </c>
      <c r="D604" s="1049" t="s">
        <v>3261</v>
      </c>
      <c r="E604" s="1047"/>
      <c r="F604" s="383">
        <v>0</v>
      </c>
      <c r="G604" s="383">
        <v>90655.6</v>
      </c>
      <c r="H604" s="1046">
        <v>0</v>
      </c>
      <c r="I604" s="1047"/>
      <c r="J604" s="383">
        <v>-90655.6</v>
      </c>
    </row>
    <row r="605" spans="1:12">
      <c r="A605" s="1050"/>
      <c r="B605" s="1051"/>
      <c r="C605" s="437" t="s">
        <v>12</v>
      </c>
      <c r="D605" s="1060" t="s">
        <v>111</v>
      </c>
      <c r="E605" s="1047"/>
      <c r="F605" s="474">
        <v>0</v>
      </c>
      <c r="G605" s="474">
        <v>18872747.710000001</v>
      </c>
      <c r="H605" s="1061">
        <v>1359926.92</v>
      </c>
      <c r="I605" s="1047"/>
      <c r="J605" s="474">
        <v>-17512820.789999999</v>
      </c>
      <c r="L605" s="449">
        <f>J605</f>
        <v>-17512820.789999999</v>
      </c>
    </row>
    <row r="606" spans="1:12" ht="15" customHeight="1">
      <c r="A606" s="1050"/>
      <c r="B606" s="1049" t="s">
        <v>2586</v>
      </c>
      <c r="C606" s="382" t="s">
        <v>2587</v>
      </c>
      <c r="D606" s="1049" t="s">
        <v>2246</v>
      </c>
      <c r="E606" s="1047"/>
      <c r="F606" s="383">
        <v>0</v>
      </c>
      <c r="G606" s="383">
        <v>56994.33</v>
      </c>
      <c r="H606" s="1046">
        <v>0.18</v>
      </c>
      <c r="I606" s="1047"/>
      <c r="J606" s="383">
        <v>-56994.15</v>
      </c>
      <c r="L606" s="450"/>
    </row>
    <row r="607" spans="1:12" ht="15" customHeight="1">
      <c r="A607" s="1050"/>
      <c r="B607" s="1050"/>
      <c r="C607" s="382" t="s">
        <v>2588</v>
      </c>
      <c r="D607" s="1049" t="s">
        <v>2247</v>
      </c>
      <c r="E607" s="1047"/>
      <c r="F607" s="383">
        <v>0</v>
      </c>
      <c r="G607" s="383">
        <v>66713.34</v>
      </c>
      <c r="H607" s="1046">
        <v>0</v>
      </c>
      <c r="I607" s="1047"/>
      <c r="J607" s="383">
        <v>-66713.34</v>
      </c>
      <c r="L607" s="450"/>
    </row>
    <row r="608" spans="1:12" ht="15" customHeight="1">
      <c r="A608" s="1050"/>
      <c r="B608" s="1050"/>
      <c r="C608" s="382" t="s">
        <v>2589</v>
      </c>
      <c r="D608" s="1049" t="s">
        <v>2248</v>
      </c>
      <c r="E608" s="1047"/>
      <c r="F608" s="383">
        <v>0</v>
      </c>
      <c r="G608" s="383">
        <v>84756.84</v>
      </c>
      <c r="H608" s="1046">
        <v>22587.24</v>
      </c>
      <c r="I608" s="1047"/>
      <c r="J608" s="383">
        <v>-62169.599999999999</v>
      </c>
      <c r="L608" s="450"/>
    </row>
    <row r="609" spans="1:13" ht="15" customHeight="1">
      <c r="A609" s="1050"/>
      <c r="B609" s="1050"/>
      <c r="C609" s="382" t="s">
        <v>2590</v>
      </c>
      <c r="D609" s="1049" t="s">
        <v>2249</v>
      </c>
      <c r="E609" s="1047"/>
      <c r="F609" s="383">
        <v>0</v>
      </c>
      <c r="G609" s="383">
        <v>104770.85</v>
      </c>
      <c r="H609" s="1046">
        <v>0</v>
      </c>
      <c r="I609" s="1047"/>
      <c r="J609" s="383">
        <v>-104770.85</v>
      </c>
      <c r="L609" s="450"/>
    </row>
    <row r="610" spans="1:13" ht="15" customHeight="1">
      <c r="A610" s="1050"/>
      <c r="B610" s="1050"/>
      <c r="C610" s="382" t="s">
        <v>2591</v>
      </c>
      <c r="D610" s="1049" t="s">
        <v>2250</v>
      </c>
      <c r="E610" s="1047"/>
      <c r="F610" s="383">
        <v>0</v>
      </c>
      <c r="G610" s="383">
        <v>28958.93</v>
      </c>
      <c r="H610" s="1046">
        <v>0</v>
      </c>
      <c r="I610" s="1047"/>
      <c r="J610" s="383">
        <v>-28958.93</v>
      </c>
      <c r="L610" s="450"/>
    </row>
    <row r="611" spans="1:13" ht="15" customHeight="1">
      <c r="A611" s="1050"/>
      <c r="B611" s="1050"/>
      <c r="C611" s="382" t="s">
        <v>3262</v>
      </c>
      <c r="D611" s="1049" t="s">
        <v>3263</v>
      </c>
      <c r="E611" s="1047"/>
      <c r="F611" s="383">
        <v>0</v>
      </c>
      <c r="G611" s="383">
        <v>11787.8</v>
      </c>
      <c r="H611" s="1046">
        <v>0</v>
      </c>
      <c r="I611" s="1047"/>
      <c r="J611" s="383">
        <v>-11787.8</v>
      </c>
      <c r="L611" s="450"/>
    </row>
    <row r="612" spans="1:13" ht="15" customHeight="1">
      <c r="A612" s="1050"/>
      <c r="B612" s="1050"/>
      <c r="C612" s="382" t="s">
        <v>3264</v>
      </c>
      <c r="D612" s="1049" t="s">
        <v>3098</v>
      </c>
      <c r="E612" s="1047"/>
      <c r="F612" s="383">
        <v>0</v>
      </c>
      <c r="G612" s="383">
        <v>14096.42</v>
      </c>
      <c r="H612" s="1046">
        <v>0</v>
      </c>
      <c r="I612" s="1047"/>
      <c r="J612" s="383">
        <v>-14096.42</v>
      </c>
      <c r="L612" s="450"/>
    </row>
    <row r="613" spans="1:13" ht="15" customHeight="1">
      <c r="A613" s="1050"/>
      <c r="B613" s="1050"/>
      <c r="C613" s="382" t="s">
        <v>3265</v>
      </c>
      <c r="D613" s="1049" t="s">
        <v>3266</v>
      </c>
      <c r="E613" s="1047"/>
      <c r="F613" s="383">
        <v>0</v>
      </c>
      <c r="G613" s="383">
        <v>44709.36</v>
      </c>
      <c r="H613" s="1046">
        <v>0</v>
      </c>
      <c r="I613" s="1047"/>
      <c r="J613" s="383">
        <v>-44709.36</v>
      </c>
      <c r="L613" s="450"/>
    </row>
    <row r="614" spans="1:13" ht="15" customHeight="1">
      <c r="A614" s="1050"/>
      <c r="B614" s="1050"/>
      <c r="C614" s="382" t="s">
        <v>3267</v>
      </c>
      <c r="D614" s="1049" t="s">
        <v>3268</v>
      </c>
      <c r="E614" s="1047"/>
      <c r="F614" s="383">
        <v>0</v>
      </c>
      <c r="G614" s="383">
        <v>16430.52</v>
      </c>
      <c r="H614" s="1046">
        <v>0</v>
      </c>
      <c r="I614" s="1047"/>
      <c r="J614" s="383">
        <v>-16430.52</v>
      </c>
      <c r="L614" s="450"/>
    </row>
    <row r="615" spans="1:13" ht="15" customHeight="1">
      <c r="A615" s="1050"/>
      <c r="B615" s="1050"/>
      <c r="C615" s="382" t="s">
        <v>3269</v>
      </c>
      <c r="D615" s="1049" t="s">
        <v>3104</v>
      </c>
      <c r="E615" s="1047"/>
      <c r="F615" s="383">
        <v>0</v>
      </c>
      <c r="G615" s="383">
        <v>16944.599999999999</v>
      </c>
      <c r="H615" s="1046">
        <v>2093.75</v>
      </c>
      <c r="I615" s="1047"/>
      <c r="J615" s="383">
        <v>-14850.85</v>
      </c>
      <c r="L615" s="450"/>
    </row>
    <row r="616" spans="1:13" ht="15" customHeight="1">
      <c r="A616" s="1050"/>
      <c r="B616" s="1050"/>
      <c r="C616" s="382" t="s">
        <v>3270</v>
      </c>
      <c r="D616" s="1049" t="s">
        <v>3104</v>
      </c>
      <c r="E616" s="1047"/>
      <c r="F616" s="383">
        <v>0</v>
      </c>
      <c r="G616" s="383">
        <v>8375</v>
      </c>
      <c r="H616" s="1046">
        <v>0</v>
      </c>
      <c r="I616" s="1047"/>
      <c r="J616" s="383">
        <v>-8375</v>
      </c>
      <c r="L616" s="450"/>
    </row>
    <row r="617" spans="1:13" ht="15" customHeight="1">
      <c r="A617" s="1050"/>
      <c r="B617" s="1050"/>
      <c r="C617" s="382" t="s">
        <v>3271</v>
      </c>
      <c r="D617" s="1049" t="s">
        <v>3272</v>
      </c>
      <c r="E617" s="1047"/>
      <c r="F617" s="383">
        <v>0</v>
      </c>
      <c r="G617" s="383">
        <v>260.43</v>
      </c>
      <c r="H617" s="1046">
        <v>0</v>
      </c>
      <c r="I617" s="1047"/>
      <c r="J617" s="383">
        <v>-260.43</v>
      </c>
      <c r="L617" s="450"/>
    </row>
    <row r="618" spans="1:13">
      <c r="A618" s="1050"/>
      <c r="B618" s="1051"/>
      <c r="C618" s="437" t="s">
        <v>12</v>
      </c>
      <c r="D618" s="1060" t="s">
        <v>111</v>
      </c>
      <c r="E618" s="1047"/>
      <c r="F618" s="474">
        <v>0</v>
      </c>
      <c r="G618" s="474">
        <v>454798.42</v>
      </c>
      <c r="H618" s="1061">
        <v>24681.17</v>
      </c>
      <c r="I618" s="1047"/>
      <c r="J618" s="474">
        <v>-430117.25</v>
      </c>
      <c r="L618" s="451">
        <f>J618</f>
        <v>-430117.25</v>
      </c>
    </row>
    <row r="619" spans="1:13" ht="15" customHeight="1">
      <c r="A619" s="1050"/>
      <c r="B619" s="1049" t="s">
        <v>2592</v>
      </c>
      <c r="C619" s="382" t="s">
        <v>2593</v>
      </c>
      <c r="D619" s="1049" t="s">
        <v>2251</v>
      </c>
      <c r="E619" s="1047"/>
      <c r="F619" s="383">
        <v>0</v>
      </c>
      <c r="G619" s="383">
        <v>700</v>
      </c>
      <c r="H619" s="1046">
        <v>0</v>
      </c>
      <c r="I619" s="1047"/>
      <c r="J619" s="383">
        <v>-700</v>
      </c>
      <c r="L619" s="442">
        <f>SUM(L605:L618)</f>
        <v>-17942938.039999999</v>
      </c>
    </row>
    <row r="620" spans="1:13" ht="15" customHeight="1">
      <c r="A620" s="1050"/>
      <c r="B620" s="1050"/>
      <c r="C620" s="382" t="s">
        <v>2594</v>
      </c>
      <c r="D620" s="1049" t="s">
        <v>2252</v>
      </c>
      <c r="E620" s="1047"/>
      <c r="F620" s="383">
        <v>0</v>
      </c>
      <c r="G620" s="383">
        <v>0</v>
      </c>
      <c r="H620" s="1046">
        <v>0</v>
      </c>
      <c r="I620" s="1047"/>
      <c r="J620" s="383">
        <v>0</v>
      </c>
    </row>
    <row r="621" spans="1:13" ht="15" customHeight="1">
      <c r="A621" s="1050"/>
      <c r="B621" s="1050"/>
      <c r="C621" s="382" t="s">
        <v>2595</v>
      </c>
      <c r="D621" s="1049" t="s">
        <v>2253</v>
      </c>
      <c r="E621" s="1047"/>
      <c r="F621" s="383">
        <v>0</v>
      </c>
      <c r="G621" s="383">
        <v>242797.79</v>
      </c>
      <c r="H621" s="1046">
        <v>29522.58</v>
      </c>
      <c r="I621" s="1047"/>
      <c r="J621" s="383">
        <v>-213275.21</v>
      </c>
    </row>
    <row r="622" spans="1:13" ht="15" customHeight="1">
      <c r="A622" s="1050"/>
      <c r="B622" s="1050"/>
      <c r="C622" s="382" t="s">
        <v>2596</v>
      </c>
      <c r="D622" s="1049" t="s">
        <v>2254</v>
      </c>
      <c r="E622" s="1047"/>
      <c r="F622" s="383">
        <v>0</v>
      </c>
      <c r="G622" s="383">
        <v>2199.5500000000002</v>
      </c>
      <c r="H622" s="1046">
        <v>57.5</v>
      </c>
      <c r="I622" s="1047"/>
      <c r="J622" s="383">
        <v>-2142.0500000000002</v>
      </c>
    </row>
    <row r="623" spans="1:13" ht="15" customHeight="1">
      <c r="A623" s="1050"/>
      <c r="B623" s="1050"/>
      <c r="C623" s="382" t="s">
        <v>3273</v>
      </c>
      <c r="D623" s="1049" t="s">
        <v>3274</v>
      </c>
      <c r="E623" s="1047"/>
      <c r="F623" s="383">
        <v>0</v>
      </c>
      <c r="G623" s="383">
        <v>61509.45</v>
      </c>
      <c r="H623" s="1046">
        <v>0</v>
      </c>
      <c r="I623" s="1047"/>
      <c r="J623" s="383">
        <v>-61509.45</v>
      </c>
    </row>
    <row r="624" spans="1:13">
      <c r="A624" s="1050"/>
      <c r="B624" s="1051"/>
      <c r="C624" s="437" t="s">
        <v>12</v>
      </c>
      <c r="D624" s="1060" t="s">
        <v>111</v>
      </c>
      <c r="E624" s="1047"/>
      <c r="F624" s="474">
        <v>0</v>
      </c>
      <c r="G624" s="474">
        <v>307206.78999999998</v>
      </c>
      <c r="H624" s="1061">
        <v>29580.080000000002</v>
      </c>
      <c r="I624" s="1047"/>
      <c r="J624" s="474">
        <v>-277626.71000000002</v>
      </c>
      <c r="M624" s="459">
        <f>J624</f>
        <v>-277626.71000000002</v>
      </c>
    </row>
    <row r="625" spans="1:13" ht="15" customHeight="1">
      <c r="A625" s="1050"/>
      <c r="B625" s="1049" t="s">
        <v>2597</v>
      </c>
      <c r="C625" s="382" t="s">
        <v>2598</v>
      </c>
      <c r="D625" s="1049" t="s">
        <v>2010</v>
      </c>
      <c r="E625" s="1047"/>
      <c r="F625" s="383">
        <v>0</v>
      </c>
      <c r="G625" s="383">
        <v>6089348.21</v>
      </c>
      <c r="H625" s="1046">
        <v>3639853.02</v>
      </c>
      <c r="I625" s="1047"/>
      <c r="J625" s="383">
        <v>-2449495.19</v>
      </c>
      <c r="M625" s="460"/>
    </row>
    <row r="626" spans="1:13" ht="15" customHeight="1">
      <c r="A626" s="1050"/>
      <c r="B626" s="1050"/>
      <c r="C626" s="382" t="s">
        <v>2599</v>
      </c>
      <c r="D626" s="1049" t="s">
        <v>1981</v>
      </c>
      <c r="E626" s="1047"/>
      <c r="F626" s="383">
        <v>0</v>
      </c>
      <c r="G626" s="383">
        <v>336145.3</v>
      </c>
      <c r="H626" s="1046">
        <v>130590.21</v>
      </c>
      <c r="I626" s="1047"/>
      <c r="J626" s="383">
        <v>-205555.09</v>
      </c>
      <c r="M626" s="460"/>
    </row>
    <row r="627" spans="1:13" ht="15" customHeight="1">
      <c r="A627" s="1050"/>
      <c r="B627" s="1050"/>
      <c r="C627" s="382" t="s">
        <v>2600</v>
      </c>
      <c r="D627" s="1049" t="s">
        <v>2011</v>
      </c>
      <c r="E627" s="1047"/>
      <c r="F627" s="383">
        <v>0</v>
      </c>
      <c r="G627" s="383">
        <v>3637244.09</v>
      </c>
      <c r="H627" s="1046">
        <v>2243191.84</v>
      </c>
      <c r="I627" s="1047"/>
      <c r="J627" s="383">
        <v>-1394052.25</v>
      </c>
      <c r="M627" s="460"/>
    </row>
    <row r="628" spans="1:13" ht="15" customHeight="1">
      <c r="A628" s="1050"/>
      <c r="B628" s="1050"/>
      <c r="C628" s="382" t="s">
        <v>2601</v>
      </c>
      <c r="D628" s="1049" t="s">
        <v>2012</v>
      </c>
      <c r="E628" s="1047"/>
      <c r="F628" s="383">
        <v>0</v>
      </c>
      <c r="G628" s="383">
        <v>3501158.2</v>
      </c>
      <c r="H628" s="1046">
        <v>2183780.3199999998</v>
      </c>
      <c r="I628" s="1047"/>
      <c r="J628" s="383">
        <v>-1317377.8799999999</v>
      </c>
      <c r="M628" s="460"/>
    </row>
    <row r="629" spans="1:13" ht="15" customHeight="1">
      <c r="A629" s="1050"/>
      <c r="B629" s="1050"/>
      <c r="C629" s="382" t="s">
        <v>2602</v>
      </c>
      <c r="D629" s="1049" t="s">
        <v>2013</v>
      </c>
      <c r="E629" s="1047"/>
      <c r="F629" s="383">
        <v>0</v>
      </c>
      <c r="G629" s="383">
        <v>2541244.2200000002</v>
      </c>
      <c r="H629" s="1046">
        <v>1697993.26</v>
      </c>
      <c r="I629" s="1047"/>
      <c r="J629" s="383">
        <v>-843250.96</v>
      </c>
      <c r="M629" s="460"/>
    </row>
    <row r="630" spans="1:13" ht="15" customHeight="1">
      <c r="A630" s="1050"/>
      <c r="B630" s="1050"/>
      <c r="C630" s="382" t="s">
        <v>2603</v>
      </c>
      <c r="D630" s="1049" t="s">
        <v>2255</v>
      </c>
      <c r="E630" s="1047"/>
      <c r="F630" s="383">
        <v>0</v>
      </c>
      <c r="G630" s="383">
        <v>353092.08</v>
      </c>
      <c r="H630" s="1046">
        <v>241011.79</v>
      </c>
      <c r="I630" s="1047"/>
      <c r="J630" s="383">
        <v>-112080.29</v>
      </c>
      <c r="M630" s="460"/>
    </row>
    <row r="631" spans="1:13" ht="15" customHeight="1">
      <c r="A631" s="1050"/>
      <c r="B631" s="1050"/>
      <c r="C631" s="382" t="s">
        <v>2604</v>
      </c>
      <c r="D631" s="1049" t="s">
        <v>2015</v>
      </c>
      <c r="E631" s="1047"/>
      <c r="F631" s="383">
        <v>0</v>
      </c>
      <c r="G631" s="383">
        <v>1470105.66</v>
      </c>
      <c r="H631" s="1046">
        <v>667663.56999999995</v>
      </c>
      <c r="I631" s="1047"/>
      <c r="J631" s="383">
        <v>-802442.09</v>
      </c>
      <c r="M631" s="460"/>
    </row>
    <row r="632" spans="1:13">
      <c r="A632" s="1050"/>
      <c r="B632" s="1051"/>
      <c r="C632" s="437" t="s">
        <v>12</v>
      </c>
      <c r="D632" s="1060" t="s">
        <v>111</v>
      </c>
      <c r="E632" s="1047"/>
      <c r="F632" s="474">
        <v>0</v>
      </c>
      <c r="G632" s="474">
        <v>17928337.760000002</v>
      </c>
      <c r="H632" s="1061">
        <v>10804084.01</v>
      </c>
      <c r="I632" s="1047"/>
      <c r="J632" s="474">
        <v>-7124253.75</v>
      </c>
      <c r="K632" s="458">
        <f>J632</f>
        <v>-7124253.75</v>
      </c>
      <c r="M632" s="460"/>
    </row>
    <row r="633" spans="1:13" ht="15" customHeight="1">
      <c r="A633" s="1050"/>
      <c r="B633" s="1049" t="s">
        <v>2605</v>
      </c>
      <c r="C633" s="382" t="s">
        <v>2606</v>
      </c>
      <c r="D633" s="1049" t="s">
        <v>2256</v>
      </c>
      <c r="E633" s="1047"/>
      <c r="F633" s="383">
        <v>0</v>
      </c>
      <c r="G633" s="383">
        <v>4425085.2</v>
      </c>
      <c r="H633" s="1046">
        <v>3457367.71</v>
      </c>
      <c r="I633" s="1047"/>
      <c r="J633" s="383">
        <v>-967717.49</v>
      </c>
      <c r="M633" s="460"/>
    </row>
    <row r="634" spans="1:13">
      <c r="A634" s="1050"/>
      <c r="B634" s="1051"/>
      <c r="C634" s="437" t="s">
        <v>12</v>
      </c>
      <c r="D634" s="1060" t="s">
        <v>111</v>
      </c>
      <c r="E634" s="1047"/>
      <c r="F634" s="474">
        <v>0</v>
      </c>
      <c r="G634" s="474">
        <v>4425085.2</v>
      </c>
      <c r="H634" s="1061">
        <v>3457367.71</v>
      </c>
      <c r="I634" s="1047"/>
      <c r="J634" s="474">
        <v>-967717.49</v>
      </c>
      <c r="M634" s="459">
        <f>J634</f>
        <v>-967717.49</v>
      </c>
    </row>
    <row r="635" spans="1:13" ht="15" customHeight="1">
      <c r="A635" s="1050"/>
      <c r="B635" s="1049" t="s">
        <v>2607</v>
      </c>
      <c r="C635" s="382" t="s">
        <v>2608</v>
      </c>
      <c r="D635" s="1049" t="s">
        <v>2257</v>
      </c>
      <c r="E635" s="1047"/>
      <c r="F635" s="383">
        <v>0</v>
      </c>
      <c r="G635" s="383">
        <v>0</v>
      </c>
      <c r="H635" s="1046">
        <v>0</v>
      </c>
      <c r="I635" s="1047"/>
      <c r="J635" s="383">
        <v>0</v>
      </c>
      <c r="M635" s="460"/>
    </row>
    <row r="636" spans="1:13" ht="15" customHeight="1">
      <c r="A636" s="1050"/>
      <c r="B636" s="1050"/>
      <c r="C636" s="382" t="s">
        <v>2609</v>
      </c>
      <c r="D636" s="1049" t="s">
        <v>2258</v>
      </c>
      <c r="E636" s="1047"/>
      <c r="F636" s="383">
        <v>0</v>
      </c>
      <c r="G636" s="383">
        <v>8599496.5899999999</v>
      </c>
      <c r="H636" s="1046">
        <v>6682063.2300000004</v>
      </c>
      <c r="I636" s="1047"/>
      <c r="J636" s="383">
        <v>-1917433.36</v>
      </c>
      <c r="M636" s="460"/>
    </row>
    <row r="637" spans="1:13" ht="15" customHeight="1">
      <c r="A637" s="1050"/>
      <c r="B637" s="1050"/>
      <c r="C637" s="382" t="s">
        <v>2610</v>
      </c>
      <c r="D637" s="1049" t="s">
        <v>2611</v>
      </c>
      <c r="E637" s="1047"/>
      <c r="F637" s="383">
        <v>0</v>
      </c>
      <c r="G637" s="383">
        <v>4120457.93</v>
      </c>
      <c r="H637" s="1046">
        <v>1158326.55</v>
      </c>
      <c r="I637" s="1047"/>
      <c r="J637" s="383">
        <v>-2962131.38</v>
      </c>
      <c r="M637" s="460"/>
    </row>
    <row r="638" spans="1:13" ht="15" customHeight="1">
      <c r="A638" s="1050"/>
      <c r="B638" s="1050"/>
      <c r="C638" s="382" t="s">
        <v>2612</v>
      </c>
      <c r="D638" s="1049" t="s">
        <v>2259</v>
      </c>
      <c r="E638" s="1047"/>
      <c r="F638" s="383">
        <v>0</v>
      </c>
      <c r="G638" s="383">
        <v>436972.66</v>
      </c>
      <c r="H638" s="1046">
        <v>125212.93</v>
      </c>
      <c r="I638" s="1047"/>
      <c r="J638" s="383">
        <v>-311759.73</v>
      </c>
      <c r="M638" s="460"/>
    </row>
    <row r="639" spans="1:13">
      <c r="A639" s="1050"/>
      <c r="B639" s="1051"/>
      <c r="C639" s="437" t="s">
        <v>12</v>
      </c>
      <c r="D639" s="1060" t="s">
        <v>111</v>
      </c>
      <c r="E639" s="1047"/>
      <c r="F639" s="474">
        <v>0</v>
      </c>
      <c r="G639" s="474">
        <v>13156927.18</v>
      </c>
      <c r="H639" s="1061">
        <v>7965602.71</v>
      </c>
      <c r="I639" s="1047"/>
      <c r="J639" s="474">
        <v>-5191324.47</v>
      </c>
      <c r="M639" s="459">
        <f>J639</f>
        <v>-5191324.47</v>
      </c>
    </row>
    <row r="640" spans="1:13" ht="15" customHeight="1">
      <c r="A640" s="1050"/>
      <c r="B640" s="1049" t="s">
        <v>2613</v>
      </c>
      <c r="C640" s="382" t="s">
        <v>2614</v>
      </c>
      <c r="D640" s="1049" t="s">
        <v>2260</v>
      </c>
      <c r="E640" s="1047"/>
      <c r="F640" s="383">
        <v>0</v>
      </c>
      <c r="G640" s="383">
        <v>33458917.52</v>
      </c>
      <c r="H640" s="1046">
        <v>5342793.38</v>
      </c>
      <c r="I640" s="1047"/>
      <c r="J640" s="383">
        <v>-28116124.140000001</v>
      </c>
      <c r="M640" s="460"/>
    </row>
    <row r="641" spans="1:13" ht="15" customHeight="1">
      <c r="A641" s="1050"/>
      <c r="B641" s="1050"/>
      <c r="C641" s="382" t="s">
        <v>2615</v>
      </c>
      <c r="D641" s="1049" t="s">
        <v>2261</v>
      </c>
      <c r="E641" s="1047"/>
      <c r="F641" s="383">
        <v>0</v>
      </c>
      <c r="G641" s="383">
        <v>313185.65999999997</v>
      </c>
      <c r="H641" s="1046">
        <v>31088.66</v>
      </c>
      <c r="I641" s="1047"/>
      <c r="J641" s="383">
        <v>-282097</v>
      </c>
      <c r="M641" s="460"/>
    </row>
    <row r="642" spans="1:13" ht="15" customHeight="1">
      <c r="A642" s="1050"/>
      <c r="B642" s="1050"/>
      <c r="C642" s="382" t="s">
        <v>2616</v>
      </c>
      <c r="D642" s="1049" t="s">
        <v>2262</v>
      </c>
      <c r="E642" s="1047"/>
      <c r="F642" s="383">
        <v>0</v>
      </c>
      <c r="G642" s="383">
        <v>0</v>
      </c>
      <c r="H642" s="1046">
        <v>0</v>
      </c>
      <c r="I642" s="1047"/>
      <c r="J642" s="383">
        <v>0</v>
      </c>
      <c r="M642" s="460"/>
    </row>
    <row r="643" spans="1:13" ht="15" customHeight="1">
      <c r="A643" s="1050"/>
      <c r="B643" s="1050"/>
      <c r="C643" s="382" t="s">
        <v>2617</v>
      </c>
      <c r="D643" s="1049" t="s">
        <v>2263</v>
      </c>
      <c r="E643" s="1047"/>
      <c r="F643" s="383">
        <v>0</v>
      </c>
      <c r="G643" s="383">
        <v>491899.6</v>
      </c>
      <c r="H643" s="1046">
        <v>4909</v>
      </c>
      <c r="I643" s="1047"/>
      <c r="J643" s="383">
        <v>-486990.6</v>
      </c>
      <c r="M643" s="460"/>
    </row>
    <row r="644" spans="1:13">
      <c r="A644" s="1050"/>
      <c r="B644" s="1051"/>
      <c r="C644" s="437" t="s">
        <v>12</v>
      </c>
      <c r="D644" s="1060" t="s">
        <v>111</v>
      </c>
      <c r="E644" s="1047"/>
      <c r="F644" s="474">
        <v>0</v>
      </c>
      <c r="G644" s="474">
        <v>34264002.780000001</v>
      </c>
      <c r="H644" s="1061">
        <v>5378791.04</v>
      </c>
      <c r="I644" s="1047"/>
      <c r="J644" s="474">
        <v>-28885211.739999998</v>
      </c>
      <c r="K644" s="456">
        <f>J644</f>
        <v>-28885211.739999998</v>
      </c>
      <c r="M644" s="460"/>
    </row>
    <row r="645" spans="1:13" ht="15" customHeight="1">
      <c r="A645" s="1050"/>
      <c r="B645" s="1049" t="s">
        <v>2618</v>
      </c>
      <c r="C645" s="382" t="s">
        <v>2619</v>
      </c>
      <c r="D645" s="1049" t="s">
        <v>2264</v>
      </c>
      <c r="E645" s="1047"/>
      <c r="F645" s="383">
        <v>0</v>
      </c>
      <c r="G645" s="383">
        <v>3722</v>
      </c>
      <c r="H645" s="1046">
        <v>0</v>
      </c>
      <c r="I645" s="1047"/>
      <c r="J645" s="383">
        <v>-3722</v>
      </c>
      <c r="K645" s="457"/>
      <c r="M645" s="460"/>
    </row>
    <row r="646" spans="1:13" ht="15" customHeight="1">
      <c r="A646" s="1050"/>
      <c r="B646" s="1050"/>
      <c r="C646" s="382" t="s">
        <v>2620</v>
      </c>
      <c r="D646" s="1049" t="s">
        <v>2265</v>
      </c>
      <c r="E646" s="1047"/>
      <c r="F646" s="383">
        <v>0</v>
      </c>
      <c r="G646" s="383">
        <v>1426883.56</v>
      </c>
      <c r="H646" s="1046">
        <v>228434.85</v>
      </c>
      <c r="I646" s="1047"/>
      <c r="J646" s="383">
        <v>-1198448.71</v>
      </c>
      <c r="K646" s="457"/>
      <c r="M646" s="460"/>
    </row>
    <row r="647" spans="1:13" ht="15" customHeight="1">
      <c r="A647" s="1050"/>
      <c r="B647" s="1050"/>
      <c r="C647" s="382" t="s">
        <v>2621</v>
      </c>
      <c r="D647" s="1049" t="s">
        <v>2266</v>
      </c>
      <c r="E647" s="1047"/>
      <c r="F647" s="383">
        <v>0</v>
      </c>
      <c r="G647" s="383">
        <v>1532918</v>
      </c>
      <c r="H647" s="1046">
        <v>5315.59</v>
      </c>
      <c r="I647" s="1047"/>
      <c r="J647" s="383">
        <v>-1527602.41</v>
      </c>
      <c r="K647" s="457"/>
      <c r="M647" s="460"/>
    </row>
    <row r="648" spans="1:13" ht="15" customHeight="1">
      <c r="A648" s="1050"/>
      <c r="B648" s="1050"/>
      <c r="C648" s="382" t="s">
        <v>2622</v>
      </c>
      <c r="D648" s="1049" t="s">
        <v>2267</v>
      </c>
      <c r="E648" s="1047"/>
      <c r="F648" s="383">
        <v>0</v>
      </c>
      <c r="G648" s="383">
        <v>1100</v>
      </c>
      <c r="H648" s="1046">
        <v>0</v>
      </c>
      <c r="I648" s="1047"/>
      <c r="J648" s="383">
        <v>-1100</v>
      </c>
      <c r="K648" s="457"/>
      <c r="M648" s="460"/>
    </row>
    <row r="649" spans="1:13" ht="15" customHeight="1">
      <c r="A649" s="1050"/>
      <c r="B649" s="1050"/>
      <c r="C649" s="382" t="s">
        <v>2623</v>
      </c>
      <c r="D649" s="1049" t="s">
        <v>2268</v>
      </c>
      <c r="E649" s="1047"/>
      <c r="F649" s="383">
        <v>0</v>
      </c>
      <c r="G649" s="383">
        <v>5997261.3600000003</v>
      </c>
      <c r="H649" s="1046">
        <v>1389641.9</v>
      </c>
      <c r="I649" s="1047"/>
      <c r="J649" s="383">
        <v>-4607619.46</v>
      </c>
      <c r="K649" s="457"/>
      <c r="M649" s="460"/>
    </row>
    <row r="650" spans="1:13">
      <c r="A650" s="1050"/>
      <c r="B650" s="1051"/>
      <c r="C650" s="437" t="s">
        <v>12</v>
      </c>
      <c r="D650" s="1060" t="s">
        <v>111</v>
      </c>
      <c r="E650" s="1047"/>
      <c r="F650" s="474">
        <v>0</v>
      </c>
      <c r="G650" s="474">
        <v>8961884.9199999999</v>
      </c>
      <c r="H650" s="1061">
        <v>1623392.34</v>
      </c>
      <c r="I650" s="1047"/>
      <c r="J650" s="474">
        <v>-7338492.5800000001</v>
      </c>
      <c r="K650" s="456">
        <f>J650</f>
        <v>-7338492.5800000001</v>
      </c>
      <c r="M650" s="460"/>
    </row>
    <row r="651" spans="1:13" ht="15" customHeight="1">
      <c r="A651" s="1050"/>
      <c r="B651" s="1049" t="s">
        <v>2624</v>
      </c>
      <c r="C651" s="382" t="s">
        <v>2625</v>
      </c>
      <c r="D651" s="1049" t="s">
        <v>2269</v>
      </c>
      <c r="E651" s="1047"/>
      <c r="F651" s="383">
        <v>0</v>
      </c>
      <c r="G651" s="383">
        <v>0</v>
      </c>
      <c r="H651" s="1046">
        <v>0</v>
      </c>
      <c r="I651" s="1047"/>
      <c r="J651" s="383">
        <v>0</v>
      </c>
      <c r="K651" s="448">
        <f>SUM(K644:K650)</f>
        <v>-36223704.32</v>
      </c>
      <c r="M651" s="460"/>
    </row>
    <row r="652" spans="1:13" ht="15" customHeight="1">
      <c r="A652" s="1050"/>
      <c r="B652" s="1050"/>
      <c r="C652" s="382" t="s">
        <v>2626</v>
      </c>
      <c r="D652" s="1049" t="s">
        <v>2270</v>
      </c>
      <c r="E652" s="1047"/>
      <c r="F652" s="383">
        <v>0</v>
      </c>
      <c r="G652" s="383">
        <v>1772.17</v>
      </c>
      <c r="H652" s="1046">
        <v>0</v>
      </c>
      <c r="I652" s="1047"/>
      <c r="J652" s="383">
        <v>-1772.17</v>
      </c>
      <c r="M652" s="460"/>
    </row>
    <row r="653" spans="1:13" ht="15" customHeight="1">
      <c r="A653" s="1050"/>
      <c r="B653" s="1050"/>
      <c r="C653" s="382" t="s">
        <v>2627</v>
      </c>
      <c r="D653" s="1049" t="s">
        <v>2271</v>
      </c>
      <c r="E653" s="1047"/>
      <c r="F653" s="383">
        <v>0</v>
      </c>
      <c r="G653" s="383">
        <v>221887.15</v>
      </c>
      <c r="H653" s="1046">
        <v>4407.95</v>
      </c>
      <c r="I653" s="1047"/>
      <c r="J653" s="383">
        <v>-217479.2</v>
      </c>
      <c r="M653" s="460"/>
    </row>
    <row r="654" spans="1:13">
      <c r="A654" s="1050"/>
      <c r="B654" s="1051"/>
      <c r="C654" s="437" t="s">
        <v>12</v>
      </c>
      <c r="D654" s="1060" t="s">
        <v>111</v>
      </c>
      <c r="E654" s="1047"/>
      <c r="F654" s="474">
        <v>0</v>
      </c>
      <c r="G654" s="474">
        <v>223659.32</v>
      </c>
      <c r="H654" s="1061">
        <v>4407.95</v>
      </c>
      <c r="I654" s="1047"/>
      <c r="J654" s="474">
        <v>-219251.37</v>
      </c>
      <c r="M654" s="459">
        <f>J654</f>
        <v>-219251.37</v>
      </c>
    </row>
    <row r="655" spans="1:13" ht="15" customHeight="1">
      <c r="A655" s="1050"/>
      <c r="B655" s="1049" t="s">
        <v>2628</v>
      </c>
      <c r="C655" s="382" t="s">
        <v>2629</v>
      </c>
      <c r="D655" s="1049" t="s">
        <v>2272</v>
      </c>
      <c r="E655" s="1047"/>
      <c r="F655" s="383">
        <v>0</v>
      </c>
      <c r="G655" s="383">
        <v>0</v>
      </c>
      <c r="H655" s="1046">
        <v>0</v>
      </c>
      <c r="I655" s="1047"/>
      <c r="J655" s="383">
        <v>0</v>
      </c>
      <c r="M655" s="460"/>
    </row>
    <row r="656" spans="1:13" ht="15" customHeight="1">
      <c r="A656" s="1050"/>
      <c r="B656" s="1050"/>
      <c r="C656" s="382" t="s">
        <v>3275</v>
      </c>
      <c r="D656" s="1049" t="s">
        <v>3276</v>
      </c>
      <c r="E656" s="1047"/>
      <c r="F656" s="383">
        <v>0</v>
      </c>
      <c r="G656" s="383">
        <v>21598.560000000001</v>
      </c>
      <c r="H656" s="1046">
        <v>0</v>
      </c>
      <c r="I656" s="1047"/>
      <c r="J656" s="383">
        <v>-21598.560000000001</v>
      </c>
      <c r="M656" s="460"/>
    </row>
    <row r="657" spans="1:13">
      <c r="A657" s="1050"/>
      <c r="B657" s="1051"/>
      <c r="C657" s="437" t="s">
        <v>12</v>
      </c>
      <c r="D657" s="1060" t="s">
        <v>111</v>
      </c>
      <c r="E657" s="1047"/>
      <c r="F657" s="474">
        <v>0</v>
      </c>
      <c r="G657" s="474">
        <v>21598.560000000001</v>
      </c>
      <c r="H657" s="1061">
        <v>0</v>
      </c>
      <c r="I657" s="1047"/>
      <c r="J657" s="474">
        <v>-21598.560000000001</v>
      </c>
      <c r="M657" s="459">
        <f>J657</f>
        <v>-21598.560000000001</v>
      </c>
    </row>
    <row r="658" spans="1:13" ht="15" customHeight="1">
      <c r="A658" s="1050"/>
      <c r="B658" s="1049" t="s">
        <v>2630</v>
      </c>
      <c r="C658" s="382" t="s">
        <v>2631</v>
      </c>
      <c r="D658" s="1049" t="s">
        <v>2273</v>
      </c>
      <c r="E658" s="1047"/>
      <c r="F658" s="383">
        <v>0</v>
      </c>
      <c r="G658" s="383">
        <v>931799.97</v>
      </c>
      <c r="H658" s="1046">
        <v>66199.83</v>
      </c>
      <c r="I658" s="1047"/>
      <c r="J658" s="383">
        <v>-865600.14</v>
      </c>
      <c r="M658" s="460"/>
    </row>
    <row r="659" spans="1:13" ht="15" customHeight="1">
      <c r="A659" s="1050"/>
      <c r="B659" s="1050"/>
      <c r="C659" s="382" t="s">
        <v>2632</v>
      </c>
      <c r="D659" s="1049" t="s">
        <v>2274</v>
      </c>
      <c r="E659" s="1047"/>
      <c r="F659" s="383">
        <v>0</v>
      </c>
      <c r="G659" s="383">
        <v>2125740.59</v>
      </c>
      <c r="H659" s="1046">
        <v>35366.129999999997</v>
      </c>
      <c r="I659" s="1047"/>
      <c r="J659" s="383">
        <v>-2090374.46</v>
      </c>
      <c r="M659" s="460"/>
    </row>
    <row r="660" spans="1:13">
      <c r="A660" s="1050"/>
      <c r="B660" s="1051"/>
      <c r="C660" s="437" t="s">
        <v>12</v>
      </c>
      <c r="D660" s="1060" t="s">
        <v>111</v>
      </c>
      <c r="E660" s="1047"/>
      <c r="F660" s="474">
        <v>0</v>
      </c>
      <c r="G660" s="474">
        <v>3057540.56</v>
      </c>
      <c r="H660" s="1061">
        <v>101565.96</v>
      </c>
      <c r="I660" s="1047"/>
      <c r="J660" s="474">
        <v>-2955974.6</v>
      </c>
      <c r="M660" s="459">
        <f>J660</f>
        <v>-2955974.6</v>
      </c>
    </row>
    <row r="661" spans="1:13" ht="15" customHeight="1">
      <c r="A661" s="1050"/>
      <c r="B661" s="1049" t="s">
        <v>2633</v>
      </c>
      <c r="C661" s="382" t="s">
        <v>2634</v>
      </c>
      <c r="D661" s="1049" t="s">
        <v>2275</v>
      </c>
      <c r="E661" s="1047"/>
      <c r="F661" s="383">
        <v>0</v>
      </c>
      <c r="G661" s="383">
        <v>385791.96</v>
      </c>
      <c r="H661" s="1046">
        <v>10981.34</v>
      </c>
      <c r="I661" s="1047"/>
      <c r="J661" s="383">
        <v>-374810.62</v>
      </c>
      <c r="M661" s="460"/>
    </row>
    <row r="662" spans="1:13" ht="15" customHeight="1">
      <c r="A662" s="1050"/>
      <c r="B662" s="1050"/>
      <c r="C662" s="382" t="s">
        <v>2635</v>
      </c>
      <c r="D662" s="1049" t="s">
        <v>2276</v>
      </c>
      <c r="E662" s="1047"/>
      <c r="F662" s="383">
        <v>0</v>
      </c>
      <c r="G662" s="383">
        <v>606590.57999999996</v>
      </c>
      <c r="H662" s="1046">
        <v>96355.14</v>
      </c>
      <c r="I662" s="1047"/>
      <c r="J662" s="383">
        <v>-510235.44</v>
      </c>
      <c r="M662" s="460"/>
    </row>
    <row r="663" spans="1:13">
      <c r="A663" s="1050"/>
      <c r="B663" s="1051"/>
      <c r="C663" s="437" t="s">
        <v>12</v>
      </c>
      <c r="D663" s="1060" t="s">
        <v>111</v>
      </c>
      <c r="E663" s="1047"/>
      <c r="F663" s="474">
        <v>0</v>
      </c>
      <c r="G663" s="474">
        <v>992382.54</v>
      </c>
      <c r="H663" s="1061">
        <v>107336.48</v>
      </c>
      <c r="I663" s="1047"/>
      <c r="J663" s="474">
        <v>-885046.06</v>
      </c>
      <c r="M663" s="459">
        <f>J663</f>
        <v>-885046.06</v>
      </c>
    </row>
    <row r="664" spans="1:13" ht="15" customHeight="1">
      <c r="A664" s="1050"/>
      <c r="B664" s="1049" t="s">
        <v>2636</v>
      </c>
      <c r="C664" s="382" t="s">
        <v>2637</v>
      </c>
      <c r="D664" s="1049" t="s">
        <v>2277</v>
      </c>
      <c r="E664" s="1047"/>
      <c r="F664" s="383">
        <v>0</v>
      </c>
      <c r="G664" s="383">
        <v>1588323.04</v>
      </c>
      <c r="H664" s="1046">
        <v>25490.85</v>
      </c>
      <c r="I664" s="1047"/>
      <c r="J664" s="383">
        <v>-1562832.19</v>
      </c>
      <c r="M664" s="460"/>
    </row>
    <row r="665" spans="1:13">
      <c r="A665" s="1050"/>
      <c r="B665" s="1051"/>
      <c r="C665" s="437" t="s">
        <v>12</v>
      </c>
      <c r="D665" s="1060" t="s">
        <v>111</v>
      </c>
      <c r="E665" s="1047"/>
      <c r="F665" s="474">
        <v>0</v>
      </c>
      <c r="G665" s="474">
        <v>1588323.04</v>
      </c>
      <c r="H665" s="1061">
        <v>25490.85</v>
      </c>
      <c r="I665" s="1047"/>
      <c r="J665" s="474">
        <v>-1562832.19</v>
      </c>
      <c r="M665" s="459">
        <f>J665</f>
        <v>-1562832.19</v>
      </c>
    </row>
    <row r="666" spans="1:13" ht="15" customHeight="1">
      <c r="A666" s="1050"/>
      <c r="B666" s="1049" t="s">
        <v>2638</v>
      </c>
      <c r="C666" s="382" t="s">
        <v>2639</v>
      </c>
      <c r="D666" s="1049" t="s">
        <v>2278</v>
      </c>
      <c r="E666" s="1047"/>
      <c r="F666" s="383">
        <v>0</v>
      </c>
      <c r="G666" s="383">
        <v>500900</v>
      </c>
      <c r="H666" s="1046">
        <v>125000</v>
      </c>
      <c r="I666" s="1047"/>
      <c r="J666" s="383">
        <v>-375900</v>
      </c>
      <c r="M666" s="460"/>
    </row>
    <row r="667" spans="1:13">
      <c r="A667" s="1050"/>
      <c r="B667" s="1051"/>
      <c r="C667" s="437" t="s">
        <v>12</v>
      </c>
      <c r="D667" s="1060" t="s">
        <v>111</v>
      </c>
      <c r="E667" s="1047"/>
      <c r="F667" s="474">
        <v>0</v>
      </c>
      <c r="G667" s="474">
        <v>500900</v>
      </c>
      <c r="H667" s="1061">
        <v>125000</v>
      </c>
      <c r="I667" s="1047"/>
      <c r="J667" s="474">
        <v>-375900</v>
      </c>
      <c r="M667" s="459">
        <f>J667</f>
        <v>-375900</v>
      </c>
    </row>
    <row r="668" spans="1:13" ht="15" customHeight="1">
      <c r="A668" s="1050"/>
      <c r="B668" s="1049" t="s">
        <v>2640</v>
      </c>
      <c r="C668" s="382" t="s">
        <v>2641</v>
      </c>
      <c r="D668" s="1049" t="s">
        <v>2279</v>
      </c>
      <c r="E668" s="1047"/>
      <c r="F668" s="383">
        <v>0</v>
      </c>
      <c r="G668" s="383">
        <v>70250</v>
      </c>
      <c r="H668" s="1046">
        <v>22000</v>
      </c>
      <c r="I668" s="1047"/>
      <c r="J668" s="383">
        <v>-48250</v>
      </c>
      <c r="M668" s="460"/>
    </row>
    <row r="669" spans="1:13">
      <c r="A669" s="1050"/>
      <c r="B669" s="1051"/>
      <c r="C669" s="437" t="s">
        <v>12</v>
      </c>
      <c r="D669" s="1060" t="s">
        <v>111</v>
      </c>
      <c r="E669" s="1047"/>
      <c r="F669" s="474">
        <v>0</v>
      </c>
      <c r="G669" s="474">
        <v>70250</v>
      </c>
      <c r="H669" s="1061">
        <v>22000</v>
      </c>
      <c r="I669" s="1047"/>
      <c r="J669" s="474">
        <v>-48250</v>
      </c>
      <c r="M669" s="459">
        <f>J669</f>
        <v>-48250</v>
      </c>
    </row>
    <row r="670" spans="1:13" ht="15" customHeight="1">
      <c r="A670" s="1050"/>
      <c r="B670" s="1049" t="s">
        <v>2642</v>
      </c>
      <c r="C670" s="382" t="s">
        <v>2643</v>
      </c>
      <c r="D670" s="1049" t="s">
        <v>2280</v>
      </c>
      <c r="E670" s="1047"/>
      <c r="F670" s="383">
        <v>0</v>
      </c>
      <c r="G670" s="383">
        <v>0</v>
      </c>
      <c r="H670" s="1046">
        <v>0</v>
      </c>
      <c r="I670" s="1047"/>
      <c r="J670" s="383">
        <v>0</v>
      </c>
      <c r="M670" s="460"/>
    </row>
    <row r="671" spans="1:13" ht="15" customHeight="1">
      <c r="A671" s="1050"/>
      <c r="B671" s="1050"/>
      <c r="C671" s="382" t="s">
        <v>3277</v>
      </c>
      <c r="D671" s="1049" t="s">
        <v>3278</v>
      </c>
      <c r="E671" s="1047"/>
      <c r="F671" s="383">
        <v>0</v>
      </c>
      <c r="G671" s="383">
        <v>112</v>
      </c>
      <c r="H671" s="1046">
        <v>0</v>
      </c>
      <c r="I671" s="1047"/>
      <c r="J671" s="383">
        <v>-112</v>
      </c>
      <c r="M671" s="460"/>
    </row>
    <row r="672" spans="1:13">
      <c r="A672" s="1050"/>
      <c r="B672" s="1051"/>
      <c r="C672" s="437" t="s">
        <v>12</v>
      </c>
      <c r="D672" s="1060" t="s">
        <v>111</v>
      </c>
      <c r="E672" s="1047"/>
      <c r="F672" s="474">
        <v>0</v>
      </c>
      <c r="G672" s="474">
        <v>112</v>
      </c>
      <c r="H672" s="1061">
        <v>0</v>
      </c>
      <c r="I672" s="1047"/>
      <c r="J672" s="474">
        <v>-112</v>
      </c>
      <c r="M672" s="459">
        <f>J672</f>
        <v>-112</v>
      </c>
    </row>
    <row r="673" spans="1:13" ht="15" customHeight="1">
      <c r="A673" s="1050"/>
      <c r="B673" s="1049" t="s">
        <v>2644</v>
      </c>
      <c r="C673" s="382" t="s">
        <v>2645</v>
      </c>
      <c r="D673" s="1049" t="s">
        <v>2281</v>
      </c>
      <c r="E673" s="1047"/>
      <c r="F673" s="383">
        <v>0</v>
      </c>
      <c r="G673" s="383">
        <v>883394.89</v>
      </c>
      <c r="H673" s="1046">
        <v>139360.57999999999</v>
      </c>
      <c r="I673" s="1047"/>
      <c r="J673" s="383">
        <v>-744034.31</v>
      </c>
      <c r="M673" s="460"/>
    </row>
    <row r="674" spans="1:13">
      <c r="A674" s="1050"/>
      <c r="B674" s="1051"/>
      <c r="C674" s="437" t="s">
        <v>12</v>
      </c>
      <c r="D674" s="1060" t="s">
        <v>111</v>
      </c>
      <c r="E674" s="1047"/>
      <c r="F674" s="474">
        <v>0</v>
      </c>
      <c r="G674" s="474">
        <v>883394.89</v>
      </c>
      <c r="H674" s="1061">
        <v>139360.57999999999</v>
      </c>
      <c r="I674" s="1047"/>
      <c r="J674" s="474">
        <v>-744034.31</v>
      </c>
      <c r="M674" s="459">
        <f>J674</f>
        <v>-744034.31</v>
      </c>
    </row>
    <row r="675" spans="1:13" ht="15" customHeight="1">
      <c r="A675" s="1050"/>
      <c r="B675" s="1049" t="s">
        <v>2646</v>
      </c>
      <c r="C675" s="382" t="s">
        <v>2647</v>
      </c>
      <c r="D675" s="1049" t="s">
        <v>2282</v>
      </c>
      <c r="E675" s="1047"/>
      <c r="F675" s="383">
        <v>0</v>
      </c>
      <c r="G675" s="383">
        <v>3081337.44</v>
      </c>
      <c r="H675" s="1046">
        <v>2000</v>
      </c>
      <c r="I675" s="1047"/>
      <c r="J675" s="383">
        <v>-3079337.44</v>
      </c>
      <c r="M675" s="460"/>
    </row>
    <row r="676" spans="1:13" ht="15" customHeight="1">
      <c r="A676" s="1050"/>
      <c r="B676" s="1050"/>
      <c r="C676" s="382" t="s">
        <v>3279</v>
      </c>
      <c r="D676" s="1049" t="s">
        <v>3280</v>
      </c>
      <c r="E676" s="1047"/>
      <c r="F676" s="383">
        <v>0</v>
      </c>
      <c r="G676" s="383">
        <v>4400</v>
      </c>
      <c r="H676" s="1046">
        <v>0</v>
      </c>
      <c r="I676" s="1047"/>
      <c r="J676" s="383">
        <v>-4400</v>
      </c>
      <c r="M676" s="460"/>
    </row>
    <row r="677" spans="1:13">
      <c r="A677" s="1050"/>
      <c r="B677" s="1051"/>
      <c r="C677" s="437" t="s">
        <v>12</v>
      </c>
      <c r="D677" s="1060" t="s">
        <v>111</v>
      </c>
      <c r="E677" s="1047"/>
      <c r="F677" s="474">
        <v>0</v>
      </c>
      <c r="G677" s="474">
        <v>3085737.44</v>
      </c>
      <c r="H677" s="1061">
        <v>2000</v>
      </c>
      <c r="I677" s="1047"/>
      <c r="J677" s="474">
        <v>-3083737.44</v>
      </c>
      <c r="M677" s="459">
        <f>J677</f>
        <v>-3083737.44</v>
      </c>
    </row>
    <row r="678" spans="1:13" ht="15" customHeight="1">
      <c r="A678" s="1050"/>
      <c r="B678" s="1049" t="s">
        <v>2648</v>
      </c>
      <c r="C678" s="382" t="s">
        <v>2649</v>
      </c>
      <c r="D678" s="1049" t="s">
        <v>2283</v>
      </c>
      <c r="E678" s="1047"/>
      <c r="F678" s="383">
        <v>0</v>
      </c>
      <c r="G678" s="383">
        <v>41370.620000000003</v>
      </c>
      <c r="H678" s="1046">
        <v>2151.8000000000002</v>
      </c>
      <c r="I678" s="1047"/>
      <c r="J678" s="383">
        <v>-39218.82</v>
      </c>
      <c r="M678" s="460"/>
    </row>
    <row r="679" spans="1:13">
      <c r="A679" s="1050"/>
      <c r="B679" s="1051"/>
      <c r="C679" s="437" t="s">
        <v>12</v>
      </c>
      <c r="D679" s="1060" t="s">
        <v>111</v>
      </c>
      <c r="E679" s="1047"/>
      <c r="F679" s="474">
        <v>0</v>
      </c>
      <c r="G679" s="474">
        <v>41370.620000000003</v>
      </c>
      <c r="H679" s="1061">
        <v>2151.8000000000002</v>
      </c>
      <c r="I679" s="1047"/>
      <c r="J679" s="474">
        <v>-39218.82</v>
      </c>
      <c r="M679" s="459">
        <f>J679</f>
        <v>-39218.82</v>
      </c>
    </row>
    <row r="680" spans="1:13" ht="15" customHeight="1">
      <c r="A680" s="1050"/>
      <c r="B680" s="1049" t="s">
        <v>2650</v>
      </c>
      <c r="C680" s="382" t="s">
        <v>2651</v>
      </c>
      <c r="D680" s="1049" t="s">
        <v>2284</v>
      </c>
      <c r="E680" s="1047"/>
      <c r="F680" s="383">
        <v>0</v>
      </c>
      <c r="G680" s="383">
        <v>93831.28</v>
      </c>
      <c r="H680" s="1046">
        <v>3325</v>
      </c>
      <c r="I680" s="1047"/>
      <c r="J680" s="383">
        <v>-90506.28</v>
      </c>
      <c r="M680" s="460"/>
    </row>
    <row r="681" spans="1:13">
      <c r="A681" s="1050"/>
      <c r="B681" s="1051"/>
      <c r="C681" s="437" t="s">
        <v>12</v>
      </c>
      <c r="D681" s="1060" t="s">
        <v>111</v>
      </c>
      <c r="E681" s="1047"/>
      <c r="F681" s="474">
        <v>0</v>
      </c>
      <c r="G681" s="474">
        <v>93831.28</v>
      </c>
      <c r="H681" s="1061">
        <v>3325</v>
      </c>
      <c r="I681" s="1047"/>
      <c r="J681" s="474">
        <v>-90506.28</v>
      </c>
      <c r="M681" s="459">
        <f>J681</f>
        <v>-90506.28</v>
      </c>
    </row>
    <row r="682" spans="1:13" ht="15" customHeight="1">
      <c r="A682" s="1050"/>
      <c r="B682" s="1049" t="s">
        <v>3344</v>
      </c>
      <c r="C682" s="382" t="s">
        <v>3281</v>
      </c>
      <c r="D682" s="1049" t="s">
        <v>3282</v>
      </c>
      <c r="E682" s="1047"/>
      <c r="F682" s="383">
        <v>0</v>
      </c>
      <c r="G682" s="383">
        <v>975</v>
      </c>
      <c r="H682" s="1046">
        <v>0</v>
      </c>
      <c r="I682" s="1047"/>
      <c r="J682" s="383">
        <v>-975</v>
      </c>
      <c r="M682" s="460"/>
    </row>
    <row r="683" spans="1:13">
      <c r="A683" s="1050"/>
      <c r="B683" s="1051"/>
      <c r="C683" s="437" t="s">
        <v>12</v>
      </c>
      <c r="D683" s="1060" t="s">
        <v>111</v>
      </c>
      <c r="E683" s="1047"/>
      <c r="F683" s="474">
        <v>0</v>
      </c>
      <c r="G683" s="474">
        <v>975</v>
      </c>
      <c r="H683" s="1061">
        <v>0</v>
      </c>
      <c r="I683" s="1047"/>
      <c r="J683" s="474">
        <v>-975</v>
      </c>
      <c r="M683" s="459">
        <f>J683</f>
        <v>-975</v>
      </c>
    </row>
    <row r="684" spans="1:13" ht="15" customHeight="1">
      <c r="A684" s="1050"/>
      <c r="B684" s="1049" t="s">
        <v>2652</v>
      </c>
      <c r="C684" s="382" t="s">
        <v>2653</v>
      </c>
      <c r="D684" s="1049" t="s">
        <v>2285</v>
      </c>
      <c r="E684" s="1047"/>
      <c r="F684" s="383">
        <v>0</v>
      </c>
      <c r="G684" s="383">
        <v>1228293.8600000001</v>
      </c>
      <c r="H684" s="1046">
        <v>9070.09</v>
      </c>
      <c r="I684" s="1047"/>
      <c r="J684" s="383">
        <v>-1219223.77</v>
      </c>
      <c r="M684" s="460"/>
    </row>
    <row r="685" spans="1:13">
      <c r="A685" s="1050"/>
      <c r="B685" s="1051"/>
      <c r="C685" s="437" t="s">
        <v>12</v>
      </c>
      <c r="D685" s="1060" t="s">
        <v>111</v>
      </c>
      <c r="E685" s="1047"/>
      <c r="F685" s="474">
        <v>0</v>
      </c>
      <c r="G685" s="474">
        <v>1228293.8600000001</v>
      </c>
      <c r="H685" s="1061">
        <v>9070.09</v>
      </c>
      <c r="I685" s="1047"/>
      <c r="J685" s="474">
        <v>-1219223.77</v>
      </c>
      <c r="M685" s="459">
        <f>J685</f>
        <v>-1219223.77</v>
      </c>
    </row>
    <row r="686" spans="1:13" ht="15" customHeight="1">
      <c r="A686" s="1050"/>
      <c r="B686" s="1049" t="s">
        <v>3345</v>
      </c>
      <c r="C686" s="382" t="s">
        <v>3283</v>
      </c>
      <c r="D686" s="1049" t="s">
        <v>3284</v>
      </c>
      <c r="E686" s="1047"/>
      <c r="F686" s="383">
        <v>0</v>
      </c>
      <c r="G686" s="383">
        <v>825</v>
      </c>
      <c r="H686" s="1046">
        <v>0</v>
      </c>
      <c r="I686" s="1047"/>
      <c r="J686" s="383">
        <v>-825</v>
      </c>
      <c r="M686" s="460"/>
    </row>
    <row r="687" spans="1:13">
      <c r="A687" s="1050"/>
      <c r="B687" s="1051"/>
      <c r="C687" s="437" t="s">
        <v>12</v>
      </c>
      <c r="D687" s="1060" t="s">
        <v>111</v>
      </c>
      <c r="E687" s="1047"/>
      <c r="F687" s="474">
        <v>0</v>
      </c>
      <c r="G687" s="474">
        <v>825</v>
      </c>
      <c r="H687" s="1061">
        <v>0</v>
      </c>
      <c r="I687" s="1047"/>
      <c r="J687" s="474">
        <v>-825</v>
      </c>
      <c r="M687" s="459">
        <f>J687</f>
        <v>-825</v>
      </c>
    </row>
    <row r="688" spans="1:13" ht="15" customHeight="1">
      <c r="A688" s="1050"/>
      <c r="B688" s="1049" t="s">
        <v>2654</v>
      </c>
      <c r="C688" s="382" t="s">
        <v>2655</v>
      </c>
      <c r="D688" s="1049" t="s">
        <v>2286</v>
      </c>
      <c r="E688" s="1047"/>
      <c r="F688" s="383">
        <v>0</v>
      </c>
      <c r="G688" s="383">
        <v>99217.64</v>
      </c>
      <c r="H688" s="1046">
        <v>23867.67</v>
      </c>
      <c r="I688" s="1047"/>
      <c r="J688" s="383">
        <v>-75349.97</v>
      </c>
      <c r="M688" s="460"/>
    </row>
    <row r="689" spans="1:13">
      <c r="A689" s="1050"/>
      <c r="B689" s="1051"/>
      <c r="C689" s="437" t="s">
        <v>12</v>
      </c>
      <c r="D689" s="1060" t="s">
        <v>111</v>
      </c>
      <c r="E689" s="1047"/>
      <c r="F689" s="474">
        <v>0</v>
      </c>
      <c r="G689" s="474">
        <v>99217.64</v>
      </c>
      <c r="H689" s="1061">
        <v>23867.67</v>
      </c>
      <c r="I689" s="1047"/>
      <c r="J689" s="474">
        <v>-75349.97</v>
      </c>
      <c r="M689" s="459">
        <f>J689</f>
        <v>-75349.97</v>
      </c>
    </row>
    <row r="690" spans="1:13" ht="15" customHeight="1">
      <c r="A690" s="1050"/>
      <c r="B690" s="1049" t="s">
        <v>2656</v>
      </c>
      <c r="C690" s="382" t="s">
        <v>2657</v>
      </c>
      <c r="D690" s="1049" t="s">
        <v>2287</v>
      </c>
      <c r="E690" s="1047"/>
      <c r="F690" s="383">
        <v>0</v>
      </c>
      <c r="G690" s="383">
        <v>44980.49</v>
      </c>
      <c r="H690" s="1046">
        <v>35</v>
      </c>
      <c r="I690" s="1047"/>
      <c r="J690" s="383">
        <v>-44945.49</v>
      </c>
      <c r="M690" s="460"/>
    </row>
    <row r="691" spans="1:13" ht="15" customHeight="1">
      <c r="A691" s="1050"/>
      <c r="B691" s="1050"/>
      <c r="C691" s="382" t="s">
        <v>3285</v>
      </c>
      <c r="D691" s="1049" t="s">
        <v>3286</v>
      </c>
      <c r="E691" s="1047"/>
      <c r="F691" s="383">
        <v>0</v>
      </c>
      <c r="G691" s="383">
        <v>1305</v>
      </c>
      <c r="H691" s="1046">
        <v>0</v>
      </c>
      <c r="I691" s="1047"/>
      <c r="J691" s="383">
        <v>-1305</v>
      </c>
      <c r="M691" s="460"/>
    </row>
    <row r="692" spans="1:13">
      <c r="A692" s="1050"/>
      <c r="B692" s="1051"/>
      <c r="C692" s="437" t="s">
        <v>12</v>
      </c>
      <c r="D692" s="1060" t="s">
        <v>111</v>
      </c>
      <c r="E692" s="1047"/>
      <c r="F692" s="474">
        <v>0</v>
      </c>
      <c r="G692" s="474">
        <v>46285.49</v>
      </c>
      <c r="H692" s="1061">
        <v>35</v>
      </c>
      <c r="I692" s="1047"/>
      <c r="J692" s="474">
        <v>-46250.49</v>
      </c>
      <c r="M692" s="459">
        <f>J692</f>
        <v>-46250.49</v>
      </c>
    </row>
    <row r="693" spans="1:13" ht="15" customHeight="1">
      <c r="A693" s="1050"/>
      <c r="B693" s="1049" t="s">
        <v>2658</v>
      </c>
      <c r="C693" s="382" t="s">
        <v>2659</v>
      </c>
      <c r="D693" s="1049" t="s">
        <v>2288</v>
      </c>
      <c r="E693" s="1047"/>
      <c r="F693" s="383">
        <v>0</v>
      </c>
      <c r="G693" s="383">
        <v>4229.34</v>
      </c>
      <c r="H693" s="1046">
        <v>0</v>
      </c>
      <c r="I693" s="1047"/>
      <c r="J693" s="383">
        <v>-4229.34</v>
      </c>
      <c r="M693" s="460"/>
    </row>
    <row r="694" spans="1:13">
      <c r="A694" s="1050"/>
      <c r="B694" s="1051"/>
      <c r="C694" s="437" t="s">
        <v>12</v>
      </c>
      <c r="D694" s="1060" t="s">
        <v>111</v>
      </c>
      <c r="E694" s="1047"/>
      <c r="F694" s="474">
        <v>0</v>
      </c>
      <c r="G694" s="474">
        <v>4229.34</v>
      </c>
      <c r="H694" s="1061">
        <v>0</v>
      </c>
      <c r="I694" s="1047"/>
      <c r="J694" s="474">
        <v>-4229.34</v>
      </c>
      <c r="M694" s="459">
        <f>J694</f>
        <v>-4229.34</v>
      </c>
    </row>
    <row r="695" spans="1:13" ht="15" customHeight="1">
      <c r="A695" s="1050"/>
      <c r="B695" s="1049" t="s">
        <v>2660</v>
      </c>
      <c r="C695" s="382" t="s">
        <v>2661</v>
      </c>
      <c r="D695" s="1049" t="s">
        <v>2662</v>
      </c>
      <c r="E695" s="1047"/>
      <c r="F695" s="383">
        <v>0</v>
      </c>
      <c r="G695" s="383">
        <v>27332.880000000001</v>
      </c>
      <c r="H695" s="1046">
        <v>187</v>
      </c>
      <c r="I695" s="1047"/>
      <c r="J695" s="383">
        <v>-27145.88</v>
      </c>
      <c r="M695" s="460"/>
    </row>
    <row r="696" spans="1:13">
      <c r="A696" s="1050"/>
      <c r="B696" s="1051"/>
      <c r="C696" s="437" t="s">
        <v>12</v>
      </c>
      <c r="D696" s="1060" t="s">
        <v>111</v>
      </c>
      <c r="E696" s="1047"/>
      <c r="F696" s="474">
        <v>0</v>
      </c>
      <c r="G696" s="474">
        <v>27332.880000000001</v>
      </c>
      <c r="H696" s="1061">
        <v>187</v>
      </c>
      <c r="I696" s="1047"/>
      <c r="J696" s="474">
        <v>-27145.88</v>
      </c>
      <c r="M696" s="459">
        <f>J696</f>
        <v>-27145.88</v>
      </c>
    </row>
    <row r="697" spans="1:13" ht="15" customHeight="1">
      <c r="A697" s="1050"/>
      <c r="B697" s="1049" t="s">
        <v>2663</v>
      </c>
      <c r="C697" s="382" t="s">
        <v>3287</v>
      </c>
      <c r="D697" s="1049" t="s">
        <v>3288</v>
      </c>
      <c r="E697" s="1047"/>
      <c r="F697" s="383">
        <v>0</v>
      </c>
      <c r="G697" s="383">
        <v>13783</v>
      </c>
      <c r="H697" s="1046">
        <v>50</v>
      </c>
      <c r="I697" s="1047"/>
      <c r="J697" s="383">
        <v>-13733</v>
      </c>
      <c r="M697" s="460"/>
    </row>
    <row r="698" spans="1:13" ht="15" customHeight="1">
      <c r="A698" s="1050"/>
      <c r="B698" s="1050"/>
      <c r="C698" s="382" t="s">
        <v>2664</v>
      </c>
      <c r="D698" s="1049" t="s">
        <v>2289</v>
      </c>
      <c r="E698" s="1047"/>
      <c r="F698" s="383">
        <v>0</v>
      </c>
      <c r="G698" s="383">
        <v>69725.34</v>
      </c>
      <c r="H698" s="1046">
        <v>1887.9</v>
      </c>
      <c r="I698" s="1047"/>
      <c r="J698" s="383">
        <v>-67837.440000000002</v>
      </c>
      <c r="M698" s="460"/>
    </row>
    <row r="699" spans="1:13">
      <c r="A699" s="1050"/>
      <c r="B699" s="1051"/>
      <c r="C699" s="437" t="s">
        <v>12</v>
      </c>
      <c r="D699" s="1060" t="s">
        <v>111</v>
      </c>
      <c r="E699" s="1047"/>
      <c r="F699" s="474">
        <v>0</v>
      </c>
      <c r="G699" s="474">
        <v>83508.34</v>
      </c>
      <c r="H699" s="1061">
        <v>1937.9</v>
      </c>
      <c r="I699" s="1047"/>
      <c r="J699" s="474">
        <v>-81570.44</v>
      </c>
      <c r="M699" s="459">
        <f>J699</f>
        <v>-81570.44</v>
      </c>
    </row>
    <row r="700" spans="1:13" ht="15" customHeight="1">
      <c r="A700" s="1050"/>
      <c r="B700" s="1049" t="s">
        <v>2665</v>
      </c>
      <c r="C700" s="382" t="s">
        <v>3289</v>
      </c>
      <c r="D700" s="1049" t="s">
        <v>3290</v>
      </c>
      <c r="E700" s="1047"/>
      <c r="F700" s="383">
        <v>0</v>
      </c>
      <c r="G700" s="383">
        <v>15000</v>
      </c>
      <c r="H700" s="1046">
        <v>0</v>
      </c>
      <c r="I700" s="1047"/>
      <c r="J700" s="383">
        <v>-15000</v>
      </c>
      <c r="M700" s="460"/>
    </row>
    <row r="701" spans="1:13" ht="15" customHeight="1">
      <c r="A701" s="1050"/>
      <c r="B701" s="1050"/>
      <c r="C701" s="382" t="s">
        <v>3291</v>
      </c>
      <c r="D701" s="1049" t="s">
        <v>3292</v>
      </c>
      <c r="E701" s="1047"/>
      <c r="F701" s="383">
        <v>0</v>
      </c>
      <c r="G701" s="383">
        <v>21</v>
      </c>
      <c r="H701" s="1046">
        <v>0</v>
      </c>
      <c r="I701" s="1047"/>
      <c r="J701" s="383">
        <v>-21</v>
      </c>
      <c r="M701" s="460"/>
    </row>
    <row r="702" spans="1:13" ht="15" customHeight="1">
      <c r="A702" s="1050"/>
      <c r="B702" s="1050"/>
      <c r="C702" s="382" t="s">
        <v>3293</v>
      </c>
      <c r="D702" s="1049" t="s">
        <v>3294</v>
      </c>
      <c r="E702" s="1047"/>
      <c r="F702" s="383">
        <v>0</v>
      </c>
      <c r="G702" s="383">
        <v>300</v>
      </c>
      <c r="H702" s="1046">
        <v>0</v>
      </c>
      <c r="I702" s="1047"/>
      <c r="J702" s="383">
        <v>-300</v>
      </c>
      <c r="M702" s="460"/>
    </row>
    <row r="703" spans="1:13" ht="15" customHeight="1">
      <c r="A703" s="1050"/>
      <c r="B703" s="1050"/>
      <c r="C703" s="382" t="s">
        <v>2666</v>
      </c>
      <c r="D703" s="1049" t="s">
        <v>2290</v>
      </c>
      <c r="E703" s="1047"/>
      <c r="F703" s="383">
        <v>0</v>
      </c>
      <c r="G703" s="383">
        <v>1057115.73</v>
      </c>
      <c r="H703" s="1046">
        <v>126119.96</v>
      </c>
      <c r="I703" s="1047"/>
      <c r="J703" s="383">
        <v>-930995.77</v>
      </c>
      <c r="M703" s="460"/>
    </row>
    <row r="704" spans="1:13">
      <c r="A704" s="1050"/>
      <c r="B704" s="1051"/>
      <c r="C704" s="437" t="s">
        <v>12</v>
      </c>
      <c r="D704" s="1060" t="s">
        <v>111</v>
      </c>
      <c r="E704" s="1047"/>
      <c r="F704" s="474">
        <v>0</v>
      </c>
      <c r="G704" s="474">
        <v>1072436.73</v>
      </c>
      <c r="H704" s="1061">
        <v>126119.96</v>
      </c>
      <c r="I704" s="1047"/>
      <c r="J704" s="474">
        <v>-946316.77</v>
      </c>
      <c r="M704" s="459">
        <f>J704</f>
        <v>-946316.77</v>
      </c>
    </row>
    <row r="705" spans="1:13" ht="15" customHeight="1">
      <c r="A705" s="1050"/>
      <c r="B705" s="1049" t="s">
        <v>3346</v>
      </c>
      <c r="C705" s="382" t="s">
        <v>3295</v>
      </c>
      <c r="D705" s="1049" t="s">
        <v>3296</v>
      </c>
      <c r="E705" s="1047"/>
      <c r="F705" s="383">
        <v>0</v>
      </c>
      <c r="G705" s="383">
        <v>104</v>
      </c>
      <c r="H705" s="1046">
        <v>0</v>
      </c>
      <c r="I705" s="1047"/>
      <c r="J705" s="383">
        <v>-104</v>
      </c>
      <c r="M705" s="460"/>
    </row>
    <row r="706" spans="1:13" ht="15" customHeight="1">
      <c r="A706" s="1050"/>
      <c r="B706" s="1050"/>
      <c r="C706" s="382" t="s">
        <v>3297</v>
      </c>
      <c r="D706" s="1049" t="s">
        <v>3298</v>
      </c>
      <c r="E706" s="1047"/>
      <c r="F706" s="383">
        <v>0</v>
      </c>
      <c r="G706" s="383">
        <v>200</v>
      </c>
      <c r="H706" s="1046">
        <v>0</v>
      </c>
      <c r="I706" s="1047"/>
      <c r="J706" s="383">
        <v>-200</v>
      </c>
      <c r="M706" s="460"/>
    </row>
    <row r="707" spans="1:13">
      <c r="A707" s="1050"/>
      <c r="B707" s="1051"/>
      <c r="C707" s="437" t="s">
        <v>12</v>
      </c>
      <c r="D707" s="1060" t="s">
        <v>111</v>
      </c>
      <c r="E707" s="1047"/>
      <c r="F707" s="474">
        <v>0</v>
      </c>
      <c r="G707" s="474">
        <v>304</v>
      </c>
      <c r="H707" s="1061">
        <v>0</v>
      </c>
      <c r="I707" s="1047"/>
      <c r="J707" s="474">
        <v>-304</v>
      </c>
      <c r="M707" s="459">
        <f>J707</f>
        <v>-304</v>
      </c>
    </row>
    <row r="708" spans="1:13" ht="15" customHeight="1">
      <c r="A708" s="1050"/>
      <c r="B708" s="1049" t="s">
        <v>3347</v>
      </c>
      <c r="C708" s="382" t="s">
        <v>3299</v>
      </c>
      <c r="D708" s="1049" t="s">
        <v>3300</v>
      </c>
      <c r="E708" s="1047"/>
      <c r="F708" s="383">
        <v>0</v>
      </c>
      <c r="G708" s="383">
        <v>170</v>
      </c>
      <c r="H708" s="1046">
        <v>170</v>
      </c>
      <c r="I708" s="1047"/>
      <c r="J708" s="383">
        <v>0</v>
      </c>
      <c r="M708" s="460"/>
    </row>
    <row r="709" spans="1:13">
      <c r="A709" s="1050"/>
      <c r="B709" s="1051"/>
      <c r="C709" s="437" t="s">
        <v>12</v>
      </c>
      <c r="D709" s="1060" t="s">
        <v>111</v>
      </c>
      <c r="E709" s="1047"/>
      <c r="F709" s="474">
        <v>0</v>
      </c>
      <c r="G709" s="474">
        <v>170</v>
      </c>
      <c r="H709" s="1061">
        <v>170</v>
      </c>
      <c r="I709" s="1047"/>
      <c r="J709" s="474">
        <v>0</v>
      </c>
      <c r="M709" s="460"/>
    </row>
    <row r="710" spans="1:13" ht="15" customHeight="1">
      <c r="A710" s="1050"/>
      <c r="B710" s="1049" t="s">
        <v>2667</v>
      </c>
      <c r="C710" s="382" t="s">
        <v>3301</v>
      </c>
      <c r="D710" s="1049" t="s">
        <v>3302</v>
      </c>
      <c r="E710" s="1047"/>
      <c r="F710" s="383">
        <v>0</v>
      </c>
      <c r="G710" s="383">
        <v>190</v>
      </c>
      <c r="H710" s="1046">
        <v>120</v>
      </c>
      <c r="I710" s="1047"/>
      <c r="J710" s="383">
        <v>-70</v>
      </c>
      <c r="M710" s="460"/>
    </row>
    <row r="711" spans="1:13" ht="15" customHeight="1">
      <c r="A711" s="1050"/>
      <c r="B711" s="1050"/>
      <c r="C711" s="382" t="s">
        <v>2668</v>
      </c>
      <c r="D711" s="1049" t="s">
        <v>2291</v>
      </c>
      <c r="E711" s="1047"/>
      <c r="F711" s="383">
        <v>0</v>
      </c>
      <c r="G711" s="383">
        <v>5765</v>
      </c>
      <c r="H711" s="1046">
        <v>0</v>
      </c>
      <c r="I711" s="1047"/>
      <c r="J711" s="383">
        <v>-5765</v>
      </c>
      <c r="M711" s="460"/>
    </row>
    <row r="712" spans="1:13" ht="15" customHeight="1">
      <c r="A712" s="1050"/>
      <c r="B712" s="1050"/>
      <c r="C712" s="382" t="s">
        <v>2669</v>
      </c>
      <c r="D712" s="1049" t="s">
        <v>2292</v>
      </c>
      <c r="E712" s="1047"/>
      <c r="F712" s="383">
        <v>0</v>
      </c>
      <c r="G712" s="383">
        <v>79836.69</v>
      </c>
      <c r="H712" s="1046">
        <v>32140</v>
      </c>
      <c r="I712" s="1047"/>
      <c r="J712" s="383">
        <v>-47696.69</v>
      </c>
      <c r="M712" s="460"/>
    </row>
    <row r="713" spans="1:13">
      <c r="A713" s="1050"/>
      <c r="B713" s="1051"/>
      <c r="C713" s="437" t="s">
        <v>12</v>
      </c>
      <c r="D713" s="1060" t="s">
        <v>111</v>
      </c>
      <c r="E713" s="1047"/>
      <c r="F713" s="474">
        <v>0</v>
      </c>
      <c r="G713" s="474">
        <v>85791.69</v>
      </c>
      <c r="H713" s="1061">
        <v>32260</v>
      </c>
      <c r="I713" s="1047"/>
      <c r="J713" s="474">
        <v>-53531.69</v>
      </c>
      <c r="M713" s="459">
        <f>J713</f>
        <v>-53531.69</v>
      </c>
    </row>
    <row r="714" spans="1:13" ht="15" customHeight="1">
      <c r="A714" s="1050"/>
      <c r="B714" s="1049" t="s">
        <v>2670</v>
      </c>
      <c r="C714" s="382" t="s">
        <v>2671</v>
      </c>
      <c r="D714" s="1049" t="s">
        <v>2293</v>
      </c>
      <c r="E714" s="1047"/>
      <c r="F714" s="383">
        <v>0</v>
      </c>
      <c r="G714" s="383">
        <v>42168.74</v>
      </c>
      <c r="H714" s="1046">
        <v>0</v>
      </c>
      <c r="I714" s="1047"/>
      <c r="J714" s="383">
        <v>-42168.74</v>
      </c>
      <c r="M714" s="460"/>
    </row>
    <row r="715" spans="1:13" ht="15" customHeight="1">
      <c r="A715" s="1050"/>
      <c r="B715" s="1050"/>
      <c r="C715" s="382" t="s">
        <v>2672</v>
      </c>
      <c r="D715" s="1049" t="s">
        <v>2294</v>
      </c>
      <c r="E715" s="1047"/>
      <c r="F715" s="383">
        <v>0</v>
      </c>
      <c r="G715" s="383">
        <v>0</v>
      </c>
      <c r="H715" s="1046">
        <v>0</v>
      </c>
      <c r="I715" s="1047"/>
      <c r="J715" s="383">
        <v>0</v>
      </c>
      <c r="M715" s="460"/>
    </row>
    <row r="716" spans="1:13" ht="15" customHeight="1">
      <c r="A716" s="1050"/>
      <c r="B716" s="1050"/>
      <c r="C716" s="382" t="s">
        <v>2673</v>
      </c>
      <c r="D716" s="1049" t="s">
        <v>2674</v>
      </c>
      <c r="E716" s="1047"/>
      <c r="F716" s="383">
        <v>0</v>
      </c>
      <c r="G716" s="383">
        <v>71551.42</v>
      </c>
      <c r="H716" s="1046">
        <v>17476.7</v>
      </c>
      <c r="I716" s="1047"/>
      <c r="J716" s="383">
        <v>-54074.720000000001</v>
      </c>
      <c r="M716" s="460"/>
    </row>
    <row r="717" spans="1:13" ht="15" customHeight="1">
      <c r="A717" s="1050"/>
      <c r="B717" s="1050"/>
      <c r="C717" s="382" t="s">
        <v>3303</v>
      </c>
      <c r="D717" s="1049" t="s">
        <v>3304</v>
      </c>
      <c r="E717" s="1047"/>
      <c r="F717" s="383">
        <v>0</v>
      </c>
      <c r="G717" s="383">
        <v>419056.32</v>
      </c>
      <c r="H717" s="1046">
        <v>86668.72</v>
      </c>
      <c r="I717" s="1047"/>
      <c r="J717" s="383">
        <v>-332387.59999999998</v>
      </c>
      <c r="M717" s="460"/>
    </row>
    <row r="718" spans="1:13">
      <c r="A718" s="1050"/>
      <c r="B718" s="1051"/>
      <c r="C718" s="437" t="s">
        <v>12</v>
      </c>
      <c r="D718" s="1060" t="s">
        <v>111</v>
      </c>
      <c r="E718" s="1047"/>
      <c r="F718" s="474">
        <v>0</v>
      </c>
      <c r="G718" s="474">
        <v>532776.48</v>
      </c>
      <c r="H718" s="1061">
        <v>104145.42</v>
      </c>
      <c r="I718" s="1047"/>
      <c r="J718" s="474">
        <v>-428631.06</v>
      </c>
      <c r="M718" s="459">
        <f>J718</f>
        <v>-428631.06</v>
      </c>
    </row>
    <row r="719" spans="1:13" ht="15" customHeight="1">
      <c r="A719" s="1050"/>
      <c r="B719" s="1049" t="s">
        <v>3348</v>
      </c>
      <c r="C719" s="382" t="s">
        <v>3305</v>
      </c>
      <c r="D719" s="1049" t="s">
        <v>3306</v>
      </c>
      <c r="E719" s="1047"/>
      <c r="F719" s="383">
        <v>0</v>
      </c>
      <c r="G719" s="383">
        <v>956785.25</v>
      </c>
      <c r="H719" s="1046">
        <v>0</v>
      </c>
      <c r="I719" s="1047"/>
      <c r="J719" s="383">
        <v>-956785.25</v>
      </c>
      <c r="M719" s="460"/>
    </row>
    <row r="720" spans="1:13" ht="15" customHeight="1">
      <c r="A720" s="1050"/>
      <c r="B720" s="1050"/>
      <c r="C720" s="382" t="s">
        <v>3307</v>
      </c>
      <c r="D720" s="1049" t="s">
        <v>3308</v>
      </c>
      <c r="E720" s="1047"/>
      <c r="F720" s="383">
        <v>0</v>
      </c>
      <c r="G720" s="383">
        <v>9825.25</v>
      </c>
      <c r="H720" s="1046">
        <v>15</v>
      </c>
      <c r="I720" s="1047"/>
      <c r="J720" s="383">
        <v>-9810.25</v>
      </c>
      <c r="M720" s="460"/>
    </row>
    <row r="721" spans="1:13">
      <c r="A721" s="1050"/>
      <c r="B721" s="1051"/>
      <c r="C721" s="437" t="s">
        <v>12</v>
      </c>
      <c r="D721" s="1060" t="s">
        <v>111</v>
      </c>
      <c r="E721" s="1047"/>
      <c r="F721" s="474">
        <v>0</v>
      </c>
      <c r="G721" s="474">
        <v>966610.5</v>
      </c>
      <c r="H721" s="1061">
        <v>15</v>
      </c>
      <c r="I721" s="1047"/>
      <c r="J721" s="474">
        <v>-966595.5</v>
      </c>
      <c r="M721" s="459">
        <f>J721</f>
        <v>-966595.5</v>
      </c>
    </row>
    <row r="722" spans="1:13" ht="15" customHeight="1">
      <c r="A722" s="1050"/>
      <c r="B722" s="1049" t="s">
        <v>2675</v>
      </c>
      <c r="C722" s="382" t="s">
        <v>2676</v>
      </c>
      <c r="D722" s="1049" t="s">
        <v>2295</v>
      </c>
      <c r="E722" s="1047"/>
      <c r="F722" s="383">
        <v>0</v>
      </c>
      <c r="G722" s="383">
        <v>4860.17</v>
      </c>
      <c r="H722" s="1046">
        <v>100</v>
      </c>
      <c r="I722" s="1047"/>
      <c r="J722" s="383">
        <v>-4760.17</v>
      </c>
      <c r="M722" s="460"/>
    </row>
    <row r="723" spans="1:13" ht="15" customHeight="1">
      <c r="A723" s="1050"/>
      <c r="B723" s="1050"/>
      <c r="C723" s="382" t="s">
        <v>3309</v>
      </c>
      <c r="D723" s="1049" t="s">
        <v>3310</v>
      </c>
      <c r="E723" s="1047"/>
      <c r="F723" s="383">
        <v>0</v>
      </c>
      <c r="G723" s="383">
        <v>9895.83</v>
      </c>
      <c r="H723" s="1046">
        <v>379.1</v>
      </c>
      <c r="I723" s="1047"/>
      <c r="J723" s="383">
        <v>-9516.73</v>
      </c>
      <c r="M723" s="460"/>
    </row>
    <row r="724" spans="1:13" ht="15" customHeight="1">
      <c r="A724" s="1050"/>
      <c r="B724" s="1050"/>
      <c r="C724" s="382" t="s">
        <v>2677</v>
      </c>
      <c r="D724" s="1049" t="s">
        <v>2296</v>
      </c>
      <c r="E724" s="1047"/>
      <c r="F724" s="383">
        <v>0</v>
      </c>
      <c r="G724" s="383">
        <v>117705.29</v>
      </c>
      <c r="H724" s="1046">
        <v>2131.19</v>
      </c>
      <c r="I724" s="1047"/>
      <c r="J724" s="383">
        <v>-115574.1</v>
      </c>
      <c r="M724" s="460"/>
    </row>
    <row r="725" spans="1:13" ht="15" customHeight="1">
      <c r="A725" s="1050"/>
      <c r="B725" s="1050"/>
      <c r="C725" s="382" t="s">
        <v>2678</v>
      </c>
      <c r="D725" s="1049" t="s">
        <v>2297</v>
      </c>
      <c r="E725" s="1047"/>
      <c r="F725" s="383">
        <v>0</v>
      </c>
      <c r="G725" s="383">
        <v>1089741.8400000001</v>
      </c>
      <c r="H725" s="1046">
        <v>157104.79</v>
      </c>
      <c r="I725" s="1047"/>
      <c r="J725" s="383">
        <v>-932637.05</v>
      </c>
      <c r="M725" s="460"/>
    </row>
    <row r="726" spans="1:13" ht="15" customHeight="1">
      <c r="A726" s="1050"/>
      <c r="B726" s="1050"/>
      <c r="C726" s="382" t="s">
        <v>3311</v>
      </c>
      <c r="D726" s="1049" t="s">
        <v>3312</v>
      </c>
      <c r="E726" s="1047"/>
      <c r="F726" s="383">
        <v>0</v>
      </c>
      <c r="G726" s="383">
        <v>1457.5</v>
      </c>
      <c r="H726" s="1046">
        <v>0</v>
      </c>
      <c r="I726" s="1047"/>
      <c r="J726" s="383">
        <v>-1457.5</v>
      </c>
      <c r="M726" s="460"/>
    </row>
    <row r="727" spans="1:13" ht="15" customHeight="1">
      <c r="A727" s="1050"/>
      <c r="B727" s="1050"/>
      <c r="C727" s="382" t="s">
        <v>2679</v>
      </c>
      <c r="D727" s="1049" t="s">
        <v>2298</v>
      </c>
      <c r="E727" s="1047"/>
      <c r="F727" s="383">
        <v>0</v>
      </c>
      <c r="G727" s="383">
        <v>160023.87</v>
      </c>
      <c r="H727" s="1046">
        <v>8363.9500000000007</v>
      </c>
      <c r="I727" s="1047"/>
      <c r="J727" s="383">
        <v>-151659.92000000001</v>
      </c>
      <c r="M727" s="460"/>
    </row>
    <row r="728" spans="1:13" ht="15" customHeight="1">
      <c r="A728" s="1050"/>
      <c r="B728" s="1050"/>
      <c r="C728" s="382" t="s">
        <v>2680</v>
      </c>
      <c r="D728" s="1049" t="s">
        <v>2299</v>
      </c>
      <c r="E728" s="1047"/>
      <c r="F728" s="383">
        <v>0</v>
      </c>
      <c r="G728" s="383">
        <v>633551.05000000005</v>
      </c>
      <c r="H728" s="1046">
        <v>2064.7399999999998</v>
      </c>
      <c r="I728" s="1047"/>
      <c r="J728" s="383">
        <v>-631486.31000000006</v>
      </c>
      <c r="M728" s="460"/>
    </row>
    <row r="729" spans="1:13">
      <c r="A729" s="1050"/>
      <c r="B729" s="1051"/>
      <c r="C729" s="437" t="s">
        <v>12</v>
      </c>
      <c r="D729" s="1060" t="s">
        <v>111</v>
      </c>
      <c r="E729" s="1047"/>
      <c r="F729" s="474">
        <v>0</v>
      </c>
      <c r="G729" s="474">
        <v>2017235.55</v>
      </c>
      <c r="H729" s="1061">
        <v>170143.77</v>
      </c>
      <c r="I729" s="1047"/>
      <c r="J729" s="474">
        <v>-1847091.78</v>
      </c>
      <c r="M729" s="459">
        <f>J729</f>
        <v>-1847091.78</v>
      </c>
    </row>
    <row r="730" spans="1:13" ht="15" customHeight="1">
      <c r="A730" s="1050"/>
      <c r="B730" s="1049" t="s">
        <v>2681</v>
      </c>
      <c r="C730" s="382" t="s">
        <v>2682</v>
      </c>
      <c r="D730" s="1049" t="s">
        <v>2300</v>
      </c>
      <c r="E730" s="1047"/>
      <c r="F730" s="383">
        <v>0</v>
      </c>
      <c r="G730" s="383">
        <v>1535.1</v>
      </c>
      <c r="H730" s="1046">
        <v>0</v>
      </c>
      <c r="I730" s="1047"/>
      <c r="J730" s="383">
        <v>-1535.1</v>
      </c>
      <c r="M730" s="460"/>
    </row>
    <row r="731" spans="1:13" ht="15" customHeight="1">
      <c r="A731" s="1050"/>
      <c r="B731" s="1050"/>
      <c r="C731" s="382" t="s">
        <v>2683</v>
      </c>
      <c r="D731" s="1049" t="s">
        <v>2301</v>
      </c>
      <c r="E731" s="1047"/>
      <c r="F731" s="383">
        <v>0</v>
      </c>
      <c r="G731" s="383">
        <v>15079.95</v>
      </c>
      <c r="H731" s="1046">
        <v>894</v>
      </c>
      <c r="I731" s="1047"/>
      <c r="J731" s="383">
        <v>-14185.95</v>
      </c>
      <c r="M731" s="460"/>
    </row>
    <row r="732" spans="1:13" ht="15" customHeight="1">
      <c r="A732" s="1050"/>
      <c r="B732" s="1050"/>
      <c r="C732" s="382" t="s">
        <v>2684</v>
      </c>
      <c r="D732" s="1049" t="s">
        <v>2302</v>
      </c>
      <c r="E732" s="1047"/>
      <c r="F732" s="383">
        <v>0</v>
      </c>
      <c r="G732" s="383">
        <v>111299.61</v>
      </c>
      <c r="H732" s="1046">
        <v>11239.5</v>
      </c>
      <c r="I732" s="1047"/>
      <c r="J732" s="383">
        <v>-100060.11</v>
      </c>
      <c r="M732" s="460"/>
    </row>
    <row r="733" spans="1:13" ht="15" customHeight="1">
      <c r="A733" s="1050"/>
      <c r="B733" s="1050"/>
      <c r="C733" s="382" t="s">
        <v>2685</v>
      </c>
      <c r="D733" s="1049" t="s">
        <v>2303</v>
      </c>
      <c r="E733" s="1047"/>
      <c r="F733" s="383">
        <v>0</v>
      </c>
      <c r="G733" s="383">
        <v>16472.900000000001</v>
      </c>
      <c r="H733" s="1046">
        <v>685</v>
      </c>
      <c r="I733" s="1047"/>
      <c r="J733" s="383">
        <v>-15787.9</v>
      </c>
      <c r="M733" s="460"/>
    </row>
    <row r="734" spans="1:13">
      <c r="A734" s="1050"/>
      <c r="B734" s="1051"/>
      <c r="C734" s="437" t="s">
        <v>12</v>
      </c>
      <c r="D734" s="1060" t="s">
        <v>111</v>
      </c>
      <c r="E734" s="1047"/>
      <c r="F734" s="474">
        <v>0</v>
      </c>
      <c r="G734" s="474">
        <v>144387.56</v>
      </c>
      <c r="H734" s="1061">
        <v>12818.5</v>
      </c>
      <c r="I734" s="1047"/>
      <c r="J734" s="474">
        <v>-131569.06</v>
      </c>
      <c r="M734" s="459">
        <f>J734</f>
        <v>-131569.06</v>
      </c>
    </row>
    <row r="735" spans="1:13" ht="15" customHeight="1">
      <c r="A735" s="1050"/>
      <c r="B735" s="1049" t="s">
        <v>2686</v>
      </c>
      <c r="C735" s="382" t="s">
        <v>2687</v>
      </c>
      <c r="D735" s="1049" t="s">
        <v>2304</v>
      </c>
      <c r="E735" s="1047"/>
      <c r="F735" s="383">
        <v>0</v>
      </c>
      <c r="G735" s="383">
        <v>236549.94</v>
      </c>
      <c r="H735" s="1046">
        <v>11641.14</v>
      </c>
      <c r="I735" s="1047"/>
      <c r="J735" s="383">
        <v>-224908.79999999999</v>
      </c>
      <c r="M735" s="460"/>
    </row>
    <row r="736" spans="1:13" ht="15" customHeight="1">
      <c r="A736" s="1050"/>
      <c r="B736" s="1050"/>
      <c r="C736" s="382" t="s">
        <v>2688</v>
      </c>
      <c r="D736" s="1049" t="s">
        <v>2305</v>
      </c>
      <c r="E736" s="1047"/>
      <c r="F736" s="383">
        <v>0</v>
      </c>
      <c r="G736" s="383">
        <v>18403.72</v>
      </c>
      <c r="H736" s="1046">
        <v>0</v>
      </c>
      <c r="I736" s="1047"/>
      <c r="J736" s="383">
        <v>-18403.72</v>
      </c>
      <c r="M736" s="460"/>
    </row>
    <row r="737" spans="1:13">
      <c r="A737" s="1050"/>
      <c r="B737" s="1051"/>
      <c r="C737" s="437" t="s">
        <v>12</v>
      </c>
      <c r="D737" s="1060" t="s">
        <v>111</v>
      </c>
      <c r="E737" s="1047"/>
      <c r="F737" s="474">
        <v>0</v>
      </c>
      <c r="G737" s="474">
        <v>254953.66</v>
      </c>
      <c r="H737" s="1061">
        <v>11641.14</v>
      </c>
      <c r="I737" s="1047"/>
      <c r="J737" s="474">
        <v>-243312.52</v>
      </c>
      <c r="M737" s="459">
        <f>J737</f>
        <v>-243312.52</v>
      </c>
    </row>
    <row r="738" spans="1:13" ht="15" customHeight="1">
      <c r="A738" s="1050"/>
      <c r="B738" s="1049" t="s">
        <v>2689</v>
      </c>
      <c r="C738" s="382" t="s">
        <v>3313</v>
      </c>
      <c r="D738" s="1049" t="s">
        <v>3314</v>
      </c>
      <c r="E738" s="1047"/>
      <c r="F738" s="383">
        <v>0</v>
      </c>
      <c r="G738" s="383">
        <v>275000</v>
      </c>
      <c r="H738" s="1046">
        <v>0</v>
      </c>
      <c r="I738" s="1047"/>
      <c r="J738" s="383">
        <v>-275000</v>
      </c>
      <c r="M738" s="460"/>
    </row>
    <row r="739" spans="1:13" ht="15" customHeight="1">
      <c r="A739" s="1050"/>
      <c r="B739" s="1050"/>
      <c r="C739" s="382" t="s">
        <v>2690</v>
      </c>
      <c r="D739" s="1049" t="s">
        <v>2306</v>
      </c>
      <c r="E739" s="1047"/>
      <c r="F739" s="383">
        <v>0</v>
      </c>
      <c r="G739" s="383">
        <v>22846.799999999999</v>
      </c>
      <c r="H739" s="1046">
        <v>0</v>
      </c>
      <c r="I739" s="1047"/>
      <c r="J739" s="383">
        <v>-22846.799999999999</v>
      </c>
      <c r="M739" s="460"/>
    </row>
    <row r="740" spans="1:13" ht="15" customHeight="1">
      <c r="A740" s="1050"/>
      <c r="B740" s="1050"/>
      <c r="C740" s="382" t="s">
        <v>2691</v>
      </c>
      <c r="D740" s="1049" t="s">
        <v>2307</v>
      </c>
      <c r="E740" s="1047"/>
      <c r="F740" s="383">
        <v>0</v>
      </c>
      <c r="G740" s="383">
        <v>8873.9699999999993</v>
      </c>
      <c r="H740" s="1046">
        <v>0</v>
      </c>
      <c r="I740" s="1047"/>
      <c r="J740" s="383">
        <v>-8873.9699999999993</v>
      </c>
      <c r="M740" s="460"/>
    </row>
    <row r="741" spans="1:13" ht="15" customHeight="1">
      <c r="A741" s="1050"/>
      <c r="B741" s="1050"/>
      <c r="C741" s="382" t="s">
        <v>2692</v>
      </c>
      <c r="D741" s="1049" t="s">
        <v>2308</v>
      </c>
      <c r="E741" s="1047"/>
      <c r="F741" s="383">
        <v>0</v>
      </c>
      <c r="G741" s="383">
        <v>22296.6</v>
      </c>
      <c r="H741" s="1046">
        <v>0</v>
      </c>
      <c r="I741" s="1047"/>
      <c r="J741" s="383">
        <v>-22296.6</v>
      </c>
      <c r="M741" s="460"/>
    </row>
    <row r="742" spans="1:13">
      <c r="A742" s="1050"/>
      <c r="B742" s="1051"/>
      <c r="C742" s="437" t="s">
        <v>12</v>
      </c>
      <c r="D742" s="1060" t="s">
        <v>111</v>
      </c>
      <c r="E742" s="1047"/>
      <c r="F742" s="474">
        <v>0</v>
      </c>
      <c r="G742" s="474">
        <v>329017.37</v>
      </c>
      <c r="H742" s="1061">
        <v>0</v>
      </c>
      <c r="I742" s="1047"/>
      <c r="J742" s="474">
        <v>-329017.37</v>
      </c>
      <c r="M742" s="459">
        <f>J742</f>
        <v>-329017.37</v>
      </c>
    </row>
    <row r="743" spans="1:13" ht="15" customHeight="1">
      <c r="A743" s="1050"/>
      <c r="B743" s="1049" t="s">
        <v>2693</v>
      </c>
      <c r="C743" s="382" t="s">
        <v>2694</v>
      </c>
      <c r="D743" s="1049" t="s">
        <v>2309</v>
      </c>
      <c r="E743" s="1047"/>
      <c r="F743" s="383">
        <v>0</v>
      </c>
      <c r="G743" s="383">
        <v>1188924.1599999999</v>
      </c>
      <c r="H743" s="1046">
        <v>46149.86</v>
      </c>
      <c r="I743" s="1047"/>
      <c r="J743" s="383">
        <v>-1142774.3</v>
      </c>
      <c r="M743" s="460"/>
    </row>
    <row r="744" spans="1:13" ht="15" customHeight="1">
      <c r="A744" s="1050"/>
      <c r="B744" s="1050"/>
      <c r="C744" s="382" t="s">
        <v>3315</v>
      </c>
      <c r="D744" s="1049" t="s">
        <v>3316</v>
      </c>
      <c r="E744" s="1047"/>
      <c r="F744" s="383">
        <v>0</v>
      </c>
      <c r="G744" s="383">
        <v>186.5</v>
      </c>
      <c r="H744" s="1046">
        <v>20</v>
      </c>
      <c r="I744" s="1047"/>
      <c r="J744" s="383">
        <v>-166.5</v>
      </c>
      <c r="M744" s="460"/>
    </row>
    <row r="745" spans="1:13" ht="15" customHeight="1">
      <c r="A745" s="1050"/>
      <c r="B745" s="1050"/>
      <c r="C745" s="382" t="s">
        <v>2695</v>
      </c>
      <c r="D745" s="1049" t="s">
        <v>2310</v>
      </c>
      <c r="E745" s="1047"/>
      <c r="F745" s="383">
        <v>0</v>
      </c>
      <c r="G745" s="383">
        <v>287667.92</v>
      </c>
      <c r="H745" s="1046">
        <v>0</v>
      </c>
      <c r="I745" s="1047"/>
      <c r="J745" s="383">
        <v>-287667.92</v>
      </c>
      <c r="M745" s="460"/>
    </row>
    <row r="746" spans="1:13" ht="15" customHeight="1">
      <c r="A746" s="1050"/>
      <c r="B746" s="1050"/>
      <c r="C746" s="382" t="s">
        <v>3317</v>
      </c>
      <c r="D746" s="1049" t="s">
        <v>3318</v>
      </c>
      <c r="E746" s="1047"/>
      <c r="F746" s="383">
        <v>0</v>
      </c>
      <c r="G746" s="383">
        <v>50</v>
      </c>
      <c r="H746" s="1046">
        <v>0</v>
      </c>
      <c r="I746" s="1047"/>
      <c r="J746" s="383">
        <v>-50</v>
      </c>
      <c r="M746" s="460"/>
    </row>
    <row r="747" spans="1:13" ht="15" customHeight="1">
      <c r="A747" s="1050"/>
      <c r="B747" s="1050"/>
      <c r="C747" s="382" t="s">
        <v>2696</v>
      </c>
      <c r="D747" s="1049" t="s">
        <v>2311</v>
      </c>
      <c r="E747" s="1047"/>
      <c r="F747" s="383">
        <v>0</v>
      </c>
      <c r="G747" s="383">
        <v>1360</v>
      </c>
      <c r="H747" s="1046">
        <v>0</v>
      </c>
      <c r="I747" s="1047"/>
      <c r="J747" s="383">
        <v>-1360</v>
      </c>
      <c r="M747" s="460"/>
    </row>
    <row r="748" spans="1:13">
      <c r="A748" s="1050"/>
      <c r="B748" s="1051"/>
      <c r="C748" s="437" t="s">
        <v>12</v>
      </c>
      <c r="D748" s="1060" t="s">
        <v>111</v>
      </c>
      <c r="E748" s="1047"/>
      <c r="F748" s="474">
        <v>0</v>
      </c>
      <c r="G748" s="474">
        <v>1478188.58</v>
      </c>
      <c r="H748" s="1061">
        <v>46169.86</v>
      </c>
      <c r="I748" s="1047"/>
      <c r="J748" s="474">
        <v>-1432018.72</v>
      </c>
      <c r="M748" s="459">
        <f>J748</f>
        <v>-1432018.72</v>
      </c>
    </row>
    <row r="749" spans="1:13" ht="15" customHeight="1">
      <c r="A749" s="1050"/>
      <c r="B749" s="1049" t="s">
        <v>2697</v>
      </c>
      <c r="C749" s="382" t="s">
        <v>2698</v>
      </c>
      <c r="D749" s="1049" t="s">
        <v>2312</v>
      </c>
      <c r="E749" s="1047"/>
      <c r="F749" s="383">
        <v>0</v>
      </c>
      <c r="G749" s="383">
        <v>603133.31000000006</v>
      </c>
      <c r="H749" s="1046">
        <v>166456</v>
      </c>
      <c r="I749" s="1047"/>
      <c r="J749" s="383">
        <v>-436677.31</v>
      </c>
      <c r="M749" s="460"/>
    </row>
    <row r="750" spans="1:13" ht="15" customHeight="1">
      <c r="A750" s="1050"/>
      <c r="B750" s="1050"/>
      <c r="C750" s="382" t="s">
        <v>2699</v>
      </c>
      <c r="D750" s="1049" t="s">
        <v>2313</v>
      </c>
      <c r="E750" s="1047"/>
      <c r="F750" s="383">
        <v>0</v>
      </c>
      <c r="G750" s="383">
        <v>52408</v>
      </c>
      <c r="H750" s="1046">
        <v>2229</v>
      </c>
      <c r="I750" s="1047"/>
      <c r="J750" s="383">
        <v>-50179</v>
      </c>
      <c r="M750" s="460"/>
    </row>
    <row r="751" spans="1:13" ht="15" customHeight="1">
      <c r="A751" s="1050"/>
      <c r="B751" s="1050"/>
      <c r="C751" s="382" t="s">
        <v>3319</v>
      </c>
      <c r="D751" s="1049" t="s">
        <v>3320</v>
      </c>
      <c r="E751" s="1047"/>
      <c r="F751" s="383">
        <v>0</v>
      </c>
      <c r="G751" s="383">
        <v>262765.63</v>
      </c>
      <c r="H751" s="1046">
        <v>690.01</v>
      </c>
      <c r="I751" s="1047"/>
      <c r="J751" s="383">
        <v>-262075.62</v>
      </c>
      <c r="M751" s="460"/>
    </row>
    <row r="752" spans="1:13">
      <c r="A752" s="1050"/>
      <c r="B752" s="1051"/>
      <c r="C752" s="437" t="s">
        <v>12</v>
      </c>
      <c r="D752" s="1060" t="s">
        <v>111</v>
      </c>
      <c r="E752" s="1047"/>
      <c r="F752" s="474">
        <v>0</v>
      </c>
      <c r="G752" s="474">
        <v>918306.94</v>
      </c>
      <c r="H752" s="1061">
        <v>169375.01</v>
      </c>
      <c r="I752" s="1047"/>
      <c r="J752" s="474">
        <v>-748931.93</v>
      </c>
      <c r="M752" s="459">
        <f>J752</f>
        <v>-748931.93</v>
      </c>
    </row>
    <row r="753" spans="1:13" ht="15" customHeight="1">
      <c r="A753" s="1050"/>
      <c r="B753" s="1049" t="s">
        <v>2700</v>
      </c>
      <c r="C753" s="382" t="s">
        <v>2701</v>
      </c>
      <c r="D753" s="1049" t="s">
        <v>2314</v>
      </c>
      <c r="E753" s="1047"/>
      <c r="F753" s="383">
        <v>0</v>
      </c>
      <c r="G753" s="383">
        <v>281929.74</v>
      </c>
      <c r="H753" s="1046">
        <v>5579.22</v>
      </c>
      <c r="I753" s="1047"/>
      <c r="J753" s="383">
        <v>-276350.52</v>
      </c>
      <c r="M753" s="460"/>
    </row>
    <row r="754" spans="1:13">
      <c r="A754" s="1050"/>
      <c r="B754" s="1051"/>
      <c r="C754" s="437" t="s">
        <v>12</v>
      </c>
      <c r="D754" s="1060" t="s">
        <v>111</v>
      </c>
      <c r="E754" s="1047"/>
      <c r="F754" s="474">
        <v>0</v>
      </c>
      <c r="G754" s="474">
        <v>281929.74</v>
      </c>
      <c r="H754" s="1061">
        <v>5579.22</v>
      </c>
      <c r="I754" s="1047"/>
      <c r="J754" s="474">
        <v>-276350.52</v>
      </c>
      <c r="M754" s="459">
        <f>J754</f>
        <v>-276350.52</v>
      </c>
    </row>
    <row r="755" spans="1:13" ht="15" customHeight="1">
      <c r="A755" s="1050"/>
      <c r="B755" s="1049" t="s">
        <v>2702</v>
      </c>
      <c r="C755" s="382" t="s">
        <v>3321</v>
      </c>
      <c r="D755" s="1049" t="s">
        <v>3322</v>
      </c>
      <c r="E755" s="1047"/>
      <c r="F755" s="383">
        <v>0</v>
      </c>
      <c r="G755" s="383">
        <v>40</v>
      </c>
      <c r="H755" s="1046">
        <v>0</v>
      </c>
      <c r="I755" s="1047"/>
      <c r="J755" s="383">
        <v>-40</v>
      </c>
      <c r="M755" s="460"/>
    </row>
    <row r="756" spans="1:13" ht="15" customHeight="1">
      <c r="A756" s="1050"/>
      <c r="B756" s="1050"/>
      <c r="C756" s="382" t="s">
        <v>2703</v>
      </c>
      <c r="D756" s="1049" t="s">
        <v>2315</v>
      </c>
      <c r="E756" s="1047"/>
      <c r="F756" s="383">
        <v>0</v>
      </c>
      <c r="G756" s="383">
        <v>0</v>
      </c>
      <c r="H756" s="1046">
        <v>0</v>
      </c>
      <c r="I756" s="1047"/>
      <c r="J756" s="383">
        <v>0</v>
      </c>
      <c r="M756" s="459"/>
    </row>
    <row r="757" spans="1:13" ht="15" customHeight="1">
      <c r="A757" s="1050"/>
      <c r="B757" s="1050"/>
      <c r="C757" s="382" t="s">
        <v>2704</v>
      </c>
      <c r="D757" s="1049" t="s">
        <v>2316</v>
      </c>
      <c r="E757" s="1047"/>
      <c r="F757" s="383">
        <v>0</v>
      </c>
      <c r="G757" s="383">
        <v>685.91</v>
      </c>
      <c r="H757" s="1046">
        <v>3333.14</v>
      </c>
      <c r="I757" s="1047"/>
      <c r="J757" s="383">
        <v>2647.23</v>
      </c>
      <c r="M757" s="460"/>
    </row>
    <row r="758" spans="1:13">
      <c r="A758" s="1050"/>
      <c r="B758" s="1051"/>
      <c r="C758" s="437" t="s">
        <v>12</v>
      </c>
      <c r="D758" s="1060" t="s">
        <v>111</v>
      </c>
      <c r="E758" s="1047"/>
      <c r="F758" s="474">
        <v>0</v>
      </c>
      <c r="G758" s="474">
        <v>725.91</v>
      </c>
      <c r="H758" s="1061">
        <v>3333.14</v>
      </c>
      <c r="I758" s="1047"/>
      <c r="J758" s="474">
        <v>2607.23</v>
      </c>
      <c r="M758" s="459">
        <f>J758</f>
        <v>2607.23</v>
      </c>
    </row>
    <row r="759" spans="1:13" ht="15" customHeight="1">
      <c r="A759" s="1050"/>
      <c r="B759" s="1049" t="s">
        <v>2705</v>
      </c>
      <c r="C759" s="382" t="s">
        <v>2706</v>
      </c>
      <c r="D759" s="1049" t="s">
        <v>2317</v>
      </c>
      <c r="E759" s="1047"/>
      <c r="F759" s="383">
        <v>0</v>
      </c>
      <c r="G759" s="383">
        <v>1129650.27</v>
      </c>
      <c r="H759" s="1046">
        <v>57947.83</v>
      </c>
      <c r="I759" s="1047"/>
      <c r="J759" s="383">
        <v>-1071702.44</v>
      </c>
      <c r="K759" s="436">
        <f>G759-H759</f>
        <v>1071702.44</v>
      </c>
      <c r="M759" s="434">
        <f>SUM(M624:M758)</f>
        <v>-25319763.879999995</v>
      </c>
    </row>
    <row r="760" spans="1:13" ht="15" customHeight="1">
      <c r="A760" s="1050"/>
      <c r="B760" s="1050"/>
      <c r="C760" s="382" t="s">
        <v>2707</v>
      </c>
      <c r="D760" s="1049" t="s">
        <v>2318</v>
      </c>
      <c r="E760" s="1047"/>
      <c r="F760" s="383">
        <v>0</v>
      </c>
      <c r="G760" s="383">
        <v>0</v>
      </c>
      <c r="H760" s="1046">
        <v>0</v>
      </c>
      <c r="I760" s="1047"/>
      <c r="J760" s="383">
        <v>0</v>
      </c>
      <c r="K760" s="434">
        <f t="shared" ref="K760:K767" si="2">G760-H760</f>
        <v>0</v>
      </c>
    </row>
    <row r="761" spans="1:13" ht="15" customHeight="1">
      <c r="A761" s="1050"/>
      <c r="B761" s="1050"/>
      <c r="C761" s="382" t="s">
        <v>2708</v>
      </c>
      <c r="D761" s="1049" t="s">
        <v>2319</v>
      </c>
      <c r="E761" s="1047"/>
      <c r="F761" s="383">
        <v>0</v>
      </c>
      <c r="G761" s="383">
        <v>648935.72</v>
      </c>
      <c r="H761" s="1046">
        <v>301574.01</v>
      </c>
      <c r="I761" s="1047"/>
      <c r="J761" s="383">
        <v>-347361.71</v>
      </c>
      <c r="K761" s="436">
        <f t="shared" si="2"/>
        <v>347361.70999999996</v>
      </c>
    </row>
    <row r="762" spans="1:13" ht="15" customHeight="1">
      <c r="A762" s="1050"/>
      <c r="B762" s="1050"/>
      <c r="C762" s="382" t="s">
        <v>2709</v>
      </c>
      <c r="D762" s="1049" t="s">
        <v>2320</v>
      </c>
      <c r="E762" s="1047"/>
      <c r="F762" s="383">
        <v>0</v>
      </c>
      <c r="G762" s="383">
        <v>554425.22</v>
      </c>
      <c r="H762" s="1046">
        <v>244557.84</v>
      </c>
      <c r="I762" s="1047"/>
      <c r="J762" s="383">
        <v>-309867.38</v>
      </c>
      <c r="K762" s="436">
        <f t="shared" si="2"/>
        <v>309867.38</v>
      </c>
    </row>
    <row r="763" spans="1:13" ht="15" customHeight="1">
      <c r="A763" s="1050"/>
      <c r="B763" s="1050"/>
      <c r="C763" s="382" t="s">
        <v>2710</v>
      </c>
      <c r="D763" s="1049" t="s">
        <v>2321</v>
      </c>
      <c r="E763" s="1047"/>
      <c r="F763" s="383">
        <v>0</v>
      </c>
      <c r="G763" s="383">
        <v>540203.31000000006</v>
      </c>
      <c r="H763" s="1046">
        <v>101437.85</v>
      </c>
      <c r="I763" s="1047"/>
      <c r="J763" s="383">
        <v>-438765.46</v>
      </c>
      <c r="K763" s="434">
        <f t="shared" si="2"/>
        <v>438765.46000000008</v>
      </c>
    </row>
    <row r="764" spans="1:13" ht="15" customHeight="1">
      <c r="A764" s="1050"/>
      <c r="B764" s="1050"/>
      <c r="C764" s="382" t="s">
        <v>2711</v>
      </c>
      <c r="D764" s="1049" t="s">
        <v>2322</v>
      </c>
      <c r="E764" s="1047"/>
      <c r="F764" s="383">
        <v>0</v>
      </c>
      <c r="G764" s="383">
        <v>184438.82</v>
      </c>
      <c r="H764" s="1046">
        <v>0</v>
      </c>
      <c r="I764" s="1047"/>
      <c r="J764" s="383">
        <v>-184438.82</v>
      </c>
      <c r="K764" s="436">
        <f t="shared" si="2"/>
        <v>184438.82</v>
      </c>
    </row>
    <row r="765" spans="1:13">
      <c r="A765" s="1050"/>
      <c r="B765" s="1051"/>
      <c r="C765" s="437" t="s">
        <v>12</v>
      </c>
      <c r="D765" s="1060" t="s">
        <v>111</v>
      </c>
      <c r="E765" s="1047"/>
      <c r="F765" s="474">
        <v>0</v>
      </c>
      <c r="G765" s="474">
        <v>3057653.34</v>
      </c>
      <c r="H765" s="1061">
        <v>705517.53</v>
      </c>
      <c r="I765" s="1047"/>
      <c r="J765" s="474">
        <v>-2352135.81</v>
      </c>
      <c r="K765" s="434">
        <f t="shared" si="2"/>
        <v>2352135.8099999996</v>
      </c>
    </row>
    <row r="766" spans="1:13" ht="15" customHeight="1">
      <c r="A766" s="1050"/>
      <c r="B766" s="1049" t="s">
        <v>3349</v>
      </c>
      <c r="C766" s="382" t="s">
        <v>3323</v>
      </c>
      <c r="D766" s="1049" t="s">
        <v>3324</v>
      </c>
      <c r="E766" s="1047"/>
      <c r="F766" s="383">
        <v>0</v>
      </c>
      <c r="G766" s="383">
        <v>1299743.1499999999</v>
      </c>
      <c r="H766" s="1046">
        <v>309721.19</v>
      </c>
      <c r="I766" s="1047"/>
      <c r="J766" s="383">
        <v>-990021.96</v>
      </c>
      <c r="K766" s="434">
        <f t="shared" si="2"/>
        <v>990021.96</v>
      </c>
      <c r="L766" s="439">
        <f>J765+J767</f>
        <v>-3342157.77</v>
      </c>
    </row>
    <row r="767" spans="1:13">
      <c r="A767" s="1050"/>
      <c r="B767" s="1051"/>
      <c r="C767" s="437" t="s">
        <v>12</v>
      </c>
      <c r="D767" s="1060" t="s">
        <v>111</v>
      </c>
      <c r="E767" s="1047"/>
      <c r="F767" s="474">
        <v>0</v>
      </c>
      <c r="G767" s="474">
        <v>1299743.1499999999</v>
      </c>
      <c r="H767" s="1061">
        <v>309721.19</v>
      </c>
      <c r="I767" s="1047"/>
      <c r="J767" s="474">
        <v>-990021.96</v>
      </c>
      <c r="K767" s="434">
        <f t="shared" si="2"/>
        <v>990021.96</v>
      </c>
    </row>
    <row r="768" spans="1:13" ht="15" customHeight="1">
      <c r="A768" s="1050"/>
      <c r="B768" s="1049" t="s">
        <v>2712</v>
      </c>
      <c r="C768" s="382" t="s">
        <v>2713</v>
      </c>
      <c r="D768" s="1049" t="s">
        <v>2323</v>
      </c>
      <c r="E768" s="1047"/>
      <c r="F768" s="383">
        <v>0</v>
      </c>
      <c r="G768" s="383">
        <v>1530079</v>
      </c>
      <c r="H768" s="1046">
        <v>0</v>
      </c>
      <c r="I768" s="1047"/>
      <c r="J768" s="383">
        <v>-1530079</v>
      </c>
    </row>
    <row r="769" spans="1:11">
      <c r="A769" s="1050"/>
      <c r="B769" s="1051"/>
      <c r="C769" s="437" t="s">
        <v>12</v>
      </c>
      <c r="D769" s="1060" t="s">
        <v>111</v>
      </c>
      <c r="E769" s="1047"/>
      <c r="F769" s="474">
        <v>0</v>
      </c>
      <c r="G769" s="474">
        <v>1530079</v>
      </c>
      <c r="H769" s="1061">
        <v>0</v>
      </c>
      <c r="I769" s="1047"/>
      <c r="J769" s="474">
        <v>-1530079</v>
      </c>
    </row>
    <row r="770" spans="1:11" ht="15" customHeight="1">
      <c r="A770" s="1050"/>
      <c r="B770" s="1049" t="s">
        <v>2714</v>
      </c>
      <c r="C770" s="382" t="s">
        <v>2715</v>
      </c>
      <c r="D770" s="1049" t="s">
        <v>2324</v>
      </c>
      <c r="E770" s="1047"/>
      <c r="F770" s="383">
        <v>0</v>
      </c>
      <c r="G770" s="383">
        <v>0</v>
      </c>
      <c r="H770" s="1046">
        <v>0</v>
      </c>
      <c r="I770" s="1047"/>
      <c r="J770" s="383">
        <v>0</v>
      </c>
    </row>
    <row r="771" spans="1:11" ht="15" customHeight="1">
      <c r="A771" s="1050"/>
      <c r="B771" s="1050"/>
      <c r="C771" s="382" t="s">
        <v>2716</v>
      </c>
      <c r="D771" s="1049" t="s">
        <v>2325</v>
      </c>
      <c r="E771" s="1047"/>
      <c r="F771" s="383">
        <v>0</v>
      </c>
      <c r="G771" s="383">
        <v>0</v>
      </c>
      <c r="H771" s="1046">
        <v>0</v>
      </c>
      <c r="I771" s="1047"/>
      <c r="J771" s="383">
        <v>0</v>
      </c>
    </row>
    <row r="772" spans="1:11">
      <c r="A772" s="1050"/>
      <c r="B772" s="1051"/>
      <c r="C772" s="437" t="s">
        <v>12</v>
      </c>
      <c r="D772" s="1060" t="s">
        <v>111</v>
      </c>
      <c r="E772" s="1047"/>
      <c r="F772" s="474">
        <v>0</v>
      </c>
      <c r="G772" s="474">
        <v>0</v>
      </c>
      <c r="H772" s="1061">
        <v>0</v>
      </c>
      <c r="I772" s="1047"/>
      <c r="J772" s="474">
        <v>0</v>
      </c>
    </row>
    <row r="773" spans="1:11">
      <c r="A773" s="1051"/>
      <c r="B773" s="359" t="s">
        <v>12</v>
      </c>
      <c r="C773" s="359" t="s">
        <v>111</v>
      </c>
      <c r="D773" s="1059" t="s">
        <v>111</v>
      </c>
      <c r="E773" s="1047"/>
      <c r="F773" s="384">
        <v>0</v>
      </c>
      <c r="G773" s="384">
        <v>126471673.27</v>
      </c>
      <c r="H773" s="1048">
        <v>33056199.109999999</v>
      </c>
      <c r="I773" s="1047"/>
      <c r="J773" s="384">
        <v>-93415474.159999996</v>
      </c>
      <c r="K773" s="431">
        <f>J566+J773</f>
        <v>1142663.1000000089</v>
      </c>
    </row>
    <row r="774" spans="1:11" ht="15" customHeight="1">
      <c r="A774" s="1049" t="s">
        <v>2988</v>
      </c>
      <c r="B774" s="1049" t="s">
        <v>2989</v>
      </c>
      <c r="C774" s="382" t="s">
        <v>2990</v>
      </c>
      <c r="D774" s="1049" t="s">
        <v>2326</v>
      </c>
      <c r="E774" s="1047"/>
      <c r="F774" s="383">
        <v>-22278915.460000001</v>
      </c>
      <c r="G774" s="383">
        <v>0</v>
      </c>
      <c r="H774" s="1046">
        <v>0</v>
      </c>
      <c r="I774" s="1047"/>
      <c r="J774" s="383">
        <v>-22278915.460000001</v>
      </c>
    </row>
    <row r="775" spans="1:11">
      <c r="A775" s="1050"/>
      <c r="B775" s="1051"/>
      <c r="C775" s="437" t="s">
        <v>12</v>
      </c>
      <c r="D775" s="1060" t="s">
        <v>111</v>
      </c>
      <c r="E775" s="1047"/>
      <c r="F775" s="474">
        <v>-22278915.460000001</v>
      </c>
      <c r="G775" s="474">
        <v>0</v>
      </c>
      <c r="H775" s="1061">
        <v>0</v>
      </c>
      <c r="I775" s="1047"/>
      <c r="J775" s="474">
        <v>-22278915.460000001</v>
      </c>
      <c r="K775" s="431">
        <f>J773-J767-J765-J650-J644-J618-J605-J575-J571-J569-J632</f>
        <v>-26849842.88000001</v>
      </c>
    </row>
    <row r="776" spans="1:11" ht="15" customHeight="1">
      <c r="A776" s="1050"/>
      <c r="B776" s="1049" t="s">
        <v>2991</v>
      </c>
      <c r="C776" s="382" t="s">
        <v>2992</v>
      </c>
      <c r="D776" s="1049" t="s">
        <v>2327</v>
      </c>
      <c r="E776" s="1047"/>
      <c r="F776" s="383">
        <v>22278915.460000001</v>
      </c>
      <c r="G776" s="383">
        <v>0</v>
      </c>
      <c r="H776" s="1046">
        <v>0</v>
      </c>
      <c r="I776" s="1047"/>
      <c r="J776" s="383">
        <v>22278915.460000001</v>
      </c>
    </row>
    <row r="777" spans="1:11">
      <c r="A777" s="1050"/>
      <c r="B777" s="1051"/>
      <c r="C777" s="437" t="s">
        <v>12</v>
      </c>
      <c r="D777" s="1060" t="s">
        <v>111</v>
      </c>
      <c r="E777" s="1047"/>
      <c r="F777" s="474">
        <v>22278915.460000001</v>
      </c>
      <c r="G777" s="474">
        <v>0</v>
      </c>
      <c r="H777" s="1061">
        <v>0</v>
      </c>
      <c r="I777" s="1047"/>
      <c r="J777" s="474">
        <v>22278915.460000001</v>
      </c>
    </row>
    <row r="778" spans="1:11">
      <c r="A778" s="1051"/>
      <c r="B778" s="359" t="s">
        <v>12</v>
      </c>
      <c r="C778" s="359" t="s">
        <v>111</v>
      </c>
      <c r="D778" s="1059" t="s">
        <v>111</v>
      </c>
      <c r="E778" s="1047"/>
      <c r="F778" s="384">
        <v>0</v>
      </c>
      <c r="G778" s="384">
        <v>0</v>
      </c>
      <c r="H778" s="1048">
        <v>0</v>
      </c>
      <c r="I778" s="1047"/>
      <c r="J778" s="384">
        <v>0</v>
      </c>
    </row>
    <row r="779" spans="1:11">
      <c r="A779" s="388" t="s">
        <v>12</v>
      </c>
      <c r="B779" s="388" t="s">
        <v>111</v>
      </c>
      <c r="C779" s="388" t="s">
        <v>111</v>
      </c>
      <c r="D779" s="1054" t="s">
        <v>111</v>
      </c>
      <c r="E779" s="1047"/>
      <c r="F779" s="475">
        <v>-174</v>
      </c>
      <c r="G779" s="475">
        <v>2866597964.98</v>
      </c>
      <c r="H779" s="1062">
        <v>2866598148.9699998</v>
      </c>
      <c r="I779" s="1047"/>
      <c r="J779" s="475">
        <v>9.99</v>
      </c>
    </row>
    <row r="780" spans="1:11" ht="0" hidden="1" customHeight="1"/>
  </sheetData>
  <mergeCells count="1715">
    <mergeCell ref="H775:I775"/>
    <mergeCell ref="H776:I776"/>
    <mergeCell ref="H777:I777"/>
    <mergeCell ref="H778:I778"/>
    <mergeCell ref="H779:I779"/>
    <mergeCell ref="H766:I766"/>
    <mergeCell ref="H767:I767"/>
    <mergeCell ref="H768:I768"/>
    <mergeCell ref="H769:I769"/>
    <mergeCell ref="H770:I770"/>
    <mergeCell ref="H771:I771"/>
    <mergeCell ref="H772:I772"/>
    <mergeCell ref="H773:I773"/>
    <mergeCell ref="H774:I774"/>
    <mergeCell ref="H757:I757"/>
    <mergeCell ref="H758:I758"/>
    <mergeCell ref="H759:I759"/>
    <mergeCell ref="H760:I760"/>
    <mergeCell ref="H761:I761"/>
    <mergeCell ref="H762:I762"/>
    <mergeCell ref="H763:I763"/>
    <mergeCell ref="H764:I764"/>
    <mergeCell ref="H765:I765"/>
    <mergeCell ref="H748:I748"/>
    <mergeCell ref="H749:I749"/>
    <mergeCell ref="H750:I750"/>
    <mergeCell ref="H751:I751"/>
    <mergeCell ref="H752:I752"/>
    <mergeCell ref="H753:I753"/>
    <mergeCell ref="H754:I754"/>
    <mergeCell ref="H755:I755"/>
    <mergeCell ref="H756:I756"/>
    <mergeCell ref="H739:I739"/>
    <mergeCell ref="H740:I740"/>
    <mergeCell ref="H741:I741"/>
    <mergeCell ref="H742:I742"/>
    <mergeCell ref="H743:I743"/>
    <mergeCell ref="H744:I744"/>
    <mergeCell ref="H745:I745"/>
    <mergeCell ref="H746:I746"/>
    <mergeCell ref="H747:I747"/>
    <mergeCell ref="H730:I730"/>
    <mergeCell ref="H731:I731"/>
    <mergeCell ref="H732:I732"/>
    <mergeCell ref="H733:I733"/>
    <mergeCell ref="H734:I734"/>
    <mergeCell ref="H735:I735"/>
    <mergeCell ref="H736:I736"/>
    <mergeCell ref="H737:I737"/>
    <mergeCell ref="H738:I738"/>
    <mergeCell ref="H721:I721"/>
    <mergeCell ref="H722:I722"/>
    <mergeCell ref="H723:I723"/>
    <mergeCell ref="H724:I724"/>
    <mergeCell ref="H725:I725"/>
    <mergeCell ref="H726:I726"/>
    <mergeCell ref="H727:I727"/>
    <mergeCell ref="H728:I728"/>
    <mergeCell ref="H729:I729"/>
    <mergeCell ref="H712:I712"/>
    <mergeCell ref="H713:I713"/>
    <mergeCell ref="H714:I714"/>
    <mergeCell ref="H715:I715"/>
    <mergeCell ref="H716:I716"/>
    <mergeCell ref="H717:I717"/>
    <mergeCell ref="H718:I718"/>
    <mergeCell ref="H719:I719"/>
    <mergeCell ref="H720:I720"/>
    <mergeCell ref="H703:I703"/>
    <mergeCell ref="H704:I704"/>
    <mergeCell ref="H705:I705"/>
    <mergeCell ref="H706:I706"/>
    <mergeCell ref="H707:I707"/>
    <mergeCell ref="H708:I708"/>
    <mergeCell ref="H709:I709"/>
    <mergeCell ref="H710:I710"/>
    <mergeCell ref="H711:I711"/>
    <mergeCell ref="H694:I694"/>
    <mergeCell ref="H695:I695"/>
    <mergeCell ref="H696:I696"/>
    <mergeCell ref="H697:I697"/>
    <mergeCell ref="H698:I698"/>
    <mergeCell ref="H699:I699"/>
    <mergeCell ref="H700:I700"/>
    <mergeCell ref="H701:I701"/>
    <mergeCell ref="H702:I702"/>
    <mergeCell ref="H685:I685"/>
    <mergeCell ref="H686:I686"/>
    <mergeCell ref="H687:I687"/>
    <mergeCell ref="H688:I688"/>
    <mergeCell ref="H689:I689"/>
    <mergeCell ref="H690:I690"/>
    <mergeCell ref="H691:I691"/>
    <mergeCell ref="H692:I692"/>
    <mergeCell ref="H693:I693"/>
    <mergeCell ref="H676:I676"/>
    <mergeCell ref="H677:I677"/>
    <mergeCell ref="H678:I678"/>
    <mergeCell ref="H679:I679"/>
    <mergeCell ref="H680:I680"/>
    <mergeCell ref="H681:I681"/>
    <mergeCell ref="H682:I682"/>
    <mergeCell ref="H683:I683"/>
    <mergeCell ref="H684:I684"/>
    <mergeCell ref="H667:I667"/>
    <mergeCell ref="H668:I668"/>
    <mergeCell ref="H669:I669"/>
    <mergeCell ref="H670:I670"/>
    <mergeCell ref="H671:I671"/>
    <mergeCell ref="H672:I672"/>
    <mergeCell ref="H673:I673"/>
    <mergeCell ref="H674:I674"/>
    <mergeCell ref="H675:I675"/>
    <mergeCell ref="H658:I658"/>
    <mergeCell ref="H659:I659"/>
    <mergeCell ref="H660:I660"/>
    <mergeCell ref="H661:I661"/>
    <mergeCell ref="H662:I662"/>
    <mergeCell ref="H663:I663"/>
    <mergeCell ref="H664:I664"/>
    <mergeCell ref="H665:I665"/>
    <mergeCell ref="H666:I666"/>
    <mergeCell ref="H649:I649"/>
    <mergeCell ref="H650:I650"/>
    <mergeCell ref="H651:I651"/>
    <mergeCell ref="H652:I652"/>
    <mergeCell ref="H653:I653"/>
    <mergeCell ref="H654:I654"/>
    <mergeCell ref="H655:I655"/>
    <mergeCell ref="H656:I656"/>
    <mergeCell ref="H657:I657"/>
    <mergeCell ref="H640:I640"/>
    <mergeCell ref="H641:I641"/>
    <mergeCell ref="H642:I642"/>
    <mergeCell ref="H643:I643"/>
    <mergeCell ref="H644:I644"/>
    <mergeCell ref="H645:I645"/>
    <mergeCell ref="H646:I646"/>
    <mergeCell ref="H647:I647"/>
    <mergeCell ref="H648:I648"/>
    <mergeCell ref="H631:I631"/>
    <mergeCell ref="H632:I632"/>
    <mergeCell ref="H633:I633"/>
    <mergeCell ref="H634:I634"/>
    <mergeCell ref="H635:I635"/>
    <mergeCell ref="H636:I636"/>
    <mergeCell ref="H637:I637"/>
    <mergeCell ref="H638:I638"/>
    <mergeCell ref="H639:I639"/>
    <mergeCell ref="H622:I622"/>
    <mergeCell ref="H623:I623"/>
    <mergeCell ref="H624:I624"/>
    <mergeCell ref="H625:I625"/>
    <mergeCell ref="H626:I626"/>
    <mergeCell ref="H627:I627"/>
    <mergeCell ref="H628:I628"/>
    <mergeCell ref="H629:I629"/>
    <mergeCell ref="H630:I630"/>
    <mergeCell ref="H613:I613"/>
    <mergeCell ref="H614:I614"/>
    <mergeCell ref="H615:I615"/>
    <mergeCell ref="H616:I616"/>
    <mergeCell ref="H617:I617"/>
    <mergeCell ref="H618:I618"/>
    <mergeCell ref="H619:I619"/>
    <mergeCell ref="H620:I620"/>
    <mergeCell ref="H621:I621"/>
    <mergeCell ref="H604:I604"/>
    <mergeCell ref="H605:I605"/>
    <mergeCell ref="H606:I606"/>
    <mergeCell ref="H607:I607"/>
    <mergeCell ref="H608:I608"/>
    <mergeCell ref="H609:I609"/>
    <mergeCell ref="H610:I610"/>
    <mergeCell ref="H611:I611"/>
    <mergeCell ref="H612:I612"/>
    <mergeCell ref="H595:I595"/>
    <mergeCell ref="H596:I596"/>
    <mergeCell ref="H597:I597"/>
    <mergeCell ref="H598:I598"/>
    <mergeCell ref="H599:I599"/>
    <mergeCell ref="H600:I600"/>
    <mergeCell ref="H601:I601"/>
    <mergeCell ref="H602:I602"/>
    <mergeCell ref="H603:I603"/>
    <mergeCell ref="H586:I586"/>
    <mergeCell ref="H587:I587"/>
    <mergeCell ref="H588:I588"/>
    <mergeCell ref="H589:I589"/>
    <mergeCell ref="H590:I590"/>
    <mergeCell ref="H591:I591"/>
    <mergeCell ref="H592:I592"/>
    <mergeCell ref="H593:I593"/>
    <mergeCell ref="H594:I594"/>
    <mergeCell ref="H577:I577"/>
    <mergeCell ref="H578:I578"/>
    <mergeCell ref="H579:I579"/>
    <mergeCell ref="H580:I580"/>
    <mergeCell ref="H581:I581"/>
    <mergeCell ref="H582:I582"/>
    <mergeCell ref="H583:I583"/>
    <mergeCell ref="H584:I584"/>
    <mergeCell ref="H585:I585"/>
    <mergeCell ref="H568:I568"/>
    <mergeCell ref="H569:I569"/>
    <mergeCell ref="H570:I570"/>
    <mergeCell ref="H571:I571"/>
    <mergeCell ref="H572:I572"/>
    <mergeCell ref="H573:I573"/>
    <mergeCell ref="H574:I574"/>
    <mergeCell ref="H575:I575"/>
    <mergeCell ref="H576:I576"/>
    <mergeCell ref="H559:I559"/>
    <mergeCell ref="H560:I560"/>
    <mergeCell ref="H561:I561"/>
    <mergeCell ref="H562:I562"/>
    <mergeCell ref="H563:I563"/>
    <mergeCell ref="H564:I564"/>
    <mergeCell ref="H565:I565"/>
    <mergeCell ref="H566:I566"/>
    <mergeCell ref="H567:I567"/>
    <mergeCell ref="H550:I550"/>
    <mergeCell ref="H551:I551"/>
    <mergeCell ref="H552:I552"/>
    <mergeCell ref="H553:I553"/>
    <mergeCell ref="H554:I554"/>
    <mergeCell ref="H555:I555"/>
    <mergeCell ref="H556:I556"/>
    <mergeCell ref="H557:I557"/>
    <mergeCell ref="H558:I558"/>
    <mergeCell ref="H541:I541"/>
    <mergeCell ref="H542:I542"/>
    <mergeCell ref="H543:I543"/>
    <mergeCell ref="H544:I544"/>
    <mergeCell ref="H545:I545"/>
    <mergeCell ref="H546:I546"/>
    <mergeCell ref="H547:I547"/>
    <mergeCell ref="H548:I548"/>
    <mergeCell ref="H549:I549"/>
    <mergeCell ref="H532:I532"/>
    <mergeCell ref="H533:I533"/>
    <mergeCell ref="H534:I534"/>
    <mergeCell ref="H535:I535"/>
    <mergeCell ref="H536:I536"/>
    <mergeCell ref="H537:I537"/>
    <mergeCell ref="H538:I538"/>
    <mergeCell ref="H539:I539"/>
    <mergeCell ref="H540:I540"/>
    <mergeCell ref="H523:I523"/>
    <mergeCell ref="H524:I524"/>
    <mergeCell ref="H525:I525"/>
    <mergeCell ref="H526:I526"/>
    <mergeCell ref="H527:I527"/>
    <mergeCell ref="H528:I528"/>
    <mergeCell ref="H529:I529"/>
    <mergeCell ref="H530:I530"/>
    <mergeCell ref="H531:I531"/>
    <mergeCell ref="H514:I514"/>
    <mergeCell ref="H515:I515"/>
    <mergeCell ref="H516:I516"/>
    <mergeCell ref="H517:I517"/>
    <mergeCell ref="H518:I518"/>
    <mergeCell ref="H519:I519"/>
    <mergeCell ref="H520:I520"/>
    <mergeCell ref="H521:I521"/>
    <mergeCell ref="H522:I522"/>
    <mergeCell ref="H505:I505"/>
    <mergeCell ref="H506:I506"/>
    <mergeCell ref="H507:I507"/>
    <mergeCell ref="H508:I508"/>
    <mergeCell ref="H509:I509"/>
    <mergeCell ref="H510:I510"/>
    <mergeCell ref="H511:I511"/>
    <mergeCell ref="H512:I512"/>
    <mergeCell ref="H513:I513"/>
    <mergeCell ref="H496:I496"/>
    <mergeCell ref="H497:I497"/>
    <mergeCell ref="H498:I498"/>
    <mergeCell ref="H499:I499"/>
    <mergeCell ref="H500:I500"/>
    <mergeCell ref="H501:I501"/>
    <mergeCell ref="H502:I502"/>
    <mergeCell ref="H503:I503"/>
    <mergeCell ref="H504:I504"/>
    <mergeCell ref="H487:I487"/>
    <mergeCell ref="H488:I488"/>
    <mergeCell ref="H489:I489"/>
    <mergeCell ref="H490:I490"/>
    <mergeCell ref="H491:I491"/>
    <mergeCell ref="H492:I492"/>
    <mergeCell ref="H493:I493"/>
    <mergeCell ref="H494:I494"/>
    <mergeCell ref="H495:I495"/>
    <mergeCell ref="H478:I478"/>
    <mergeCell ref="H479:I479"/>
    <mergeCell ref="H480:I480"/>
    <mergeCell ref="H481:I481"/>
    <mergeCell ref="H482:I482"/>
    <mergeCell ref="H483:I483"/>
    <mergeCell ref="H484:I484"/>
    <mergeCell ref="H485:I485"/>
    <mergeCell ref="H486:I486"/>
    <mergeCell ref="H469:I469"/>
    <mergeCell ref="H470:I470"/>
    <mergeCell ref="H471:I471"/>
    <mergeCell ref="H472:I472"/>
    <mergeCell ref="H473:I473"/>
    <mergeCell ref="H474:I474"/>
    <mergeCell ref="H475:I475"/>
    <mergeCell ref="H476:I476"/>
    <mergeCell ref="H477:I477"/>
    <mergeCell ref="H460:I460"/>
    <mergeCell ref="H461:I461"/>
    <mergeCell ref="H462:I462"/>
    <mergeCell ref="H463:I463"/>
    <mergeCell ref="H464:I464"/>
    <mergeCell ref="H465:I465"/>
    <mergeCell ref="H466:I466"/>
    <mergeCell ref="H467:I467"/>
    <mergeCell ref="H468:I468"/>
    <mergeCell ref="H451:I451"/>
    <mergeCell ref="H452:I452"/>
    <mergeCell ref="H453:I453"/>
    <mergeCell ref="H454:I454"/>
    <mergeCell ref="H455:I455"/>
    <mergeCell ref="H456:I456"/>
    <mergeCell ref="H457:I457"/>
    <mergeCell ref="H458:I458"/>
    <mergeCell ref="H459:I459"/>
    <mergeCell ref="H442:I442"/>
    <mergeCell ref="H443:I443"/>
    <mergeCell ref="H444:I444"/>
    <mergeCell ref="H445:I445"/>
    <mergeCell ref="H446:I446"/>
    <mergeCell ref="H447:I447"/>
    <mergeCell ref="H448:I448"/>
    <mergeCell ref="H449:I449"/>
    <mergeCell ref="H450:I450"/>
    <mergeCell ref="H433:I433"/>
    <mergeCell ref="H434:I434"/>
    <mergeCell ref="H435:I435"/>
    <mergeCell ref="H436:I436"/>
    <mergeCell ref="H437:I437"/>
    <mergeCell ref="H438:I438"/>
    <mergeCell ref="H439:I439"/>
    <mergeCell ref="H440:I440"/>
    <mergeCell ref="H441:I441"/>
    <mergeCell ref="H424:I424"/>
    <mergeCell ref="H425:I425"/>
    <mergeCell ref="H426:I426"/>
    <mergeCell ref="H427:I427"/>
    <mergeCell ref="H428:I428"/>
    <mergeCell ref="H429:I429"/>
    <mergeCell ref="H430:I430"/>
    <mergeCell ref="H431:I431"/>
    <mergeCell ref="H432:I432"/>
    <mergeCell ref="H415:I415"/>
    <mergeCell ref="H416:I416"/>
    <mergeCell ref="H417:I417"/>
    <mergeCell ref="H418:I418"/>
    <mergeCell ref="H419:I419"/>
    <mergeCell ref="H420:I420"/>
    <mergeCell ref="H421:I421"/>
    <mergeCell ref="H422:I422"/>
    <mergeCell ref="H423:I423"/>
    <mergeCell ref="H406:I406"/>
    <mergeCell ref="H407:I407"/>
    <mergeCell ref="H408:I408"/>
    <mergeCell ref="H409:I409"/>
    <mergeCell ref="H410:I410"/>
    <mergeCell ref="H411:I411"/>
    <mergeCell ref="H412:I412"/>
    <mergeCell ref="H413:I413"/>
    <mergeCell ref="H414:I414"/>
    <mergeCell ref="H397:I397"/>
    <mergeCell ref="H398:I398"/>
    <mergeCell ref="H399:I399"/>
    <mergeCell ref="H400:I400"/>
    <mergeCell ref="H401:I401"/>
    <mergeCell ref="H402:I402"/>
    <mergeCell ref="H403:I403"/>
    <mergeCell ref="H404:I404"/>
    <mergeCell ref="H405:I405"/>
    <mergeCell ref="H388:I388"/>
    <mergeCell ref="H389:I389"/>
    <mergeCell ref="H390:I390"/>
    <mergeCell ref="H391:I391"/>
    <mergeCell ref="H392:I392"/>
    <mergeCell ref="H393:I393"/>
    <mergeCell ref="H394:I394"/>
    <mergeCell ref="H395:I395"/>
    <mergeCell ref="H396:I396"/>
    <mergeCell ref="H379:I379"/>
    <mergeCell ref="H380:I380"/>
    <mergeCell ref="H381:I381"/>
    <mergeCell ref="H382:I382"/>
    <mergeCell ref="H383:I383"/>
    <mergeCell ref="H384:I384"/>
    <mergeCell ref="H385:I385"/>
    <mergeCell ref="H386:I386"/>
    <mergeCell ref="H387:I387"/>
    <mergeCell ref="H370:I370"/>
    <mergeCell ref="H371:I371"/>
    <mergeCell ref="H372:I372"/>
    <mergeCell ref="H373:I373"/>
    <mergeCell ref="H374:I374"/>
    <mergeCell ref="H375:I375"/>
    <mergeCell ref="H376:I376"/>
    <mergeCell ref="H377:I377"/>
    <mergeCell ref="H378:I378"/>
    <mergeCell ref="H361:I361"/>
    <mergeCell ref="H362:I362"/>
    <mergeCell ref="H363:I363"/>
    <mergeCell ref="H364:I364"/>
    <mergeCell ref="H365:I365"/>
    <mergeCell ref="H366:I366"/>
    <mergeCell ref="H367:I367"/>
    <mergeCell ref="H368:I368"/>
    <mergeCell ref="H369:I369"/>
    <mergeCell ref="H352:I352"/>
    <mergeCell ref="H353:I353"/>
    <mergeCell ref="H354:I354"/>
    <mergeCell ref="H355:I355"/>
    <mergeCell ref="H356:I356"/>
    <mergeCell ref="H357:I357"/>
    <mergeCell ref="H358:I358"/>
    <mergeCell ref="H359:I359"/>
    <mergeCell ref="H360:I360"/>
    <mergeCell ref="H343:I343"/>
    <mergeCell ref="H344:I344"/>
    <mergeCell ref="H345:I345"/>
    <mergeCell ref="H346:I346"/>
    <mergeCell ref="H347:I347"/>
    <mergeCell ref="H348:I348"/>
    <mergeCell ref="H349:I349"/>
    <mergeCell ref="H350:I350"/>
    <mergeCell ref="H351:I351"/>
    <mergeCell ref="H334:I334"/>
    <mergeCell ref="H335:I335"/>
    <mergeCell ref="H336:I336"/>
    <mergeCell ref="H337:I337"/>
    <mergeCell ref="H338:I338"/>
    <mergeCell ref="H339:I339"/>
    <mergeCell ref="H340:I340"/>
    <mergeCell ref="H341:I341"/>
    <mergeCell ref="H342:I342"/>
    <mergeCell ref="H325:I325"/>
    <mergeCell ref="H326:I326"/>
    <mergeCell ref="H327:I327"/>
    <mergeCell ref="H328:I328"/>
    <mergeCell ref="H329:I329"/>
    <mergeCell ref="H330:I330"/>
    <mergeCell ref="H331:I331"/>
    <mergeCell ref="H332:I332"/>
    <mergeCell ref="H333:I333"/>
    <mergeCell ref="H316:I316"/>
    <mergeCell ref="H317:I317"/>
    <mergeCell ref="H318:I318"/>
    <mergeCell ref="H319:I319"/>
    <mergeCell ref="H320:I320"/>
    <mergeCell ref="H321:I321"/>
    <mergeCell ref="H322:I322"/>
    <mergeCell ref="H323:I323"/>
    <mergeCell ref="H324:I324"/>
    <mergeCell ref="H307:I307"/>
    <mergeCell ref="H308:I308"/>
    <mergeCell ref="H309:I309"/>
    <mergeCell ref="H310:I310"/>
    <mergeCell ref="H311:I311"/>
    <mergeCell ref="H312:I312"/>
    <mergeCell ref="H313:I313"/>
    <mergeCell ref="H314:I314"/>
    <mergeCell ref="H315:I315"/>
    <mergeCell ref="H298:I298"/>
    <mergeCell ref="H299:I299"/>
    <mergeCell ref="H300:I300"/>
    <mergeCell ref="H301:I301"/>
    <mergeCell ref="H302:I302"/>
    <mergeCell ref="H303:I303"/>
    <mergeCell ref="H304:I304"/>
    <mergeCell ref="H305:I305"/>
    <mergeCell ref="H306:I306"/>
    <mergeCell ref="H289:I289"/>
    <mergeCell ref="H290:I290"/>
    <mergeCell ref="H291:I291"/>
    <mergeCell ref="H292:I292"/>
    <mergeCell ref="H293:I293"/>
    <mergeCell ref="H294:I294"/>
    <mergeCell ref="H295:I295"/>
    <mergeCell ref="H296:I296"/>
    <mergeCell ref="H297:I297"/>
    <mergeCell ref="H280:I280"/>
    <mergeCell ref="H281:I281"/>
    <mergeCell ref="H282:I282"/>
    <mergeCell ref="H283:I283"/>
    <mergeCell ref="H284:I284"/>
    <mergeCell ref="H285:I285"/>
    <mergeCell ref="H286:I286"/>
    <mergeCell ref="H287:I287"/>
    <mergeCell ref="H288:I288"/>
    <mergeCell ref="H271:I271"/>
    <mergeCell ref="H272:I272"/>
    <mergeCell ref="H273:I273"/>
    <mergeCell ref="H274:I274"/>
    <mergeCell ref="H275:I275"/>
    <mergeCell ref="H276:I276"/>
    <mergeCell ref="H277:I277"/>
    <mergeCell ref="H278:I278"/>
    <mergeCell ref="H279:I279"/>
    <mergeCell ref="H262:I262"/>
    <mergeCell ref="H263:I263"/>
    <mergeCell ref="H264:I264"/>
    <mergeCell ref="H265:I265"/>
    <mergeCell ref="H266:I266"/>
    <mergeCell ref="H267:I267"/>
    <mergeCell ref="H268:I268"/>
    <mergeCell ref="H269:I269"/>
    <mergeCell ref="H270:I270"/>
    <mergeCell ref="H253:I253"/>
    <mergeCell ref="H254:I254"/>
    <mergeCell ref="H255:I255"/>
    <mergeCell ref="H256:I256"/>
    <mergeCell ref="H257:I257"/>
    <mergeCell ref="H258:I258"/>
    <mergeCell ref="H259:I259"/>
    <mergeCell ref="H260:I260"/>
    <mergeCell ref="H261:I261"/>
    <mergeCell ref="H244:I244"/>
    <mergeCell ref="H245:I245"/>
    <mergeCell ref="H246:I246"/>
    <mergeCell ref="H247:I247"/>
    <mergeCell ref="H248:I248"/>
    <mergeCell ref="H249:I249"/>
    <mergeCell ref="H250:I250"/>
    <mergeCell ref="H251:I251"/>
    <mergeCell ref="H252:I252"/>
    <mergeCell ref="H235:I235"/>
    <mergeCell ref="H236:I236"/>
    <mergeCell ref="H237:I237"/>
    <mergeCell ref="H238:I238"/>
    <mergeCell ref="H239:I239"/>
    <mergeCell ref="H240:I240"/>
    <mergeCell ref="H241:I241"/>
    <mergeCell ref="H242:I242"/>
    <mergeCell ref="H243:I243"/>
    <mergeCell ref="H231:I231"/>
    <mergeCell ref="H232:I232"/>
    <mergeCell ref="H233:I233"/>
    <mergeCell ref="H234:I234"/>
    <mergeCell ref="H1:I1"/>
    <mergeCell ref="D1:E1"/>
    <mergeCell ref="A231:A446"/>
    <mergeCell ref="B231:B237"/>
    <mergeCell ref="D231:E231"/>
    <mergeCell ref="D232:E232"/>
    <mergeCell ref="D233:E233"/>
    <mergeCell ref="D234:E234"/>
    <mergeCell ref="D235:E235"/>
    <mergeCell ref="D236:E236"/>
    <mergeCell ref="D237:E237"/>
    <mergeCell ref="B238:B242"/>
    <mergeCell ref="D238:E238"/>
    <mergeCell ref="D239:E239"/>
    <mergeCell ref="D240:E240"/>
    <mergeCell ref="D241:E241"/>
    <mergeCell ref="D242:E242"/>
    <mergeCell ref="B249:B254"/>
    <mergeCell ref="D249:E249"/>
    <mergeCell ref="D250:E250"/>
    <mergeCell ref="D251:E251"/>
    <mergeCell ref="D252:E252"/>
    <mergeCell ref="D253:E253"/>
    <mergeCell ref="D254:E254"/>
    <mergeCell ref="B243:B248"/>
    <mergeCell ref="D243:E243"/>
    <mergeCell ref="D244:E244"/>
    <mergeCell ref="D245:E245"/>
    <mergeCell ref="D246:E246"/>
    <mergeCell ref="D247:E247"/>
    <mergeCell ref="D248:E248"/>
    <mergeCell ref="D263:E263"/>
    <mergeCell ref="D264:E264"/>
    <mergeCell ref="D265:E265"/>
    <mergeCell ref="D266:E266"/>
    <mergeCell ref="D267:E267"/>
    <mergeCell ref="D268:E268"/>
    <mergeCell ref="B255:B256"/>
    <mergeCell ref="D255:E255"/>
    <mergeCell ref="D256:E256"/>
    <mergeCell ref="B257:B283"/>
    <mergeCell ref="D257:E257"/>
    <mergeCell ref="D258:E258"/>
    <mergeCell ref="D259:E259"/>
    <mergeCell ref="D260:E260"/>
    <mergeCell ref="D261:E261"/>
    <mergeCell ref="D262:E262"/>
    <mergeCell ref="D275:E275"/>
    <mergeCell ref="D276:E276"/>
    <mergeCell ref="D277:E277"/>
    <mergeCell ref="D278:E278"/>
    <mergeCell ref="D279:E279"/>
    <mergeCell ref="D280:E280"/>
    <mergeCell ref="D269:E269"/>
    <mergeCell ref="D270:E270"/>
    <mergeCell ref="D271:E271"/>
    <mergeCell ref="D272:E272"/>
    <mergeCell ref="D273:E273"/>
    <mergeCell ref="D274:E274"/>
    <mergeCell ref="D281:E281"/>
    <mergeCell ref="D282:E282"/>
    <mergeCell ref="D283:E283"/>
    <mergeCell ref="B284:B311"/>
    <mergeCell ref="D284:E284"/>
    <mergeCell ref="D285:E285"/>
    <mergeCell ref="D286:E286"/>
    <mergeCell ref="D287:E287"/>
    <mergeCell ref="D288:E288"/>
    <mergeCell ref="D289:E289"/>
    <mergeCell ref="D296:E296"/>
    <mergeCell ref="D297:E297"/>
    <mergeCell ref="D298:E298"/>
    <mergeCell ref="D299:E299"/>
    <mergeCell ref="D300:E300"/>
    <mergeCell ref="D301:E301"/>
    <mergeCell ref="D290:E290"/>
    <mergeCell ref="D291:E291"/>
    <mergeCell ref="D292:E292"/>
    <mergeCell ref="D293:E293"/>
    <mergeCell ref="D294:E294"/>
    <mergeCell ref="D295:E295"/>
    <mergeCell ref="D308:E308"/>
    <mergeCell ref="D309:E309"/>
    <mergeCell ref="D310:E310"/>
    <mergeCell ref="D311:E311"/>
    <mergeCell ref="B312:B314"/>
    <mergeCell ref="D312:E312"/>
    <mergeCell ref="D313:E313"/>
    <mergeCell ref="D314:E314"/>
    <mergeCell ref="D302:E302"/>
    <mergeCell ref="D303:E303"/>
    <mergeCell ref="D304:E304"/>
    <mergeCell ref="D305:E305"/>
    <mergeCell ref="D306:E306"/>
    <mergeCell ref="D307:E307"/>
    <mergeCell ref="B315:B318"/>
    <mergeCell ref="D315:E315"/>
    <mergeCell ref="D316:E316"/>
    <mergeCell ref="D317:E317"/>
    <mergeCell ref="D318:E318"/>
    <mergeCell ref="B319:B323"/>
    <mergeCell ref="D319:E319"/>
    <mergeCell ref="D320:E320"/>
    <mergeCell ref="D321:E321"/>
    <mergeCell ref="D322:E322"/>
    <mergeCell ref="D323:E323"/>
    <mergeCell ref="B324:B331"/>
    <mergeCell ref="D324:E324"/>
    <mergeCell ref="D325:E325"/>
    <mergeCell ref="D326:E326"/>
    <mergeCell ref="D327:E327"/>
    <mergeCell ref="D328:E328"/>
    <mergeCell ref="D329:E329"/>
    <mergeCell ref="D330:E330"/>
    <mergeCell ref="D331:E331"/>
    <mergeCell ref="B332:B340"/>
    <mergeCell ref="D332:E332"/>
    <mergeCell ref="D333:E333"/>
    <mergeCell ref="D334:E334"/>
    <mergeCell ref="D335:E335"/>
    <mergeCell ref="D336:E336"/>
    <mergeCell ref="D337:E337"/>
    <mergeCell ref="D338:E338"/>
    <mergeCell ref="D339:E339"/>
    <mergeCell ref="D340:E340"/>
    <mergeCell ref="B341:B348"/>
    <mergeCell ref="D341:E341"/>
    <mergeCell ref="D342:E342"/>
    <mergeCell ref="D343:E343"/>
    <mergeCell ref="D344:E344"/>
    <mergeCell ref="D345:E345"/>
    <mergeCell ref="D346:E346"/>
    <mergeCell ref="D347:E347"/>
    <mergeCell ref="D348:E348"/>
    <mergeCell ref="B349:B351"/>
    <mergeCell ref="D349:E349"/>
    <mergeCell ref="D350:E350"/>
    <mergeCell ref="D351:E351"/>
    <mergeCell ref="B352:B359"/>
    <mergeCell ref="D352:E352"/>
    <mergeCell ref="D353:E353"/>
    <mergeCell ref="D354:E354"/>
    <mergeCell ref="D355:E355"/>
    <mergeCell ref="D356:E356"/>
    <mergeCell ref="D357:E357"/>
    <mergeCell ref="D358:E358"/>
    <mergeCell ref="D359:E359"/>
    <mergeCell ref="B360:B367"/>
    <mergeCell ref="D360:E360"/>
    <mergeCell ref="D361:E361"/>
    <mergeCell ref="D362:E362"/>
    <mergeCell ref="D363:E363"/>
    <mergeCell ref="D364:E364"/>
    <mergeCell ref="D365:E365"/>
    <mergeCell ref="D366:E366"/>
    <mergeCell ref="D367:E367"/>
    <mergeCell ref="B368:B369"/>
    <mergeCell ref="D368:E368"/>
    <mergeCell ref="D369:E369"/>
    <mergeCell ref="B370:B376"/>
    <mergeCell ref="D370:E370"/>
    <mergeCell ref="D371:E371"/>
    <mergeCell ref="D372:E372"/>
    <mergeCell ref="D373:E373"/>
    <mergeCell ref="D374:E374"/>
    <mergeCell ref="D375:E375"/>
    <mergeCell ref="D376:E376"/>
    <mergeCell ref="B377:B385"/>
    <mergeCell ref="D377:E377"/>
    <mergeCell ref="D378:E378"/>
    <mergeCell ref="D379:E379"/>
    <mergeCell ref="D380:E380"/>
    <mergeCell ref="D381:E381"/>
    <mergeCell ref="D382:E382"/>
    <mergeCell ref="D383:E383"/>
    <mergeCell ref="D384:E384"/>
    <mergeCell ref="D385:E385"/>
    <mergeCell ref="B386:B392"/>
    <mergeCell ref="D386:E386"/>
    <mergeCell ref="D387:E387"/>
    <mergeCell ref="D388:E388"/>
    <mergeCell ref="D389:E389"/>
    <mergeCell ref="D390:E390"/>
    <mergeCell ref="D391:E391"/>
    <mergeCell ref="D392:E392"/>
    <mergeCell ref="B393:B402"/>
    <mergeCell ref="D393:E393"/>
    <mergeCell ref="D394:E394"/>
    <mergeCell ref="D395:E395"/>
    <mergeCell ref="D396:E396"/>
    <mergeCell ref="D397:E397"/>
    <mergeCell ref="D398:E398"/>
    <mergeCell ref="D399:E399"/>
    <mergeCell ref="D400:E400"/>
    <mergeCell ref="D410:E410"/>
    <mergeCell ref="D411:E411"/>
    <mergeCell ref="D412:E412"/>
    <mergeCell ref="D413:E413"/>
    <mergeCell ref="D414:E414"/>
    <mergeCell ref="D415:E415"/>
    <mergeCell ref="D401:E401"/>
    <mergeCell ref="D402:E402"/>
    <mergeCell ref="B403:B417"/>
    <mergeCell ref="D403:E403"/>
    <mergeCell ref="D404:E404"/>
    <mergeCell ref="D405:E405"/>
    <mergeCell ref="D406:E406"/>
    <mergeCell ref="D407:E407"/>
    <mergeCell ref="D408:E408"/>
    <mergeCell ref="D409:E409"/>
    <mergeCell ref="D424:E424"/>
    <mergeCell ref="D425:E425"/>
    <mergeCell ref="D426:E426"/>
    <mergeCell ref="B427:B428"/>
    <mergeCell ref="D427:E427"/>
    <mergeCell ref="D428:E428"/>
    <mergeCell ref="D416:E416"/>
    <mergeCell ref="D417:E417"/>
    <mergeCell ref="B418:B419"/>
    <mergeCell ref="D418:E418"/>
    <mergeCell ref="D419:E419"/>
    <mergeCell ref="B420:B426"/>
    <mergeCell ref="D420:E420"/>
    <mergeCell ref="D421:E421"/>
    <mergeCell ref="D422:E422"/>
    <mergeCell ref="D423:E423"/>
    <mergeCell ref="B438:B439"/>
    <mergeCell ref="D438:E438"/>
    <mergeCell ref="D439:E439"/>
    <mergeCell ref="B440:B443"/>
    <mergeCell ref="D440:E440"/>
    <mergeCell ref="D441:E441"/>
    <mergeCell ref="D442:E442"/>
    <mergeCell ref="D443:E443"/>
    <mergeCell ref="B429:B437"/>
    <mergeCell ref="D429:E429"/>
    <mergeCell ref="D430:E430"/>
    <mergeCell ref="D431:E431"/>
    <mergeCell ref="D432:E432"/>
    <mergeCell ref="D433:E433"/>
    <mergeCell ref="D434:E434"/>
    <mergeCell ref="D435:E435"/>
    <mergeCell ref="D436:E436"/>
    <mergeCell ref="D437:E437"/>
    <mergeCell ref="D450:E450"/>
    <mergeCell ref="D451:E451"/>
    <mergeCell ref="D452:E452"/>
    <mergeCell ref="D453:E453"/>
    <mergeCell ref="D454:E454"/>
    <mergeCell ref="D455:E455"/>
    <mergeCell ref="B444:B445"/>
    <mergeCell ref="D444:E444"/>
    <mergeCell ref="D445:E445"/>
    <mergeCell ref="D446:E446"/>
    <mergeCell ref="B447:B448"/>
    <mergeCell ref="D447:E447"/>
    <mergeCell ref="D448:E448"/>
    <mergeCell ref="B449:B455"/>
    <mergeCell ref="D449:E449"/>
    <mergeCell ref="B456:B459"/>
    <mergeCell ref="D456:E456"/>
    <mergeCell ref="D457:E457"/>
    <mergeCell ref="D458:E458"/>
    <mergeCell ref="D459:E459"/>
    <mergeCell ref="B460:B467"/>
    <mergeCell ref="D460:E460"/>
    <mergeCell ref="D461:E461"/>
    <mergeCell ref="D462:E462"/>
    <mergeCell ref="D463:E463"/>
    <mergeCell ref="D464:E464"/>
    <mergeCell ref="D465:E465"/>
    <mergeCell ref="D466:E466"/>
    <mergeCell ref="D467:E467"/>
    <mergeCell ref="B468:B475"/>
    <mergeCell ref="D468:E468"/>
    <mergeCell ref="D469:E469"/>
    <mergeCell ref="D470:E470"/>
    <mergeCell ref="D471:E471"/>
    <mergeCell ref="D472:E472"/>
    <mergeCell ref="D473:E473"/>
    <mergeCell ref="D474:E474"/>
    <mergeCell ref="D475:E475"/>
    <mergeCell ref="B476:B482"/>
    <mergeCell ref="D476:E476"/>
    <mergeCell ref="D477:E477"/>
    <mergeCell ref="D478:E478"/>
    <mergeCell ref="D479:E479"/>
    <mergeCell ref="D480:E480"/>
    <mergeCell ref="D481:E481"/>
    <mergeCell ref="D482:E482"/>
    <mergeCell ref="B483:B490"/>
    <mergeCell ref="D483:E483"/>
    <mergeCell ref="D484:E484"/>
    <mergeCell ref="D485:E485"/>
    <mergeCell ref="D486:E486"/>
    <mergeCell ref="D487:E487"/>
    <mergeCell ref="D488:E488"/>
    <mergeCell ref="D489:E489"/>
    <mergeCell ref="D490:E490"/>
    <mergeCell ref="B491:B498"/>
    <mergeCell ref="D491:E491"/>
    <mergeCell ref="D492:E492"/>
    <mergeCell ref="D493:E493"/>
    <mergeCell ref="D494:E494"/>
    <mergeCell ref="D495:E495"/>
    <mergeCell ref="D496:E496"/>
    <mergeCell ref="D497:E497"/>
    <mergeCell ref="D498:E498"/>
    <mergeCell ref="D514:E514"/>
    <mergeCell ref="D515:E515"/>
    <mergeCell ref="D516:E516"/>
    <mergeCell ref="D517:E517"/>
    <mergeCell ref="D518:E518"/>
    <mergeCell ref="D519:E519"/>
    <mergeCell ref="D508:E508"/>
    <mergeCell ref="D509:E509"/>
    <mergeCell ref="D510:E510"/>
    <mergeCell ref="D511:E511"/>
    <mergeCell ref="D512:E512"/>
    <mergeCell ref="D513:E513"/>
    <mergeCell ref="B526:B528"/>
    <mergeCell ref="D526:E526"/>
    <mergeCell ref="D527:E527"/>
    <mergeCell ref="D528:E528"/>
    <mergeCell ref="B529:B530"/>
    <mergeCell ref="D529:E529"/>
    <mergeCell ref="D530:E530"/>
    <mergeCell ref="D520:E520"/>
    <mergeCell ref="D521:E521"/>
    <mergeCell ref="D522:E522"/>
    <mergeCell ref="D523:E523"/>
    <mergeCell ref="B524:B525"/>
    <mergeCell ref="D524:E524"/>
    <mergeCell ref="D525:E525"/>
    <mergeCell ref="B499:B523"/>
    <mergeCell ref="D499:E499"/>
    <mergeCell ref="D500:E500"/>
    <mergeCell ref="D501:E501"/>
    <mergeCell ref="D502:E502"/>
    <mergeCell ref="D503:E503"/>
    <mergeCell ref="D504:E504"/>
    <mergeCell ref="D505:E505"/>
    <mergeCell ref="D506:E506"/>
    <mergeCell ref="D507:E507"/>
    <mergeCell ref="D539:E539"/>
    <mergeCell ref="D540:E540"/>
    <mergeCell ref="D541:E541"/>
    <mergeCell ref="D542:E542"/>
    <mergeCell ref="D543:E543"/>
    <mergeCell ref="D544:E544"/>
    <mergeCell ref="B531:B532"/>
    <mergeCell ref="D531:E531"/>
    <mergeCell ref="D532:E532"/>
    <mergeCell ref="B533:B545"/>
    <mergeCell ref="D533:E533"/>
    <mergeCell ref="D534:E534"/>
    <mergeCell ref="D535:E535"/>
    <mergeCell ref="D536:E536"/>
    <mergeCell ref="D537:E537"/>
    <mergeCell ref="D538:E538"/>
    <mergeCell ref="B550:B551"/>
    <mergeCell ref="D550:E550"/>
    <mergeCell ref="D551:E551"/>
    <mergeCell ref="B552:B553"/>
    <mergeCell ref="D552:E552"/>
    <mergeCell ref="D553:E553"/>
    <mergeCell ref="D545:E545"/>
    <mergeCell ref="B546:B547"/>
    <mergeCell ref="D546:E546"/>
    <mergeCell ref="D547:E547"/>
    <mergeCell ref="B548:B549"/>
    <mergeCell ref="D548:E548"/>
    <mergeCell ref="D549:E549"/>
    <mergeCell ref="B562:B563"/>
    <mergeCell ref="D562:E562"/>
    <mergeCell ref="D563:E563"/>
    <mergeCell ref="B564:B565"/>
    <mergeCell ref="D564:E564"/>
    <mergeCell ref="D565:E565"/>
    <mergeCell ref="B554:B555"/>
    <mergeCell ref="D554:E554"/>
    <mergeCell ref="D555:E555"/>
    <mergeCell ref="B556:B561"/>
    <mergeCell ref="D556:E556"/>
    <mergeCell ref="D557:E557"/>
    <mergeCell ref="D558:E558"/>
    <mergeCell ref="D559:E559"/>
    <mergeCell ref="D560:E560"/>
    <mergeCell ref="D561:E561"/>
    <mergeCell ref="D566:E566"/>
    <mergeCell ref="A567:A773"/>
    <mergeCell ref="B567:B569"/>
    <mergeCell ref="D567:E567"/>
    <mergeCell ref="D568:E568"/>
    <mergeCell ref="D569:E569"/>
    <mergeCell ref="B570:B571"/>
    <mergeCell ref="D570:E570"/>
    <mergeCell ref="D571:E571"/>
    <mergeCell ref="B572:B575"/>
    <mergeCell ref="A447:A566"/>
    <mergeCell ref="D572:E572"/>
    <mergeCell ref="D573:E573"/>
    <mergeCell ref="D574:E574"/>
    <mergeCell ref="D575:E575"/>
    <mergeCell ref="B576:B605"/>
    <mergeCell ref="D576:E576"/>
    <mergeCell ref="D577:E577"/>
    <mergeCell ref="D578:E578"/>
    <mergeCell ref="D579:E579"/>
    <mergeCell ref="D580:E580"/>
    <mergeCell ref="D587:E587"/>
    <mergeCell ref="D588:E588"/>
    <mergeCell ref="D589:E589"/>
    <mergeCell ref="D590:E590"/>
    <mergeCell ref="D591:E591"/>
    <mergeCell ref="D592:E592"/>
    <mergeCell ref="D581:E581"/>
    <mergeCell ref="D582:E582"/>
    <mergeCell ref="D583:E583"/>
    <mergeCell ref="D584:E584"/>
    <mergeCell ref="D585:E585"/>
    <mergeCell ref="D586:E586"/>
    <mergeCell ref="D599:E599"/>
    <mergeCell ref="D600:E600"/>
    <mergeCell ref="D601:E601"/>
    <mergeCell ref="D602:E602"/>
    <mergeCell ref="D603:E603"/>
    <mergeCell ref="D604:E604"/>
    <mergeCell ref="D593:E593"/>
    <mergeCell ref="D594:E594"/>
    <mergeCell ref="D595:E595"/>
    <mergeCell ref="D596:E596"/>
    <mergeCell ref="D597:E597"/>
    <mergeCell ref="D598:E598"/>
    <mergeCell ref="D605:E605"/>
    <mergeCell ref="B606:B618"/>
    <mergeCell ref="D606:E606"/>
    <mergeCell ref="D607:E607"/>
    <mergeCell ref="D608:E608"/>
    <mergeCell ref="D609:E609"/>
    <mergeCell ref="D610:E610"/>
    <mergeCell ref="D611:E611"/>
    <mergeCell ref="D612:E612"/>
    <mergeCell ref="D613:E613"/>
    <mergeCell ref="D614:E614"/>
    <mergeCell ref="D615:E615"/>
    <mergeCell ref="D616:E616"/>
    <mergeCell ref="D617:E617"/>
    <mergeCell ref="D618:E618"/>
    <mergeCell ref="B619:B624"/>
    <mergeCell ref="D619:E619"/>
    <mergeCell ref="D620:E620"/>
    <mergeCell ref="D621:E621"/>
    <mergeCell ref="D622:E622"/>
    <mergeCell ref="D623:E623"/>
    <mergeCell ref="D624:E624"/>
    <mergeCell ref="B625:B632"/>
    <mergeCell ref="D625:E625"/>
    <mergeCell ref="D626:E626"/>
    <mergeCell ref="D627:E627"/>
    <mergeCell ref="D628:E628"/>
    <mergeCell ref="D629:E629"/>
    <mergeCell ref="D630:E630"/>
    <mergeCell ref="D631:E631"/>
    <mergeCell ref="D632:E632"/>
    <mergeCell ref="B633:B634"/>
    <mergeCell ref="D633:E633"/>
    <mergeCell ref="D634:E634"/>
    <mergeCell ref="B635:B639"/>
    <mergeCell ref="D635:E635"/>
    <mergeCell ref="D636:E636"/>
    <mergeCell ref="D637:E637"/>
    <mergeCell ref="D638:E638"/>
    <mergeCell ref="D639:E639"/>
    <mergeCell ref="B645:B650"/>
    <mergeCell ref="D645:E645"/>
    <mergeCell ref="D646:E646"/>
    <mergeCell ref="D647:E647"/>
    <mergeCell ref="D648:E648"/>
    <mergeCell ref="D649:E649"/>
    <mergeCell ref="D650:E650"/>
    <mergeCell ref="B640:B644"/>
    <mergeCell ref="D640:E640"/>
    <mergeCell ref="D641:E641"/>
    <mergeCell ref="D642:E642"/>
    <mergeCell ref="D643:E643"/>
    <mergeCell ref="D644:E644"/>
    <mergeCell ref="B658:B660"/>
    <mergeCell ref="D658:E658"/>
    <mergeCell ref="D659:E659"/>
    <mergeCell ref="D660:E660"/>
    <mergeCell ref="B661:B663"/>
    <mergeCell ref="D661:E661"/>
    <mergeCell ref="D662:E662"/>
    <mergeCell ref="D663:E663"/>
    <mergeCell ref="B651:B654"/>
    <mergeCell ref="D651:E651"/>
    <mergeCell ref="D652:E652"/>
    <mergeCell ref="D653:E653"/>
    <mergeCell ref="D654:E654"/>
    <mergeCell ref="B655:B657"/>
    <mergeCell ref="D655:E655"/>
    <mergeCell ref="D656:E656"/>
    <mergeCell ref="D657:E657"/>
    <mergeCell ref="B668:B669"/>
    <mergeCell ref="D668:E668"/>
    <mergeCell ref="D669:E669"/>
    <mergeCell ref="B670:B672"/>
    <mergeCell ref="D670:E670"/>
    <mergeCell ref="D671:E671"/>
    <mergeCell ref="D672:E672"/>
    <mergeCell ref="B664:B665"/>
    <mergeCell ref="D664:E664"/>
    <mergeCell ref="D665:E665"/>
    <mergeCell ref="B666:B667"/>
    <mergeCell ref="D666:E666"/>
    <mergeCell ref="D667:E667"/>
    <mergeCell ref="B678:B679"/>
    <mergeCell ref="D678:E678"/>
    <mergeCell ref="D679:E679"/>
    <mergeCell ref="B680:B681"/>
    <mergeCell ref="D680:E680"/>
    <mergeCell ref="D681:E681"/>
    <mergeCell ref="B673:B674"/>
    <mergeCell ref="D673:E673"/>
    <mergeCell ref="D674:E674"/>
    <mergeCell ref="B675:B677"/>
    <mergeCell ref="D675:E675"/>
    <mergeCell ref="D676:E676"/>
    <mergeCell ref="D677:E677"/>
    <mergeCell ref="B686:B687"/>
    <mergeCell ref="D686:E686"/>
    <mergeCell ref="D687:E687"/>
    <mergeCell ref="B688:B689"/>
    <mergeCell ref="D688:E688"/>
    <mergeCell ref="D689:E689"/>
    <mergeCell ref="B682:B683"/>
    <mergeCell ref="D682:E682"/>
    <mergeCell ref="D683:E683"/>
    <mergeCell ref="B684:B685"/>
    <mergeCell ref="D684:E684"/>
    <mergeCell ref="D685:E685"/>
    <mergeCell ref="B695:B696"/>
    <mergeCell ref="D695:E695"/>
    <mergeCell ref="D696:E696"/>
    <mergeCell ref="B697:B699"/>
    <mergeCell ref="D697:E697"/>
    <mergeCell ref="D698:E698"/>
    <mergeCell ref="D699:E699"/>
    <mergeCell ref="B690:B692"/>
    <mergeCell ref="D690:E690"/>
    <mergeCell ref="D691:E691"/>
    <mergeCell ref="D692:E692"/>
    <mergeCell ref="B693:B694"/>
    <mergeCell ref="D693:E693"/>
    <mergeCell ref="D694:E694"/>
    <mergeCell ref="B705:B707"/>
    <mergeCell ref="D705:E705"/>
    <mergeCell ref="D706:E706"/>
    <mergeCell ref="D707:E707"/>
    <mergeCell ref="B708:B709"/>
    <mergeCell ref="D708:E708"/>
    <mergeCell ref="D709:E709"/>
    <mergeCell ref="B700:B704"/>
    <mergeCell ref="D700:E700"/>
    <mergeCell ref="D701:E701"/>
    <mergeCell ref="D702:E702"/>
    <mergeCell ref="D703:E703"/>
    <mergeCell ref="D704:E704"/>
    <mergeCell ref="B710:B713"/>
    <mergeCell ref="D710:E710"/>
    <mergeCell ref="D711:E711"/>
    <mergeCell ref="D712:E712"/>
    <mergeCell ref="D713:E713"/>
    <mergeCell ref="B714:B718"/>
    <mergeCell ref="D714:E714"/>
    <mergeCell ref="D715:E715"/>
    <mergeCell ref="D716:E716"/>
    <mergeCell ref="D717:E717"/>
    <mergeCell ref="D718:E718"/>
    <mergeCell ref="B719:B721"/>
    <mergeCell ref="D719:E719"/>
    <mergeCell ref="D720:E720"/>
    <mergeCell ref="D721:E721"/>
    <mergeCell ref="B722:B729"/>
    <mergeCell ref="D722:E722"/>
    <mergeCell ref="D723:E723"/>
    <mergeCell ref="D724:E724"/>
    <mergeCell ref="D725:E725"/>
    <mergeCell ref="D726:E726"/>
    <mergeCell ref="D727:E727"/>
    <mergeCell ref="D728:E728"/>
    <mergeCell ref="D729:E729"/>
    <mergeCell ref="B730:B734"/>
    <mergeCell ref="D730:E730"/>
    <mergeCell ref="D731:E731"/>
    <mergeCell ref="D732:E732"/>
    <mergeCell ref="D733:E733"/>
    <mergeCell ref="D734:E734"/>
    <mergeCell ref="B735:B737"/>
    <mergeCell ref="D735:E735"/>
    <mergeCell ref="D736:E736"/>
    <mergeCell ref="D737:E737"/>
    <mergeCell ref="B738:B742"/>
    <mergeCell ref="D738:E738"/>
    <mergeCell ref="D739:E739"/>
    <mergeCell ref="D740:E740"/>
    <mergeCell ref="D741:E741"/>
    <mergeCell ref="D742:E742"/>
    <mergeCell ref="B749:B752"/>
    <mergeCell ref="D749:E749"/>
    <mergeCell ref="D750:E750"/>
    <mergeCell ref="D751:E751"/>
    <mergeCell ref="D752:E752"/>
    <mergeCell ref="B753:B754"/>
    <mergeCell ref="D753:E753"/>
    <mergeCell ref="D754:E754"/>
    <mergeCell ref="B743:B748"/>
    <mergeCell ref="D743:E743"/>
    <mergeCell ref="D744:E744"/>
    <mergeCell ref="D745:E745"/>
    <mergeCell ref="D746:E746"/>
    <mergeCell ref="D747:E747"/>
    <mergeCell ref="D748:E748"/>
    <mergeCell ref="B755:B758"/>
    <mergeCell ref="D755:E755"/>
    <mergeCell ref="D756:E756"/>
    <mergeCell ref="D757:E757"/>
    <mergeCell ref="D758:E758"/>
    <mergeCell ref="B759:B765"/>
    <mergeCell ref="D759:E759"/>
    <mergeCell ref="D760:E760"/>
    <mergeCell ref="D761:E761"/>
    <mergeCell ref="D762:E762"/>
    <mergeCell ref="B768:B769"/>
    <mergeCell ref="D768:E768"/>
    <mergeCell ref="D769:E769"/>
    <mergeCell ref="B770:B772"/>
    <mergeCell ref="D770:E770"/>
    <mergeCell ref="D771:E771"/>
    <mergeCell ref="D772:E772"/>
    <mergeCell ref="D763:E763"/>
    <mergeCell ref="D764:E764"/>
    <mergeCell ref="D765:E765"/>
    <mergeCell ref="B766:B767"/>
    <mergeCell ref="D766:E766"/>
    <mergeCell ref="D767:E767"/>
    <mergeCell ref="D779:E779"/>
    <mergeCell ref="D773:E773"/>
    <mergeCell ref="A774:A778"/>
    <mergeCell ref="B774:B775"/>
    <mergeCell ref="D774:E774"/>
    <mergeCell ref="D775:E775"/>
    <mergeCell ref="B776:B777"/>
    <mergeCell ref="D776:E776"/>
    <mergeCell ref="D777:E777"/>
    <mergeCell ref="D778:E778"/>
    <mergeCell ref="A2:A230"/>
    <mergeCell ref="B2:B3"/>
    <mergeCell ref="D2:E2"/>
    <mergeCell ref="H2:I2"/>
    <mergeCell ref="D3:E3"/>
    <mergeCell ref="H3:I3"/>
    <mergeCell ref="B4:B5"/>
    <mergeCell ref="D4:E4"/>
    <mergeCell ref="H4:I4"/>
    <mergeCell ref="D5:E5"/>
    <mergeCell ref="H5:I5"/>
    <mergeCell ref="B6:B7"/>
    <mergeCell ref="D6:E6"/>
    <mergeCell ref="H6:I6"/>
    <mergeCell ref="D7:E7"/>
    <mergeCell ref="H7:I7"/>
    <mergeCell ref="B8:B21"/>
    <mergeCell ref="D8:E8"/>
    <mergeCell ref="H8:I8"/>
    <mergeCell ref="D9:E9"/>
    <mergeCell ref="H9:I9"/>
    <mergeCell ref="D10:E10"/>
    <mergeCell ref="H10:I10"/>
    <mergeCell ref="D11:E11"/>
    <mergeCell ref="H11:I11"/>
    <mergeCell ref="D12:E12"/>
    <mergeCell ref="H12:I12"/>
    <mergeCell ref="D13:E13"/>
    <mergeCell ref="H13:I13"/>
    <mergeCell ref="D14:E14"/>
    <mergeCell ref="H14:I14"/>
    <mergeCell ref="D15:E15"/>
    <mergeCell ref="H15:I15"/>
    <mergeCell ref="D16:E16"/>
    <mergeCell ref="H16:I16"/>
    <mergeCell ref="D17:E17"/>
    <mergeCell ref="H17:I17"/>
    <mergeCell ref="D18:E18"/>
    <mergeCell ref="H18:I18"/>
    <mergeCell ref="D19:E19"/>
    <mergeCell ref="H19:I19"/>
    <mergeCell ref="D20:E20"/>
    <mergeCell ref="H20:I20"/>
    <mergeCell ref="D21:E21"/>
    <mergeCell ref="H21:I21"/>
    <mergeCell ref="B22:B23"/>
    <mergeCell ref="D22:E22"/>
    <mergeCell ref="H22:I22"/>
    <mergeCell ref="D23:E23"/>
    <mergeCell ref="H23:I23"/>
    <mergeCell ref="B24:B25"/>
    <mergeCell ref="D24:E24"/>
    <mergeCell ref="H24:I24"/>
    <mergeCell ref="D25:E25"/>
    <mergeCell ref="H25:I25"/>
    <mergeCell ref="B26:B28"/>
    <mergeCell ref="D26:E26"/>
    <mergeCell ref="H26:I26"/>
    <mergeCell ref="D27:E27"/>
    <mergeCell ref="H27:I27"/>
    <mergeCell ref="D28:E28"/>
    <mergeCell ref="H28:I28"/>
    <mergeCell ref="B29:B30"/>
    <mergeCell ref="D29:E29"/>
    <mergeCell ref="H29:I29"/>
    <mergeCell ref="D30:E30"/>
    <mergeCell ref="H30:I30"/>
    <mergeCell ref="B31:B37"/>
    <mergeCell ref="D31:E31"/>
    <mergeCell ref="H31:I31"/>
    <mergeCell ref="D32:E32"/>
    <mergeCell ref="H32:I32"/>
    <mergeCell ref="D33:E33"/>
    <mergeCell ref="H33:I33"/>
    <mergeCell ref="D34:E34"/>
    <mergeCell ref="H34:I34"/>
    <mergeCell ref="D35:E35"/>
    <mergeCell ref="H35:I35"/>
    <mergeCell ref="D36:E36"/>
    <mergeCell ref="H36:I36"/>
    <mergeCell ref="D37:E37"/>
    <mergeCell ref="H37:I37"/>
    <mergeCell ref="B38:B44"/>
    <mergeCell ref="D38:E38"/>
    <mergeCell ref="H38:I38"/>
    <mergeCell ref="D39:E39"/>
    <mergeCell ref="H39:I39"/>
    <mergeCell ref="D40:E40"/>
    <mergeCell ref="H40:I40"/>
    <mergeCell ref="D41:E41"/>
    <mergeCell ref="H41:I41"/>
    <mergeCell ref="D42:E42"/>
    <mergeCell ref="H42:I42"/>
    <mergeCell ref="D43:E43"/>
    <mergeCell ref="H43:I43"/>
    <mergeCell ref="D44:E44"/>
    <mergeCell ref="H44:I44"/>
    <mergeCell ref="B45:B49"/>
    <mergeCell ref="D45:E45"/>
    <mergeCell ref="H45:I45"/>
    <mergeCell ref="D46:E46"/>
    <mergeCell ref="H46:I46"/>
    <mergeCell ref="D47:E47"/>
    <mergeCell ref="H47:I47"/>
    <mergeCell ref="D48:E48"/>
    <mergeCell ref="H48:I48"/>
    <mergeCell ref="D49:E49"/>
    <mergeCell ref="H49:I49"/>
    <mergeCell ref="B50:B54"/>
    <mergeCell ref="D50:E50"/>
    <mergeCell ref="H50:I50"/>
    <mergeCell ref="D51:E51"/>
    <mergeCell ref="H51:I51"/>
    <mergeCell ref="D52:E52"/>
    <mergeCell ref="H52:I52"/>
    <mergeCell ref="D53:E53"/>
    <mergeCell ref="H53:I53"/>
    <mergeCell ref="D54:E54"/>
    <mergeCell ref="H54:I54"/>
    <mergeCell ref="B55:B56"/>
    <mergeCell ref="D55:E55"/>
    <mergeCell ref="H55:I55"/>
    <mergeCell ref="D56:E56"/>
    <mergeCell ref="H56:I56"/>
    <mergeCell ref="B57:B59"/>
    <mergeCell ref="D57:E57"/>
    <mergeCell ref="H57:I57"/>
    <mergeCell ref="D58:E58"/>
    <mergeCell ref="H58:I58"/>
    <mergeCell ref="D59:E59"/>
    <mergeCell ref="H59:I59"/>
    <mergeCell ref="B60:B61"/>
    <mergeCell ref="D60:E60"/>
    <mergeCell ref="H60:I60"/>
    <mergeCell ref="D61:E61"/>
    <mergeCell ref="H61:I61"/>
    <mergeCell ref="B62:B65"/>
    <mergeCell ref="D62:E62"/>
    <mergeCell ref="H62:I62"/>
    <mergeCell ref="D63:E63"/>
    <mergeCell ref="H63:I63"/>
    <mergeCell ref="D64:E64"/>
    <mergeCell ref="H64:I64"/>
    <mergeCell ref="D65:E65"/>
    <mergeCell ref="H65:I65"/>
    <mergeCell ref="B66:B69"/>
    <mergeCell ref="D66:E66"/>
    <mergeCell ref="H66:I66"/>
    <mergeCell ref="D67:E67"/>
    <mergeCell ref="H67:I67"/>
    <mergeCell ref="D68:E68"/>
    <mergeCell ref="H68:I68"/>
    <mergeCell ref="D69:E69"/>
    <mergeCell ref="H69:I69"/>
    <mergeCell ref="B70:B71"/>
    <mergeCell ref="D70:E70"/>
    <mergeCell ref="H70:I70"/>
    <mergeCell ref="D71:E71"/>
    <mergeCell ref="H71:I71"/>
    <mergeCell ref="B72:B79"/>
    <mergeCell ref="D72:E72"/>
    <mergeCell ref="H72:I72"/>
    <mergeCell ref="D73:E73"/>
    <mergeCell ref="H73:I73"/>
    <mergeCell ref="D74:E74"/>
    <mergeCell ref="H74:I74"/>
    <mergeCell ref="D75:E75"/>
    <mergeCell ref="H75:I75"/>
    <mergeCell ref="D76:E76"/>
    <mergeCell ref="H76:I76"/>
    <mergeCell ref="D77:E77"/>
    <mergeCell ref="H77:I77"/>
    <mergeCell ref="D78:E78"/>
    <mergeCell ref="H78:I78"/>
    <mergeCell ref="D79:E79"/>
    <mergeCell ref="H79:I79"/>
    <mergeCell ref="B80:B87"/>
    <mergeCell ref="D80:E80"/>
    <mergeCell ref="H80:I80"/>
    <mergeCell ref="D81:E81"/>
    <mergeCell ref="H81:I81"/>
    <mergeCell ref="D82:E82"/>
    <mergeCell ref="H82:I82"/>
    <mergeCell ref="D83:E83"/>
    <mergeCell ref="H83:I83"/>
    <mergeCell ref="D84:E84"/>
    <mergeCell ref="H84:I84"/>
    <mergeCell ref="D85:E85"/>
    <mergeCell ref="H85:I85"/>
    <mergeCell ref="D86:E86"/>
    <mergeCell ref="H86:I86"/>
    <mergeCell ref="D87:E87"/>
    <mergeCell ref="H87:I87"/>
    <mergeCell ref="B88:B95"/>
    <mergeCell ref="D88:E88"/>
    <mergeCell ref="H88:I88"/>
    <mergeCell ref="D89:E89"/>
    <mergeCell ref="H89:I89"/>
    <mergeCell ref="D90:E90"/>
    <mergeCell ref="H90:I90"/>
    <mergeCell ref="D91:E91"/>
    <mergeCell ref="H91:I91"/>
    <mergeCell ref="D92:E92"/>
    <mergeCell ref="H92:I92"/>
    <mergeCell ref="D93:E93"/>
    <mergeCell ref="H93:I93"/>
    <mergeCell ref="D94:E94"/>
    <mergeCell ref="H94:I94"/>
    <mergeCell ref="D95:E95"/>
    <mergeCell ref="H95:I95"/>
    <mergeCell ref="B96:B103"/>
    <mergeCell ref="D96:E96"/>
    <mergeCell ref="H96:I96"/>
    <mergeCell ref="D97:E97"/>
    <mergeCell ref="H97:I97"/>
    <mergeCell ref="D98:E98"/>
    <mergeCell ref="H98:I98"/>
    <mergeCell ref="D99:E99"/>
    <mergeCell ref="H99:I99"/>
    <mergeCell ref="D100:E100"/>
    <mergeCell ref="H100:I100"/>
    <mergeCell ref="D101:E101"/>
    <mergeCell ref="H101:I101"/>
    <mergeCell ref="D102:E102"/>
    <mergeCell ref="H102:I102"/>
    <mergeCell ref="D103:E103"/>
    <mergeCell ref="H103:I103"/>
    <mergeCell ref="B104:B105"/>
    <mergeCell ref="D104:E104"/>
    <mergeCell ref="H104:I104"/>
    <mergeCell ref="D105:E105"/>
    <mergeCell ref="H105:I105"/>
    <mergeCell ref="B106:B107"/>
    <mergeCell ref="D106:E106"/>
    <mergeCell ref="H106:I106"/>
    <mergeCell ref="D107:E107"/>
    <mergeCell ref="H107:I107"/>
    <mergeCell ref="B108:B115"/>
    <mergeCell ref="D108:E108"/>
    <mergeCell ref="H108:I108"/>
    <mergeCell ref="D109:E109"/>
    <mergeCell ref="H109:I109"/>
    <mergeCell ref="D110:E110"/>
    <mergeCell ref="H110:I110"/>
    <mergeCell ref="D111:E111"/>
    <mergeCell ref="H111:I111"/>
    <mergeCell ref="D112:E112"/>
    <mergeCell ref="H112:I112"/>
    <mergeCell ref="D113:E113"/>
    <mergeCell ref="H113:I113"/>
    <mergeCell ref="D114:E114"/>
    <mergeCell ref="H114:I114"/>
    <mergeCell ref="D115:E115"/>
    <mergeCell ref="H115:I115"/>
    <mergeCell ref="B116:B123"/>
    <mergeCell ref="D116:E116"/>
    <mergeCell ref="H116:I116"/>
    <mergeCell ref="D117:E117"/>
    <mergeCell ref="H117:I117"/>
    <mergeCell ref="D118:E118"/>
    <mergeCell ref="H118:I118"/>
    <mergeCell ref="D119:E119"/>
    <mergeCell ref="H119:I119"/>
    <mergeCell ref="D120:E120"/>
    <mergeCell ref="H120:I120"/>
    <mergeCell ref="D121:E121"/>
    <mergeCell ref="H121:I121"/>
    <mergeCell ref="D122:E122"/>
    <mergeCell ref="H122:I122"/>
    <mergeCell ref="D123:E123"/>
    <mergeCell ref="H123:I123"/>
    <mergeCell ref="B124:B131"/>
    <mergeCell ref="D124:E124"/>
    <mergeCell ref="H124:I124"/>
    <mergeCell ref="D125:E125"/>
    <mergeCell ref="H125:I125"/>
    <mergeCell ref="D126:E126"/>
    <mergeCell ref="H126:I126"/>
    <mergeCell ref="D127:E127"/>
    <mergeCell ref="H127:I127"/>
    <mergeCell ref="D128:E128"/>
    <mergeCell ref="H128:I128"/>
    <mergeCell ref="D129:E129"/>
    <mergeCell ref="H129:I129"/>
    <mergeCell ref="D130:E130"/>
    <mergeCell ref="H130:I130"/>
    <mergeCell ref="D131:E131"/>
    <mergeCell ref="H131:I131"/>
    <mergeCell ref="B132:B139"/>
    <mergeCell ref="D132:E132"/>
    <mergeCell ref="H132:I132"/>
    <mergeCell ref="D133:E133"/>
    <mergeCell ref="H133:I133"/>
    <mergeCell ref="D134:E134"/>
    <mergeCell ref="H134:I134"/>
    <mergeCell ref="D135:E135"/>
    <mergeCell ref="H135:I135"/>
    <mergeCell ref="D136:E136"/>
    <mergeCell ref="H136:I136"/>
    <mergeCell ref="D137:E137"/>
    <mergeCell ref="H137:I137"/>
    <mergeCell ref="D138:E138"/>
    <mergeCell ref="H138:I138"/>
    <mergeCell ref="D139:E139"/>
    <mergeCell ref="H139:I139"/>
    <mergeCell ref="B140:B147"/>
    <mergeCell ref="D140:E140"/>
    <mergeCell ref="H140:I140"/>
    <mergeCell ref="D141:E141"/>
    <mergeCell ref="H141:I141"/>
    <mergeCell ref="D142:E142"/>
    <mergeCell ref="H142:I142"/>
    <mergeCell ref="D143:E143"/>
    <mergeCell ref="H143:I143"/>
    <mergeCell ref="D144:E144"/>
    <mergeCell ref="H144:I144"/>
    <mergeCell ref="D145:E145"/>
    <mergeCell ref="H145:I145"/>
    <mergeCell ref="D146:E146"/>
    <mergeCell ref="H146:I146"/>
    <mergeCell ref="D147:E147"/>
    <mergeCell ref="H147:I147"/>
    <mergeCell ref="B148:B155"/>
    <mergeCell ref="D148:E148"/>
    <mergeCell ref="H148:I148"/>
    <mergeCell ref="D149:E149"/>
    <mergeCell ref="H149:I149"/>
    <mergeCell ref="D150:E150"/>
    <mergeCell ref="H150:I150"/>
    <mergeCell ref="D151:E151"/>
    <mergeCell ref="H151:I151"/>
    <mergeCell ref="D152:E152"/>
    <mergeCell ref="H152:I152"/>
    <mergeCell ref="D153:E153"/>
    <mergeCell ref="H153:I153"/>
    <mergeCell ref="D154:E154"/>
    <mergeCell ref="H154:I154"/>
    <mergeCell ref="D155:E155"/>
    <mergeCell ref="H155:I155"/>
    <mergeCell ref="B156:B163"/>
    <mergeCell ref="D156:E156"/>
    <mergeCell ref="H156:I156"/>
    <mergeCell ref="D157:E157"/>
    <mergeCell ref="H157:I157"/>
    <mergeCell ref="D158:E158"/>
    <mergeCell ref="H158:I158"/>
    <mergeCell ref="D159:E159"/>
    <mergeCell ref="H159:I159"/>
    <mergeCell ref="D160:E160"/>
    <mergeCell ref="H160:I160"/>
    <mergeCell ref="D161:E161"/>
    <mergeCell ref="H161:I161"/>
    <mergeCell ref="D162:E162"/>
    <mergeCell ref="H162:I162"/>
    <mergeCell ref="D163:E163"/>
    <mergeCell ref="H163:I163"/>
    <mergeCell ref="B164:B165"/>
    <mergeCell ref="D164:E164"/>
    <mergeCell ref="H164:I164"/>
    <mergeCell ref="D165:E165"/>
    <mergeCell ref="H165:I165"/>
    <mergeCell ref="B166:B168"/>
    <mergeCell ref="D166:E166"/>
    <mergeCell ref="H166:I166"/>
    <mergeCell ref="D167:E167"/>
    <mergeCell ref="H167:I167"/>
    <mergeCell ref="D168:E168"/>
    <mergeCell ref="H168:I168"/>
    <mergeCell ref="B169:B170"/>
    <mergeCell ref="D169:E169"/>
    <mergeCell ref="H169:I169"/>
    <mergeCell ref="D170:E170"/>
    <mergeCell ref="H170:I170"/>
    <mergeCell ref="B171:B179"/>
    <mergeCell ref="D171:E171"/>
    <mergeCell ref="H171:I171"/>
    <mergeCell ref="D172:E172"/>
    <mergeCell ref="H172:I172"/>
    <mergeCell ref="D173:E173"/>
    <mergeCell ref="H173:I173"/>
    <mergeCell ref="D174:E174"/>
    <mergeCell ref="H174:I174"/>
    <mergeCell ref="D175:E175"/>
    <mergeCell ref="H175:I175"/>
    <mergeCell ref="D176:E176"/>
    <mergeCell ref="H176:I176"/>
    <mergeCell ref="D177:E177"/>
    <mergeCell ref="H177:I177"/>
    <mergeCell ref="D178:E178"/>
    <mergeCell ref="H178:I178"/>
    <mergeCell ref="D179:E179"/>
    <mergeCell ref="H179:I179"/>
    <mergeCell ref="B180:B182"/>
    <mergeCell ref="D180:E180"/>
    <mergeCell ref="H180:I180"/>
    <mergeCell ref="D181:E181"/>
    <mergeCell ref="H181:I181"/>
    <mergeCell ref="D182:E182"/>
    <mergeCell ref="H182:I182"/>
    <mergeCell ref="B183:B199"/>
    <mergeCell ref="D183:E183"/>
    <mergeCell ref="H183:I183"/>
    <mergeCell ref="D184:E184"/>
    <mergeCell ref="H184:I184"/>
    <mergeCell ref="D185:E185"/>
    <mergeCell ref="H185:I185"/>
    <mergeCell ref="D186:E186"/>
    <mergeCell ref="H186:I186"/>
    <mergeCell ref="D187:E187"/>
    <mergeCell ref="H187:I187"/>
    <mergeCell ref="D188:E188"/>
    <mergeCell ref="H188:I188"/>
    <mergeCell ref="D189:E189"/>
    <mergeCell ref="H189:I189"/>
    <mergeCell ref="D190:E190"/>
    <mergeCell ref="H190:I190"/>
    <mergeCell ref="D191:E191"/>
    <mergeCell ref="H191:I191"/>
    <mergeCell ref="D192:E192"/>
    <mergeCell ref="H192:I192"/>
    <mergeCell ref="D193:E193"/>
    <mergeCell ref="H193:I193"/>
    <mergeCell ref="D194:E194"/>
    <mergeCell ref="H194:I194"/>
    <mergeCell ref="D195:E195"/>
    <mergeCell ref="H195:I195"/>
    <mergeCell ref="D196:E196"/>
    <mergeCell ref="H196:I196"/>
    <mergeCell ref="D197:E197"/>
    <mergeCell ref="H197:I197"/>
    <mergeCell ref="D198:E198"/>
    <mergeCell ref="H198:I198"/>
    <mergeCell ref="D199:E199"/>
    <mergeCell ref="H199:I199"/>
    <mergeCell ref="B200:B201"/>
    <mergeCell ref="D200:E200"/>
    <mergeCell ref="H200:I200"/>
    <mergeCell ref="D201:E201"/>
    <mergeCell ref="H201:I201"/>
    <mergeCell ref="B202:B203"/>
    <mergeCell ref="D202:E202"/>
    <mergeCell ref="H202:I202"/>
    <mergeCell ref="D203:E203"/>
    <mergeCell ref="H203:I203"/>
    <mergeCell ref="B204:B205"/>
    <mergeCell ref="D204:E204"/>
    <mergeCell ref="H204:I204"/>
    <mergeCell ref="D205:E205"/>
    <mergeCell ref="H205:I205"/>
    <mergeCell ref="B206:B207"/>
    <mergeCell ref="D206:E206"/>
    <mergeCell ref="H206:I206"/>
    <mergeCell ref="D207:E207"/>
    <mergeCell ref="H207:I207"/>
    <mergeCell ref="B208:B209"/>
    <mergeCell ref="D208:E208"/>
    <mergeCell ref="H208:I208"/>
    <mergeCell ref="D209:E209"/>
    <mergeCell ref="H209:I209"/>
    <mergeCell ref="B210:B212"/>
    <mergeCell ref="D210:E210"/>
    <mergeCell ref="H210:I210"/>
    <mergeCell ref="D211:E211"/>
    <mergeCell ref="H211:I211"/>
    <mergeCell ref="D212:E212"/>
    <mergeCell ref="H212:I212"/>
    <mergeCell ref="B213:B216"/>
    <mergeCell ref="D213:E213"/>
    <mergeCell ref="H213:I213"/>
    <mergeCell ref="D214:E214"/>
    <mergeCell ref="H214:I214"/>
    <mergeCell ref="D215:E215"/>
    <mergeCell ref="H215:I215"/>
    <mergeCell ref="D216:E216"/>
    <mergeCell ref="H216:I216"/>
    <mergeCell ref="B217:B218"/>
    <mergeCell ref="D217:E217"/>
    <mergeCell ref="H217:I217"/>
    <mergeCell ref="D218:E218"/>
    <mergeCell ref="H218:I218"/>
    <mergeCell ref="B219:B220"/>
    <mergeCell ref="D219:E219"/>
    <mergeCell ref="H219:I219"/>
    <mergeCell ref="D220:E220"/>
    <mergeCell ref="H220:I220"/>
    <mergeCell ref="D230:E230"/>
    <mergeCell ref="H230:I230"/>
    <mergeCell ref="B221:B222"/>
    <mergeCell ref="D221:E221"/>
    <mergeCell ref="H221:I221"/>
    <mergeCell ref="D222:E222"/>
    <mergeCell ref="H222:I222"/>
    <mergeCell ref="B223:B224"/>
    <mergeCell ref="D223:E223"/>
    <mergeCell ref="H223:I223"/>
    <mergeCell ref="D224:E224"/>
    <mergeCell ref="H224:I224"/>
    <mergeCell ref="B225:B226"/>
    <mergeCell ref="D225:E225"/>
    <mergeCell ref="H225:I225"/>
    <mergeCell ref="D226:E226"/>
    <mergeCell ref="H226:I226"/>
    <mergeCell ref="B227:B229"/>
    <mergeCell ref="D227:E227"/>
    <mergeCell ref="H227:I227"/>
    <mergeCell ref="D228:E228"/>
    <mergeCell ref="H228:I228"/>
    <mergeCell ref="D229:E229"/>
    <mergeCell ref="H229:I229"/>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J61"/>
  <sheetViews>
    <sheetView workbookViewId="0">
      <selection activeCell="J26" sqref="J26:J30"/>
    </sheetView>
  </sheetViews>
  <sheetFormatPr defaultRowHeight="12.5"/>
  <cols>
    <col min="2" max="2" width="11.1796875" customWidth="1"/>
    <col min="3" max="3" width="34.1796875" bestFit="1" customWidth="1"/>
    <col min="4" max="4" width="10.7265625" bestFit="1" customWidth="1"/>
    <col min="5" max="5" width="10.453125" bestFit="1" customWidth="1"/>
    <col min="8" max="8" width="24.1796875" customWidth="1"/>
    <col min="9" max="10" width="10.7265625" bestFit="1" customWidth="1"/>
    <col min="258" max="258" width="11.1796875" customWidth="1"/>
    <col min="259" max="259" width="34.1796875" bestFit="1" customWidth="1"/>
    <col min="260" max="260" width="10.7265625" bestFit="1" customWidth="1"/>
    <col min="261" max="261" width="10.453125" bestFit="1" customWidth="1"/>
    <col min="514" max="514" width="11.1796875" customWidth="1"/>
    <col min="515" max="515" width="34.1796875" bestFit="1" customWidth="1"/>
    <col min="516" max="516" width="10.7265625" bestFit="1" customWidth="1"/>
    <col min="517" max="517" width="10.453125" bestFit="1" customWidth="1"/>
    <col min="770" max="770" width="11.1796875" customWidth="1"/>
    <col min="771" max="771" width="34.1796875" bestFit="1" customWidth="1"/>
    <col min="772" max="772" width="10.7265625" bestFit="1" customWidth="1"/>
    <col min="773" max="773" width="10.453125" bestFit="1" customWidth="1"/>
    <col min="1026" max="1026" width="11.1796875" customWidth="1"/>
    <col min="1027" max="1027" width="34.1796875" bestFit="1" customWidth="1"/>
    <col min="1028" max="1028" width="10.7265625" bestFit="1" customWidth="1"/>
    <col min="1029" max="1029" width="10.453125" bestFit="1" customWidth="1"/>
    <col min="1282" max="1282" width="11.1796875" customWidth="1"/>
    <col min="1283" max="1283" width="34.1796875" bestFit="1" customWidth="1"/>
    <col min="1284" max="1284" width="10.7265625" bestFit="1" customWidth="1"/>
    <col min="1285" max="1285" width="10.453125" bestFit="1" customWidth="1"/>
    <col min="1538" max="1538" width="11.1796875" customWidth="1"/>
    <col min="1539" max="1539" width="34.1796875" bestFit="1" customWidth="1"/>
    <col min="1540" max="1540" width="10.7265625" bestFit="1" customWidth="1"/>
    <col min="1541" max="1541" width="10.453125" bestFit="1" customWidth="1"/>
    <col min="1794" max="1794" width="11.1796875" customWidth="1"/>
    <col min="1795" max="1795" width="34.1796875" bestFit="1" customWidth="1"/>
    <col min="1796" max="1796" width="10.7265625" bestFit="1" customWidth="1"/>
    <col min="1797" max="1797" width="10.453125" bestFit="1" customWidth="1"/>
    <col min="2050" max="2050" width="11.1796875" customWidth="1"/>
    <col min="2051" max="2051" width="34.1796875" bestFit="1" customWidth="1"/>
    <col min="2052" max="2052" width="10.7265625" bestFit="1" customWidth="1"/>
    <col min="2053" max="2053" width="10.453125" bestFit="1" customWidth="1"/>
    <col min="2306" max="2306" width="11.1796875" customWidth="1"/>
    <col min="2307" max="2307" width="34.1796875" bestFit="1" customWidth="1"/>
    <col min="2308" max="2308" width="10.7265625" bestFit="1" customWidth="1"/>
    <col min="2309" max="2309" width="10.453125" bestFit="1" customWidth="1"/>
    <col min="2562" max="2562" width="11.1796875" customWidth="1"/>
    <col min="2563" max="2563" width="34.1796875" bestFit="1" customWidth="1"/>
    <col min="2564" max="2564" width="10.7265625" bestFit="1" customWidth="1"/>
    <col min="2565" max="2565" width="10.453125" bestFit="1" customWidth="1"/>
    <col min="2818" max="2818" width="11.1796875" customWidth="1"/>
    <col min="2819" max="2819" width="34.1796875" bestFit="1" customWidth="1"/>
    <col min="2820" max="2820" width="10.7265625" bestFit="1" customWidth="1"/>
    <col min="2821" max="2821" width="10.453125" bestFit="1" customWidth="1"/>
    <col min="3074" max="3074" width="11.1796875" customWidth="1"/>
    <col min="3075" max="3075" width="34.1796875" bestFit="1" customWidth="1"/>
    <col min="3076" max="3076" width="10.7265625" bestFit="1" customWidth="1"/>
    <col min="3077" max="3077" width="10.453125" bestFit="1" customWidth="1"/>
    <col min="3330" max="3330" width="11.1796875" customWidth="1"/>
    <col min="3331" max="3331" width="34.1796875" bestFit="1" customWidth="1"/>
    <col min="3332" max="3332" width="10.7265625" bestFit="1" customWidth="1"/>
    <col min="3333" max="3333" width="10.453125" bestFit="1" customWidth="1"/>
    <col min="3586" max="3586" width="11.1796875" customWidth="1"/>
    <col min="3587" max="3587" width="34.1796875" bestFit="1" customWidth="1"/>
    <col min="3588" max="3588" width="10.7265625" bestFit="1" customWidth="1"/>
    <col min="3589" max="3589" width="10.453125" bestFit="1" customWidth="1"/>
    <col min="3842" max="3842" width="11.1796875" customWidth="1"/>
    <col min="3843" max="3843" width="34.1796875" bestFit="1" customWidth="1"/>
    <col min="3844" max="3844" width="10.7265625" bestFit="1" customWidth="1"/>
    <col min="3845" max="3845" width="10.453125" bestFit="1" customWidth="1"/>
    <col min="4098" max="4098" width="11.1796875" customWidth="1"/>
    <col min="4099" max="4099" width="34.1796875" bestFit="1" customWidth="1"/>
    <col min="4100" max="4100" width="10.7265625" bestFit="1" customWidth="1"/>
    <col min="4101" max="4101" width="10.453125" bestFit="1" customWidth="1"/>
    <col min="4354" max="4354" width="11.1796875" customWidth="1"/>
    <col min="4355" max="4355" width="34.1796875" bestFit="1" customWidth="1"/>
    <col min="4356" max="4356" width="10.7265625" bestFit="1" customWidth="1"/>
    <col min="4357" max="4357" width="10.453125" bestFit="1" customWidth="1"/>
    <col min="4610" max="4610" width="11.1796875" customWidth="1"/>
    <col min="4611" max="4611" width="34.1796875" bestFit="1" customWidth="1"/>
    <col min="4612" max="4612" width="10.7265625" bestFit="1" customWidth="1"/>
    <col min="4613" max="4613" width="10.453125" bestFit="1" customWidth="1"/>
    <col min="4866" max="4866" width="11.1796875" customWidth="1"/>
    <col min="4867" max="4867" width="34.1796875" bestFit="1" customWidth="1"/>
    <col min="4868" max="4868" width="10.7265625" bestFit="1" customWidth="1"/>
    <col min="4869" max="4869" width="10.453125" bestFit="1" customWidth="1"/>
    <col min="5122" max="5122" width="11.1796875" customWidth="1"/>
    <col min="5123" max="5123" width="34.1796875" bestFit="1" customWidth="1"/>
    <col min="5124" max="5124" width="10.7265625" bestFit="1" customWidth="1"/>
    <col min="5125" max="5125" width="10.453125" bestFit="1" customWidth="1"/>
    <col min="5378" max="5378" width="11.1796875" customWidth="1"/>
    <col min="5379" max="5379" width="34.1796875" bestFit="1" customWidth="1"/>
    <col min="5380" max="5380" width="10.7265625" bestFit="1" customWidth="1"/>
    <col min="5381" max="5381" width="10.453125" bestFit="1" customWidth="1"/>
    <col min="5634" max="5634" width="11.1796875" customWidth="1"/>
    <col min="5635" max="5635" width="34.1796875" bestFit="1" customWidth="1"/>
    <col min="5636" max="5636" width="10.7265625" bestFit="1" customWidth="1"/>
    <col min="5637" max="5637" width="10.453125" bestFit="1" customWidth="1"/>
    <col min="5890" max="5890" width="11.1796875" customWidth="1"/>
    <col min="5891" max="5891" width="34.1796875" bestFit="1" customWidth="1"/>
    <col min="5892" max="5892" width="10.7265625" bestFit="1" customWidth="1"/>
    <col min="5893" max="5893" width="10.453125" bestFit="1" customWidth="1"/>
    <col min="6146" max="6146" width="11.1796875" customWidth="1"/>
    <col min="6147" max="6147" width="34.1796875" bestFit="1" customWidth="1"/>
    <col min="6148" max="6148" width="10.7265625" bestFit="1" customWidth="1"/>
    <col min="6149" max="6149" width="10.453125" bestFit="1" customWidth="1"/>
    <col min="6402" max="6402" width="11.1796875" customWidth="1"/>
    <col min="6403" max="6403" width="34.1796875" bestFit="1" customWidth="1"/>
    <col min="6404" max="6404" width="10.7265625" bestFit="1" customWidth="1"/>
    <col min="6405" max="6405" width="10.453125" bestFit="1" customWidth="1"/>
    <col min="6658" max="6658" width="11.1796875" customWidth="1"/>
    <col min="6659" max="6659" width="34.1796875" bestFit="1" customWidth="1"/>
    <col min="6660" max="6660" width="10.7265625" bestFit="1" customWidth="1"/>
    <col min="6661" max="6661" width="10.453125" bestFit="1" customWidth="1"/>
    <col min="6914" max="6914" width="11.1796875" customWidth="1"/>
    <col min="6915" max="6915" width="34.1796875" bestFit="1" customWidth="1"/>
    <col min="6916" max="6916" width="10.7265625" bestFit="1" customWidth="1"/>
    <col min="6917" max="6917" width="10.453125" bestFit="1" customWidth="1"/>
    <col min="7170" max="7170" width="11.1796875" customWidth="1"/>
    <col min="7171" max="7171" width="34.1796875" bestFit="1" customWidth="1"/>
    <col min="7172" max="7172" width="10.7265625" bestFit="1" customWidth="1"/>
    <col min="7173" max="7173" width="10.453125" bestFit="1" customWidth="1"/>
    <col min="7426" max="7426" width="11.1796875" customWidth="1"/>
    <col min="7427" max="7427" width="34.1796875" bestFit="1" customWidth="1"/>
    <col min="7428" max="7428" width="10.7265625" bestFit="1" customWidth="1"/>
    <col min="7429" max="7429" width="10.453125" bestFit="1" customWidth="1"/>
    <col min="7682" max="7682" width="11.1796875" customWidth="1"/>
    <col min="7683" max="7683" width="34.1796875" bestFit="1" customWidth="1"/>
    <col min="7684" max="7684" width="10.7265625" bestFit="1" customWidth="1"/>
    <col min="7685" max="7685" width="10.453125" bestFit="1" customWidth="1"/>
    <col min="7938" max="7938" width="11.1796875" customWidth="1"/>
    <col min="7939" max="7939" width="34.1796875" bestFit="1" customWidth="1"/>
    <col min="7940" max="7940" width="10.7265625" bestFit="1" customWidth="1"/>
    <col min="7941" max="7941" width="10.453125" bestFit="1" customWidth="1"/>
    <col min="8194" max="8194" width="11.1796875" customWidth="1"/>
    <col min="8195" max="8195" width="34.1796875" bestFit="1" customWidth="1"/>
    <col min="8196" max="8196" width="10.7265625" bestFit="1" customWidth="1"/>
    <col min="8197" max="8197" width="10.453125" bestFit="1" customWidth="1"/>
    <col min="8450" max="8450" width="11.1796875" customWidth="1"/>
    <col min="8451" max="8451" width="34.1796875" bestFit="1" customWidth="1"/>
    <col min="8452" max="8452" width="10.7265625" bestFit="1" customWidth="1"/>
    <col min="8453" max="8453" width="10.453125" bestFit="1" customWidth="1"/>
    <col min="8706" max="8706" width="11.1796875" customWidth="1"/>
    <col min="8707" max="8707" width="34.1796875" bestFit="1" customWidth="1"/>
    <col min="8708" max="8708" width="10.7265625" bestFit="1" customWidth="1"/>
    <col min="8709" max="8709" width="10.453125" bestFit="1" customWidth="1"/>
    <col min="8962" max="8962" width="11.1796875" customWidth="1"/>
    <col min="8963" max="8963" width="34.1796875" bestFit="1" customWidth="1"/>
    <col min="8964" max="8964" width="10.7265625" bestFit="1" customWidth="1"/>
    <col min="8965" max="8965" width="10.453125" bestFit="1" customWidth="1"/>
    <col min="9218" max="9218" width="11.1796875" customWidth="1"/>
    <col min="9219" max="9219" width="34.1796875" bestFit="1" customWidth="1"/>
    <col min="9220" max="9220" width="10.7265625" bestFit="1" customWidth="1"/>
    <col min="9221" max="9221" width="10.453125" bestFit="1" customWidth="1"/>
    <col min="9474" max="9474" width="11.1796875" customWidth="1"/>
    <col min="9475" max="9475" width="34.1796875" bestFit="1" customWidth="1"/>
    <col min="9476" max="9476" width="10.7265625" bestFit="1" customWidth="1"/>
    <col min="9477" max="9477" width="10.453125" bestFit="1" customWidth="1"/>
    <col min="9730" max="9730" width="11.1796875" customWidth="1"/>
    <col min="9731" max="9731" width="34.1796875" bestFit="1" customWidth="1"/>
    <col min="9732" max="9732" width="10.7265625" bestFit="1" customWidth="1"/>
    <col min="9733" max="9733" width="10.453125" bestFit="1" customWidth="1"/>
    <col min="9986" max="9986" width="11.1796875" customWidth="1"/>
    <col min="9987" max="9987" width="34.1796875" bestFit="1" customWidth="1"/>
    <col min="9988" max="9988" width="10.7265625" bestFit="1" customWidth="1"/>
    <col min="9989" max="9989" width="10.453125" bestFit="1" customWidth="1"/>
    <col min="10242" max="10242" width="11.1796875" customWidth="1"/>
    <col min="10243" max="10243" width="34.1796875" bestFit="1" customWidth="1"/>
    <col min="10244" max="10244" width="10.7265625" bestFit="1" customWidth="1"/>
    <col min="10245" max="10245" width="10.453125" bestFit="1" customWidth="1"/>
    <col min="10498" max="10498" width="11.1796875" customWidth="1"/>
    <col min="10499" max="10499" width="34.1796875" bestFit="1" customWidth="1"/>
    <col min="10500" max="10500" width="10.7265625" bestFit="1" customWidth="1"/>
    <col min="10501" max="10501" width="10.453125" bestFit="1" customWidth="1"/>
    <col min="10754" max="10754" width="11.1796875" customWidth="1"/>
    <col min="10755" max="10755" width="34.1796875" bestFit="1" customWidth="1"/>
    <col min="10756" max="10756" width="10.7265625" bestFit="1" customWidth="1"/>
    <col min="10757" max="10757" width="10.453125" bestFit="1" customWidth="1"/>
    <col min="11010" max="11010" width="11.1796875" customWidth="1"/>
    <col min="11011" max="11011" width="34.1796875" bestFit="1" customWidth="1"/>
    <col min="11012" max="11012" width="10.7265625" bestFit="1" customWidth="1"/>
    <col min="11013" max="11013" width="10.453125" bestFit="1" customWidth="1"/>
    <col min="11266" max="11266" width="11.1796875" customWidth="1"/>
    <col min="11267" max="11267" width="34.1796875" bestFit="1" customWidth="1"/>
    <col min="11268" max="11268" width="10.7265625" bestFit="1" customWidth="1"/>
    <col min="11269" max="11269" width="10.453125" bestFit="1" customWidth="1"/>
    <col min="11522" max="11522" width="11.1796875" customWidth="1"/>
    <col min="11523" max="11523" width="34.1796875" bestFit="1" customWidth="1"/>
    <col min="11524" max="11524" width="10.7265625" bestFit="1" customWidth="1"/>
    <col min="11525" max="11525" width="10.453125" bestFit="1" customWidth="1"/>
    <col min="11778" max="11778" width="11.1796875" customWidth="1"/>
    <col min="11779" max="11779" width="34.1796875" bestFit="1" customWidth="1"/>
    <col min="11780" max="11780" width="10.7265625" bestFit="1" customWidth="1"/>
    <col min="11781" max="11781" width="10.453125" bestFit="1" customWidth="1"/>
    <col min="12034" max="12034" width="11.1796875" customWidth="1"/>
    <col min="12035" max="12035" width="34.1796875" bestFit="1" customWidth="1"/>
    <col min="12036" max="12036" width="10.7265625" bestFit="1" customWidth="1"/>
    <col min="12037" max="12037" width="10.453125" bestFit="1" customWidth="1"/>
    <col min="12290" max="12290" width="11.1796875" customWidth="1"/>
    <col min="12291" max="12291" width="34.1796875" bestFit="1" customWidth="1"/>
    <col min="12292" max="12292" width="10.7265625" bestFit="1" customWidth="1"/>
    <col min="12293" max="12293" width="10.453125" bestFit="1" customWidth="1"/>
    <col min="12546" max="12546" width="11.1796875" customWidth="1"/>
    <col min="12547" max="12547" width="34.1796875" bestFit="1" customWidth="1"/>
    <col min="12548" max="12548" width="10.7265625" bestFit="1" customWidth="1"/>
    <col min="12549" max="12549" width="10.453125" bestFit="1" customWidth="1"/>
    <col min="12802" max="12802" width="11.1796875" customWidth="1"/>
    <col min="12803" max="12803" width="34.1796875" bestFit="1" customWidth="1"/>
    <col min="12804" max="12804" width="10.7265625" bestFit="1" customWidth="1"/>
    <col min="12805" max="12805" width="10.453125" bestFit="1" customWidth="1"/>
    <col min="13058" max="13058" width="11.1796875" customWidth="1"/>
    <col min="13059" max="13059" width="34.1796875" bestFit="1" customWidth="1"/>
    <col min="13060" max="13060" width="10.7265625" bestFit="1" customWidth="1"/>
    <col min="13061" max="13061" width="10.453125" bestFit="1" customWidth="1"/>
    <col min="13314" max="13314" width="11.1796875" customWidth="1"/>
    <col min="13315" max="13315" width="34.1796875" bestFit="1" customWidth="1"/>
    <col min="13316" max="13316" width="10.7265625" bestFit="1" customWidth="1"/>
    <col min="13317" max="13317" width="10.453125" bestFit="1" customWidth="1"/>
    <col min="13570" max="13570" width="11.1796875" customWidth="1"/>
    <col min="13571" max="13571" width="34.1796875" bestFit="1" customWidth="1"/>
    <col min="13572" max="13572" width="10.7265625" bestFit="1" customWidth="1"/>
    <col min="13573" max="13573" width="10.453125" bestFit="1" customWidth="1"/>
    <col min="13826" max="13826" width="11.1796875" customWidth="1"/>
    <col min="13827" max="13827" width="34.1796875" bestFit="1" customWidth="1"/>
    <col min="13828" max="13828" width="10.7265625" bestFit="1" customWidth="1"/>
    <col min="13829" max="13829" width="10.453125" bestFit="1" customWidth="1"/>
    <col min="14082" max="14082" width="11.1796875" customWidth="1"/>
    <col min="14083" max="14083" width="34.1796875" bestFit="1" customWidth="1"/>
    <col min="14084" max="14084" width="10.7265625" bestFit="1" customWidth="1"/>
    <col min="14085" max="14085" width="10.453125" bestFit="1" customWidth="1"/>
    <col min="14338" max="14338" width="11.1796875" customWidth="1"/>
    <col min="14339" max="14339" width="34.1796875" bestFit="1" customWidth="1"/>
    <col min="14340" max="14340" width="10.7265625" bestFit="1" customWidth="1"/>
    <col min="14341" max="14341" width="10.453125" bestFit="1" customWidth="1"/>
    <col min="14594" max="14594" width="11.1796875" customWidth="1"/>
    <col min="14595" max="14595" width="34.1796875" bestFit="1" customWidth="1"/>
    <col min="14596" max="14596" width="10.7265625" bestFit="1" customWidth="1"/>
    <col min="14597" max="14597" width="10.453125" bestFit="1" customWidth="1"/>
    <col min="14850" max="14850" width="11.1796875" customWidth="1"/>
    <col min="14851" max="14851" width="34.1796875" bestFit="1" customWidth="1"/>
    <col min="14852" max="14852" width="10.7265625" bestFit="1" customWidth="1"/>
    <col min="14853" max="14853" width="10.453125" bestFit="1" customWidth="1"/>
    <col min="15106" max="15106" width="11.1796875" customWidth="1"/>
    <col min="15107" max="15107" width="34.1796875" bestFit="1" customWidth="1"/>
    <col min="15108" max="15108" width="10.7265625" bestFit="1" customWidth="1"/>
    <col min="15109" max="15109" width="10.453125" bestFit="1" customWidth="1"/>
    <col min="15362" max="15362" width="11.1796875" customWidth="1"/>
    <col min="15363" max="15363" width="34.1796875" bestFit="1" customWidth="1"/>
    <col min="15364" max="15364" width="10.7265625" bestFit="1" customWidth="1"/>
    <col min="15365" max="15365" width="10.453125" bestFit="1" customWidth="1"/>
    <col min="15618" max="15618" width="11.1796875" customWidth="1"/>
    <col min="15619" max="15619" width="34.1796875" bestFit="1" customWidth="1"/>
    <col min="15620" max="15620" width="10.7265625" bestFit="1" customWidth="1"/>
    <col min="15621" max="15621" width="10.453125" bestFit="1" customWidth="1"/>
    <col min="15874" max="15874" width="11.1796875" customWidth="1"/>
    <col min="15875" max="15875" width="34.1796875" bestFit="1" customWidth="1"/>
    <col min="15876" max="15876" width="10.7265625" bestFit="1" customWidth="1"/>
    <col min="15877" max="15877" width="10.453125" bestFit="1" customWidth="1"/>
    <col min="16130" max="16130" width="11.1796875" customWidth="1"/>
    <col min="16131" max="16131" width="34.1796875" bestFit="1" customWidth="1"/>
    <col min="16132" max="16132" width="10.7265625" bestFit="1" customWidth="1"/>
    <col min="16133" max="16133" width="10.453125" bestFit="1" customWidth="1"/>
  </cols>
  <sheetData>
    <row r="9" spans="2:5" ht="13">
      <c r="B9" s="476" t="s">
        <v>3217</v>
      </c>
      <c r="C9" s="477" t="s">
        <v>3218</v>
      </c>
      <c r="D9" s="478">
        <v>-435336</v>
      </c>
      <c r="E9" s="478">
        <v>0</v>
      </c>
    </row>
    <row r="10" spans="2:5" ht="13">
      <c r="B10" s="476" t="s">
        <v>2766</v>
      </c>
      <c r="C10" s="477" t="s">
        <v>2188</v>
      </c>
      <c r="D10" s="478">
        <v>-687639</v>
      </c>
      <c r="E10" s="478">
        <v>-6106048</v>
      </c>
    </row>
    <row r="11" spans="2:5" ht="13">
      <c r="B11" s="476" t="s">
        <v>2768</v>
      </c>
      <c r="C11" s="477" t="s">
        <v>2190</v>
      </c>
      <c r="D11" s="478">
        <v>-579607</v>
      </c>
      <c r="E11" s="478">
        <v>-1516107</v>
      </c>
    </row>
    <row r="12" spans="2:5" ht="13">
      <c r="B12" s="476" t="s">
        <v>2772</v>
      </c>
      <c r="C12" s="477" t="s">
        <v>2165</v>
      </c>
      <c r="D12" s="478">
        <v>-2115804</v>
      </c>
      <c r="E12" s="478">
        <v>-2426545</v>
      </c>
    </row>
    <row r="13" spans="2:5" ht="13">
      <c r="B13" s="476" t="s">
        <v>3225</v>
      </c>
      <c r="C13" s="477" t="s">
        <v>3226</v>
      </c>
      <c r="D13" s="478">
        <v>-638146</v>
      </c>
      <c r="E13" s="478">
        <v>0</v>
      </c>
    </row>
    <row r="14" spans="2:5" ht="13">
      <c r="B14" s="476" t="s">
        <v>2782</v>
      </c>
      <c r="C14" s="477" t="s">
        <v>2202</v>
      </c>
      <c r="D14" s="478">
        <v>-1495977</v>
      </c>
      <c r="E14" s="478">
        <v>-5550886</v>
      </c>
    </row>
    <row r="15" spans="2:5" ht="13.5" thickBot="1">
      <c r="B15" s="476"/>
      <c r="C15" s="479" t="s">
        <v>3353</v>
      </c>
      <c r="D15" s="480">
        <f>SUM(D9:D14)</f>
        <v>-5952509</v>
      </c>
      <c r="E15" s="480">
        <f>SUM(E9:E14)</f>
        <v>-15599586</v>
      </c>
    </row>
    <row r="16" spans="2:5" ht="13.5" thickTop="1">
      <c r="B16" s="476"/>
      <c r="C16" s="477"/>
      <c r="D16" s="478"/>
      <c r="E16" s="478"/>
    </row>
    <row r="17" spans="2:10" ht="13">
      <c r="B17" s="476"/>
      <c r="C17" s="477"/>
      <c r="D17" s="478"/>
      <c r="E17" s="478"/>
    </row>
    <row r="18" spans="2:10" ht="13">
      <c r="B18" s="476" t="s">
        <v>3219</v>
      </c>
      <c r="C18" s="477" t="s">
        <v>3220</v>
      </c>
      <c r="D18" s="478">
        <v>-243238</v>
      </c>
      <c r="E18" s="478">
        <v>0</v>
      </c>
    </row>
    <row r="19" spans="2:10" ht="13">
      <c r="B19" s="476" t="s">
        <v>3221</v>
      </c>
      <c r="C19" s="477" t="s">
        <v>3222</v>
      </c>
      <c r="D19" s="478">
        <v>-232342</v>
      </c>
      <c r="E19" s="478">
        <v>0</v>
      </c>
    </row>
    <row r="20" spans="2:10" ht="13">
      <c r="B20" s="476" t="s">
        <v>3223</v>
      </c>
      <c r="C20" s="477" t="s">
        <v>3224</v>
      </c>
      <c r="D20" s="478">
        <v>-223468</v>
      </c>
      <c r="E20" s="478">
        <v>0</v>
      </c>
    </row>
    <row r="21" spans="2:10" ht="13">
      <c r="B21" s="476" t="s">
        <v>3227</v>
      </c>
      <c r="C21" s="477" t="s">
        <v>3228</v>
      </c>
      <c r="D21" s="478">
        <v>-214124</v>
      </c>
      <c r="E21" s="478">
        <v>0</v>
      </c>
    </row>
    <row r="22" spans="2:10" ht="13">
      <c r="B22" s="476" t="s">
        <v>2773</v>
      </c>
      <c r="C22" s="477" t="s">
        <v>2194</v>
      </c>
      <c r="D22" s="478">
        <v>-1157263</v>
      </c>
      <c r="E22" s="478">
        <v>-1147569</v>
      </c>
    </row>
    <row r="23" spans="2:10" ht="13.5" thickBot="1">
      <c r="B23" s="476"/>
      <c r="C23" s="479" t="s">
        <v>3354</v>
      </c>
      <c r="D23" s="480">
        <f>SUM(D18:D22)</f>
        <v>-2070435</v>
      </c>
      <c r="E23" s="480">
        <f>SUM(E18:E22)</f>
        <v>-1147569</v>
      </c>
    </row>
    <row r="24" spans="2:10" ht="13.5" thickTop="1">
      <c r="B24" s="476"/>
      <c r="C24" s="477"/>
      <c r="D24" s="478"/>
      <c r="E24" s="478"/>
    </row>
    <row r="25" spans="2:10" ht="13">
      <c r="B25" s="476"/>
      <c r="C25" s="477"/>
      <c r="D25" s="478"/>
      <c r="E25" s="478"/>
    </row>
    <row r="26" spans="2:10" ht="13">
      <c r="B26" s="476" t="s">
        <v>2770</v>
      </c>
      <c r="C26" s="477" t="s">
        <v>2192</v>
      </c>
      <c r="D26" s="478">
        <v>-179650</v>
      </c>
      <c r="E26" s="478">
        <v>-51375</v>
      </c>
      <c r="H26" s="483" t="str">
        <f>C15</f>
        <v>Arrangement and deposit fees</v>
      </c>
      <c r="I26" s="482">
        <f>D15</f>
        <v>-5952509</v>
      </c>
      <c r="J26" s="482">
        <f>E15</f>
        <v>-15599586</v>
      </c>
    </row>
    <row r="27" spans="2:10" ht="13">
      <c r="B27" s="476" t="s">
        <v>2775</v>
      </c>
      <c r="C27" s="477" t="s">
        <v>2196</v>
      </c>
      <c r="D27" s="478">
        <v>-174800</v>
      </c>
      <c r="E27" s="478">
        <v>-406874</v>
      </c>
      <c r="H27" t="s">
        <v>3354</v>
      </c>
      <c r="I27" s="482">
        <f>D23</f>
        <v>-2070435</v>
      </c>
      <c r="J27" s="482">
        <f>E23</f>
        <v>-1147569</v>
      </c>
    </row>
    <row r="28" spans="2:10" ht="13">
      <c r="B28" s="476" t="s">
        <v>2778</v>
      </c>
      <c r="C28" s="477" t="s">
        <v>2199</v>
      </c>
      <c r="D28" s="478">
        <v>-20200</v>
      </c>
      <c r="E28" s="478">
        <v>-5000</v>
      </c>
      <c r="H28" s="483" t="str">
        <f>C30</f>
        <v>Credit related fees</v>
      </c>
      <c r="I28" s="482">
        <f>D30</f>
        <v>-762175</v>
      </c>
      <c r="J28" s="482">
        <f>E30</f>
        <v>-502799</v>
      </c>
    </row>
    <row r="29" spans="2:10" ht="13">
      <c r="B29" s="476" t="s">
        <v>2780</v>
      </c>
      <c r="C29" s="477" t="s">
        <v>2201</v>
      </c>
      <c r="D29" s="478">
        <v>-387525</v>
      </c>
      <c r="E29" s="478">
        <v>-39550</v>
      </c>
      <c r="H29" s="483" t="str">
        <f>C43</f>
        <v>Legal and asset inspection fees</v>
      </c>
      <c r="I29" s="482">
        <f>D43</f>
        <v>-9513048</v>
      </c>
      <c r="J29" s="482">
        <f>E43</f>
        <v>-5024650</v>
      </c>
    </row>
    <row r="30" spans="2:10" ht="13.5" thickBot="1">
      <c r="B30" s="476"/>
      <c r="C30" s="479" t="s">
        <v>3359</v>
      </c>
      <c r="D30" s="480">
        <f>SUM(D26:D29)</f>
        <v>-762175</v>
      </c>
      <c r="E30" s="480">
        <f>SUM(E26:E29)</f>
        <v>-502799</v>
      </c>
      <c r="H30" s="483" t="str">
        <f>C60</f>
        <v>Account maintance fees</v>
      </c>
      <c r="I30" s="482">
        <f>D60</f>
        <v>-15985227</v>
      </c>
      <c r="J30" s="482">
        <f>E60</f>
        <v>-4981507</v>
      </c>
    </row>
    <row r="31" spans="2:10" ht="13.5" thickTop="1">
      <c r="B31" s="476"/>
      <c r="C31" s="477"/>
      <c r="D31" s="478"/>
      <c r="E31" s="478"/>
      <c r="I31" s="482">
        <f>SUM(I26:I30)</f>
        <v>-34283394</v>
      </c>
      <c r="J31" s="482">
        <f>SUM(J26:J30)</f>
        <v>-27256111</v>
      </c>
    </row>
    <row r="32" spans="2:10" ht="13">
      <c r="B32" s="476"/>
      <c r="C32" s="477"/>
      <c r="D32" s="478"/>
      <c r="E32" s="478"/>
    </row>
    <row r="33" spans="2:5" ht="13">
      <c r="B33" s="476" t="s">
        <v>2764</v>
      </c>
      <c r="C33" s="477" t="s">
        <v>2186</v>
      </c>
      <c r="D33" s="478">
        <v>-1273409</v>
      </c>
      <c r="E33" s="478">
        <v>-135350</v>
      </c>
    </row>
    <row r="34" spans="2:5" ht="13">
      <c r="B34" s="476" t="s">
        <v>2765</v>
      </c>
      <c r="C34" s="477" t="s">
        <v>2187</v>
      </c>
      <c r="D34" s="478">
        <v>-355908</v>
      </c>
      <c r="E34" s="478">
        <v>-5450</v>
      </c>
    </row>
    <row r="35" spans="2:5" ht="13">
      <c r="B35" s="476" t="s">
        <v>2767</v>
      </c>
      <c r="C35" s="477" t="s">
        <v>2189</v>
      </c>
      <c r="D35" s="478">
        <v>-1889611</v>
      </c>
      <c r="E35" s="478">
        <v>-148650</v>
      </c>
    </row>
    <row r="36" spans="2:5" ht="13">
      <c r="B36" s="476" t="s">
        <v>2769</v>
      </c>
      <c r="C36" s="477" t="s">
        <v>2191</v>
      </c>
      <c r="D36" s="478">
        <v>-1261044</v>
      </c>
      <c r="E36" s="478">
        <v>-110700</v>
      </c>
    </row>
    <row r="37" spans="2:5" ht="13">
      <c r="B37" s="476" t="s">
        <v>2774</v>
      </c>
      <c r="C37" s="477" t="s">
        <v>2195</v>
      </c>
      <c r="D37" s="478">
        <v>-2218938</v>
      </c>
      <c r="E37" s="478">
        <v>-2732518</v>
      </c>
    </row>
    <row r="38" spans="2:5" ht="13">
      <c r="B38" s="476" t="s">
        <v>2777</v>
      </c>
      <c r="C38" s="477" t="s">
        <v>2198</v>
      </c>
      <c r="D38" s="478">
        <v>-101000</v>
      </c>
      <c r="E38" s="478">
        <v>-25000</v>
      </c>
    </row>
    <row r="39" spans="2:5" ht="13">
      <c r="B39" s="476" t="s">
        <v>2771</v>
      </c>
      <c r="C39" s="477" t="s">
        <v>2193</v>
      </c>
      <c r="D39" s="478">
        <v>-721380</v>
      </c>
      <c r="E39" s="478">
        <v>-133288</v>
      </c>
    </row>
    <row r="40" spans="2:5" ht="13">
      <c r="B40" s="476" t="s">
        <v>2776</v>
      </c>
      <c r="C40" s="477" t="s">
        <v>2197</v>
      </c>
      <c r="D40" s="478">
        <v>-1110097</v>
      </c>
      <c r="E40" s="478">
        <v>-1656394</v>
      </c>
    </row>
    <row r="41" spans="2:5" ht="13">
      <c r="B41" s="476" t="s">
        <v>2779</v>
      </c>
      <c r="C41" s="477" t="s">
        <v>2200</v>
      </c>
      <c r="D41" s="478">
        <v>-432300</v>
      </c>
      <c r="E41" s="478">
        <v>-77300</v>
      </c>
    </row>
    <row r="42" spans="2:5" ht="13">
      <c r="B42" s="476" t="s">
        <v>3229</v>
      </c>
      <c r="C42" s="477" t="s">
        <v>3230</v>
      </c>
      <c r="D42" s="478">
        <v>-149361</v>
      </c>
      <c r="E42" s="478">
        <v>0</v>
      </c>
    </row>
    <row r="43" spans="2:5" ht="13.5" thickBot="1">
      <c r="B43" s="476"/>
      <c r="C43" s="479" t="s">
        <v>3355</v>
      </c>
      <c r="D43" s="480">
        <f>SUM(D33:D42)</f>
        <v>-9513048</v>
      </c>
      <c r="E43" s="480">
        <f>SUM(E33:E42)</f>
        <v>-5024650</v>
      </c>
    </row>
    <row r="44" spans="2:5" ht="13.5" thickTop="1">
      <c r="B44" s="476"/>
      <c r="C44" s="477"/>
      <c r="D44" s="478"/>
      <c r="E44" s="478"/>
    </row>
    <row r="45" spans="2:5" ht="13">
      <c r="B45" s="476"/>
      <c r="C45" s="477"/>
      <c r="D45" s="478"/>
      <c r="E45" s="478"/>
    </row>
    <row r="47" spans="2:5" ht="13">
      <c r="B47" s="476" t="s">
        <v>2791</v>
      </c>
      <c r="C47" s="477" t="s">
        <v>2207</v>
      </c>
      <c r="D47" s="478">
        <v>-132055</v>
      </c>
      <c r="E47" s="478">
        <v>-113837</v>
      </c>
    </row>
    <row r="48" spans="2:5" ht="13">
      <c r="B48" s="476" t="s">
        <v>2792</v>
      </c>
      <c r="C48" s="477" t="s">
        <v>2208</v>
      </c>
      <c r="D48" s="478">
        <v>-4452275</v>
      </c>
      <c r="E48" s="478">
        <v>-2590359</v>
      </c>
    </row>
    <row r="49" spans="2:5" ht="13">
      <c r="B49" s="476" t="s">
        <v>3231</v>
      </c>
      <c r="C49" s="477" t="s">
        <v>3232</v>
      </c>
      <c r="D49" s="478">
        <v>-318</v>
      </c>
      <c r="E49" s="478">
        <v>0</v>
      </c>
    </row>
    <row r="50" spans="2:5" ht="13">
      <c r="B50" s="476" t="s">
        <v>2793</v>
      </c>
      <c r="C50" s="477" t="s">
        <v>2209</v>
      </c>
      <c r="D50" s="478">
        <v>-11310894</v>
      </c>
      <c r="E50" s="478">
        <v>-2268201</v>
      </c>
    </row>
    <row r="51" spans="2:5" ht="13">
      <c r="B51" s="476" t="s">
        <v>2794</v>
      </c>
      <c r="C51" s="477" t="s">
        <v>2210</v>
      </c>
      <c r="D51" s="478">
        <v>-5460</v>
      </c>
      <c r="E51" s="478">
        <v>-336</v>
      </c>
    </row>
    <row r="52" spans="2:5" ht="13">
      <c r="B52" s="476" t="s">
        <v>2795</v>
      </c>
      <c r="C52" s="477" t="s">
        <v>3233</v>
      </c>
      <c r="D52" s="478">
        <v>-67870</v>
      </c>
      <c r="E52" s="478">
        <v>-8774</v>
      </c>
    </row>
    <row r="53" spans="2:5" ht="13">
      <c r="B53" s="476" t="s">
        <v>3234</v>
      </c>
      <c r="C53" s="477" t="s">
        <v>3235</v>
      </c>
      <c r="D53" s="478">
        <v>-90</v>
      </c>
      <c r="E53" s="478">
        <v>0</v>
      </c>
    </row>
    <row r="54" spans="2:5" ht="13">
      <c r="B54" s="476" t="s">
        <v>3236</v>
      </c>
      <c r="C54" s="477" t="s">
        <v>3237</v>
      </c>
      <c r="D54" s="478">
        <v>-289</v>
      </c>
      <c r="E54" s="478">
        <v>0</v>
      </c>
    </row>
    <row r="55" spans="2:5" ht="13">
      <c r="B55" s="476" t="s">
        <v>3238</v>
      </c>
      <c r="C55" s="477" t="s">
        <v>3239</v>
      </c>
      <c r="D55" s="478">
        <v>-175</v>
      </c>
      <c r="E55" s="478">
        <v>0</v>
      </c>
    </row>
    <row r="56" spans="2:5" ht="13">
      <c r="B56" s="476" t="s">
        <v>3240</v>
      </c>
      <c r="C56" s="477" t="s">
        <v>3241</v>
      </c>
      <c r="D56" s="478">
        <v>-2606</v>
      </c>
      <c r="E56" s="478">
        <v>0</v>
      </c>
    </row>
    <row r="57" spans="2:5" ht="13">
      <c r="B57" s="476" t="s">
        <v>3242</v>
      </c>
      <c r="C57" s="477" t="s">
        <v>3243</v>
      </c>
      <c r="D57" s="478">
        <v>-2520</v>
      </c>
      <c r="E57" s="478">
        <v>0</v>
      </c>
    </row>
    <row r="58" spans="2:5" ht="13">
      <c r="B58" s="476" t="s">
        <v>3244</v>
      </c>
      <c r="C58" s="477" t="s">
        <v>3356</v>
      </c>
      <c r="D58" s="478">
        <v>-10150</v>
      </c>
      <c r="E58" s="478">
        <v>0</v>
      </c>
    </row>
    <row r="59" spans="2:5" ht="13">
      <c r="B59" s="476" t="s">
        <v>3245</v>
      </c>
      <c r="C59" s="477" t="s">
        <v>3357</v>
      </c>
      <c r="D59" s="478">
        <v>-525</v>
      </c>
      <c r="E59" s="478">
        <v>0</v>
      </c>
    </row>
    <row r="60" spans="2:5" ht="13.5" thickBot="1">
      <c r="C60" s="479" t="s">
        <v>3358</v>
      </c>
      <c r="D60" s="481">
        <f>SUM(D47:D59)</f>
        <v>-15985227</v>
      </c>
      <c r="E60" s="481">
        <f>SUM(E47:E59)</f>
        <v>-4981507</v>
      </c>
    </row>
    <row r="61" spans="2:5" ht="13" thickTop="1"/>
  </sheetData>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8" sqref="J28"/>
    </sheetView>
  </sheetViews>
  <sheetFormatPr defaultRowHeight="1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5"/>
  <sheetViews>
    <sheetView tabSelected="1" topLeftCell="P2" zoomScale="60" zoomScaleNormal="60" workbookViewId="0">
      <selection activeCell="AC30" sqref="AC30"/>
    </sheetView>
  </sheetViews>
  <sheetFormatPr defaultRowHeight="12.5"/>
  <cols>
    <col min="4" max="4" width="13.81640625" customWidth="1"/>
    <col min="5" max="5" width="2.453125" customWidth="1"/>
    <col min="6" max="6" width="17.81640625" customWidth="1"/>
    <col min="7" max="7" width="20.54296875" bestFit="1" customWidth="1"/>
    <col min="9" max="9" width="17" bestFit="1" customWidth="1"/>
    <col min="12" max="12" width="33.1796875" customWidth="1"/>
    <col min="13" max="13" width="4.54296875" customWidth="1"/>
    <col min="14" max="14" width="9.1796875" customWidth="1"/>
    <col min="15" max="15" width="19.81640625" bestFit="1" customWidth="1"/>
    <col min="16" max="16" width="2.54296875" customWidth="1"/>
    <col min="17" max="17" width="17" bestFit="1" customWidth="1"/>
    <col min="19" max="19" width="38.54296875" customWidth="1"/>
    <col min="20" max="20" width="0.26953125" customWidth="1"/>
    <col min="21" max="21" width="19.7265625" bestFit="1" customWidth="1"/>
    <col min="22" max="22" width="0.453125" customWidth="1"/>
    <col min="23" max="23" width="8.7265625" customWidth="1"/>
    <col min="24" max="24" width="0.26953125" customWidth="1"/>
    <col min="25" max="25" width="24.81640625" bestFit="1" customWidth="1"/>
    <col min="26" max="26" width="8.7265625" bestFit="1" customWidth="1"/>
    <col min="27" max="27" width="20.453125" bestFit="1" customWidth="1"/>
    <col min="29" max="29" width="65.1796875" customWidth="1"/>
    <col min="30" max="30" width="1.26953125" customWidth="1"/>
    <col min="31" max="31" width="23.26953125" customWidth="1"/>
    <col min="32" max="32" width="0.54296875" customWidth="1"/>
    <col min="33" max="33" width="21.54296875" customWidth="1"/>
  </cols>
  <sheetData>
    <row r="1" spans="1:34" ht="105" customHeight="1">
      <c r="A1" s="912"/>
      <c r="B1" s="912"/>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912"/>
      <c r="AC1" s="912"/>
      <c r="AD1" s="912"/>
      <c r="AE1" s="912"/>
      <c r="AF1" s="912"/>
      <c r="AG1" s="912"/>
      <c r="AH1" s="912"/>
    </row>
    <row r="2" spans="1:34" ht="15.5">
      <c r="A2" s="912"/>
      <c r="B2" s="943"/>
      <c r="C2" s="943"/>
      <c r="D2" s="943"/>
      <c r="E2" s="943"/>
      <c r="F2" s="943"/>
      <c r="G2" s="912"/>
      <c r="H2" s="912"/>
      <c r="I2" s="912"/>
      <c r="J2" s="912"/>
      <c r="K2" s="912"/>
      <c r="L2" s="912"/>
      <c r="M2" s="912"/>
      <c r="N2" s="912"/>
      <c r="O2" s="913"/>
      <c r="P2" s="913"/>
      <c r="Q2" s="913"/>
      <c r="R2" s="913"/>
      <c r="S2" s="913"/>
      <c r="T2" s="913"/>
      <c r="U2" s="913"/>
      <c r="V2" s="913"/>
      <c r="W2" s="912"/>
      <c r="X2" s="912"/>
      <c r="Y2" s="912"/>
      <c r="Z2" s="912"/>
      <c r="AA2" s="912"/>
      <c r="AB2" s="912"/>
      <c r="AC2" s="912"/>
      <c r="AD2" s="912"/>
      <c r="AE2" s="912"/>
      <c r="AF2" s="912"/>
      <c r="AG2" s="912"/>
      <c r="AH2" s="912"/>
    </row>
    <row r="3" spans="1:34" ht="35">
      <c r="B3" s="944" t="s">
        <v>422</v>
      </c>
      <c r="C3" s="944"/>
      <c r="D3" s="944"/>
      <c r="E3" s="944"/>
      <c r="F3" s="944"/>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4"/>
      <c r="AG3" s="944"/>
    </row>
    <row r="4" spans="1:34" ht="11.25" customHeight="1">
      <c r="B4" s="892"/>
      <c r="C4" s="892"/>
      <c r="D4" s="892"/>
      <c r="E4" s="892"/>
      <c r="F4" s="892"/>
      <c r="G4" s="892"/>
      <c r="H4" s="892"/>
      <c r="I4" s="892"/>
      <c r="J4" s="892"/>
      <c r="K4" s="892"/>
      <c r="L4" s="892"/>
      <c r="M4" s="892"/>
      <c r="N4" s="892"/>
      <c r="O4" s="892"/>
      <c r="P4" s="892"/>
      <c r="Q4" s="892"/>
      <c r="R4" s="892"/>
      <c r="S4" s="892"/>
      <c r="T4" s="892"/>
      <c r="U4" s="892"/>
      <c r="V4" s="892"/>
      <c r="W4" s="892"/>
      <c r="X4" s="892"/>
    </row>
    <row r="5" spans="1:34" ht="20">
      <c r="B5" s="945" t="s">
        <v>4672</v>
      </c>
      <c r="C5" s="945"/>
      <c r="D5" s="945"/>
      <c r="E5" s="945"/>
      <c r="F5" s="945"/>
      <c r="G5" s="945"/>
      <c r="H5" s="945"/>
      <c r="I5" s="945"/>
      <c r="J5" s="945"/>
      <c r="K5" s="945"/>
      <c r="L5" s="945"/>
      <c r="M5" s="945"/>
      <c r="N5" s="945"/>
      <c r="O5" s="945"/>
      <c r="P5" s="945"/>
      <c r="Q5" s="945"/>
      <c r="R5" s="945"/>
      <c r="S5" s="945"/>
      <c r="T5" s="945"/>
      <c r="U5" s="945"/>
      <c r="V5" s="945"/>
      <c r="W5" s="945"/>
      <c r="X5" s="945"/>
      <c r="Y5" s="945"/>
      <c r="Z5" s="945"/>
      <c r="AA5" s="945"/>
      <c r="AB5" s="945"/>
      <c r="AC5" s="945"/>
      <c r="AD5" s="945"/>
      <c r="AE5" s="945"/>
      <c r="AF5" s="945"/>
      <c r="AG5" s="945"/>
    </row>
    <row r="6" spans="1:34" ht="15.5">
      <c r="C6" s="893"/>
      <c r="D6" s="893"/>
      <c r="E6" s="893"/>
      <c r="F6" s="893"/>
      <c r="G6" s="893"/>
      <c r="H6" s="893"/>
      <c r="I6" s="893"/>
      <c r="J6" s="893"/>
      <c r="K6" s="893"/>
      <c r="L6" s="893"/>
      <c r="M6" s="893"/>
      <c r="N6" s="893"/>
      <c r="O6" s="893"/>
      <c r="P6" s="893"/>
      <c r="Q6" s="893"/>
      <c r="R6" s="893"/>
      <c r="S6" s="893"/>
      <c r="T6" s="893"/>
      <c r="U6" s="893"/>
      <c r="V6" s="893"/>
      <c r="W6" s="893"/>
      <c r="X6" s="893"/>
    </row>
    <row r="7" spans="1:34" ht="18">
      <c r="B7" s="894"/>
      <c r="C7" s="894"/>
      <c r="D7" s="894"/>
      <c r="E7" s="894"/>
      <c r="F7" s="894"/>
      <c r="G7" s="894"/>
      <c r="H7" s="894"/>
      <c r="I7" s="894"/>
      <c r="J7" s="894"/>
      <c r="K7" s="894"/>
      <c r="L7" s="894"/>
      <c r="M7" s="894"/>
      <c r="N7" s="894"/>
      <c r="O7" s="894"/>
      <c r="P7" s="894"/>
      <c r="Q7" s="894"/>
      <c r="R7" s="894"/>
      <c r="S7" s="894"/>
      <c r="T7" s="894"/>
      <c r="U7" s="894"/>
      <c r="V7" s="894"/>
      <c r="W7" s="894"/>
      <c r="X7" s="894"/>
    </row>
    <row r="8" spans="1:34" ht="23">
      <c r="B8" s="946" t="s">
        <v>4674</v>
      </c>
      <c r="C8" s="946"/>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row>
    <row r="9" spans="1:34" ht="18">
      <c r="B9" s="894"/>
      <c r="C9" s="894"/>
      <c r="D9" s="894"/>
      <c r="E9" s="894"/>
      <c r="F9" s="894"/>
      <c r="G9" s="894"/>
      <c r="H9" s="894"/>
      <c r="I9" s="894"/>
      <c r="J9" s="894"/>
      <c r="K9" s="894"/>
      <c r="L9" s="894"/>
      <c r="M9" s="894"/>
      <c r="N9" s="894"/>
      <c r="O9" s="894"/>
      <c r="P9" s="894"/>
      <c r="Q9" s="894"/>
      <c r="R9" s="894"/>
      <c r="S9" s="894"/>
      <c r="T9" s="894"/>
      <c r="U9" s="894"/>
      <c r="V9" s="894"/>
      <c r="W9" s="894"/>
      <c r="X9" s="894"/>
    </row>
    <row r="10" spans="1:34" ht="17.5">
      <c r="B10" s="947" t="s">
        <v>4673</v>
      </c>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c r="AG10" s="947"/>
    </row>
    <row r="13" spans="1:34" ht="13" thickBot="1"/>
    <row r="14" spans="1:34" ht="15.5">
      <c r="B14" s="810"/>
      <c r="C14" s="365"/>
      <c r="D14" s="365"/>
      <c r="E14" s="365"/>
      <c r="F14" s="365"/>
      <c r="G14" s="365"/>
      <c r="H14" s="365"/>
      <c r="I14" s="826" t="s">
        <v>4661</v>
      </c>
      <c r="K14" s="810"/>
      <c r="L14" s="365"/>
      <c r="M14" s="365"/>
      <c r="N14" s="365"/>
      <c r="O14" s="365"/>
      <c r="P14" s="365"/>
      <c r="Q14" s="826" t="s">
        <v>4665</v>
      </c>
      <c r="S14" s="810"/>
      <c r="T14" s="365"/>
      <c r="U14" s="365"/>
      <c r="V14" s="365"/>
      <c r="W14" s="365"/>
      <c r="X14" s="365"/>
      <c r="Y14" s="365"/>
      <c r="Z14" s="365"/>
      <c r="AA14" s="891" t="s">
        <v>4670</v>
      </c>
      <c r="AC14" s="810"/>
      <c r="AD14" s="365"/>
      <c r="AE14" s="365"/>
      <c r="AF14" s="365"/>
      <c r="AG14" s="891" t="s">
        <v>4671</v>
      </c>
    </row>
    <row r="15" spans="1:34" ht="15.5">
      <c r="B15" s="776"/>
      <c r="C15" s="784"/>
      <c r="D15" s="784"/>
      <c r="E15" s="788"/>
      <c r="F15" s="788"/>
      <c r="G15" s="804"/>
      <c r="H15" s="788"/>
      <c r="I15" s="771"/>
      <c r="K15" s="768"/>
      <c r="L15" s="783"/>
      <c r="M15" s="783"/>
      <c r="N15" s="783"/>
      <c r="O15" s="783"/>
      <c r="P15" s="783"/>
      <c r="Q15" s="769"/>
      <c r="R15" s="783"/>
      <c r="S15" s="768"/>
      <c r="T15" s="784"/>
      <c r="U15" s="788"/>
      <c r="V15" s="788"/>
      <c r="W15" s="788"/>
      <c r="X15" s="788"/>
      <c r="Y15" s="799"/>
      <c r="Z15" s="799"/>
      <c r="AA15" s="833"/>
      <c r="AB15" s="884"/>
      <c r="AC15" s="768"/>
      <c r="AD15" s="783"/>
      <c r="AE15" s="783"/>
      <c r="AF15" s="783"/>
      <c r="AG15" s="861"/>
    </row>
    <row r="16" spans="1:34" ht="15.5">
      <c r="B16" s="914" t="s">
        <v>4659</v>
      </c>
      <c r="C16" s="915"/>
      <c r="D16" s="916"/>
      <c r="E16" s="914"/>
      <c r="F16" s="915"/>
      <c r="G16" s="917"/>
      <c r="H16" s="918"/>
      <c r="I16" s="919"/>
      <c r="K16" s="953" t="s">
        <v>4663</v>
      </c>
      <c r="L16" s="954"/>
      <c r="M16" s="954"/>
      <c r="N16" s="954"/>
      <c r="O16" s="955"/>
      <c r="P16" s="922"/>
      <c r="Q16" s="923"/>
      <c r="R16" s="784"/>
      <c r="S16" s="956" t="s">
        <v>4666</v>
      </c>
      <c r="T16" s="957"/>
      <c r="U16" s="957"/>
      <c r="V16" s="957"/>
      <c r="W16" s="957"/>
      <c r="X16" s="957"/>
      <c r="Y16" s="957"/>
      <c r="Z16" s="957"/>
      <c r="AA16" s="957"/>
      <c r="AB16" s="885"/>
      <c r="AC16" s="929" t="s">
        <v>4668</v>
      </c>
      <c r="AD16" s="930"/>
      <c r="AE16" s="931"/>
      <c r="AF16" s="927"/>
      <c r="AG16" s="932"/>
    </row>
    <row r="17" spans="2:33" ht="15.5">
      <c r="B17" s="920"/>
      <c r="C17" s="921"/>
      <c r="D17" s="939"/>
      <c r="E17" s="939"/>
      <c r="F17" s="939"/>
      <c r="G17" s="939" t="s">
        <v>4660</v>
      </c>
      <c r="H17" s="939"/>
      <c r="I17" s="939"/>
      <c r="K17" s="920"/>
      <c r="L17" s="924"/>
      <c r="M17" s="924" t="s">
        <v>4664</v>
      </c>
      <c r="N17" s="925"/>
      <c r="O17" s="926"/>
      <c r="P17" s="927"/>
      <c r="Q17" s="928"/>
      <c r="R17" s="783"/>
      <c r="S17" s="958" t="s">
        <v>4667</v>
      </c>
      <c r="T17" s="959"/>
      <c r="U17" s="959"/>
      <c r="V17" s="959"/>
      <c r="W17" s="959"/>
      <c r="X17" s="959"/>
      <c r="Y17" s="959"/>
      <c r="Z17" s="959"/>
      <c r="AA17" s="960"/>
      <c r="AB17" s="886"/>
      <c r="AC17" s="950" t="s">
        <v>4669</v>
      </c>
      <c r="AD17" s="951"/>
      <c r="AE17" s="951"/>
      <c r="AF17" s="951"/>
      <c r="AG17" s="952"/>
    </row>
    <row r="18" spans="2:33" ht="15.5">
      <c r="B18" s="768"/>
      <c r="C18" s="783"/>
      <c r="D18" s="783"/>
      <c r="E18" s="788"/>
      <c r="F18" s="788"/>
      <c r="G18" s="804"/>
      <c r="H18" s="788"/>
      <c r="I18" s="771"/>
      <c r="K18" s="768"/>
      <c r="L18" s="783"/>
      <c r="M18" s="783"/>
      <c r="N18" s="783"/>
      <c r="O18" s="783"/>
      <c r="P18" s="783"/>
      <c r="Q18" s="769"/>
      <c r="R18" s="783"/>
      <c r="S18" s="776"/>
      <c r="T18" s="783"/>
      <c r="U18" s="783"/>
      <c r="V18" s="783"/>
      <c r="W18" s="783"/>
      <c r="X18" s="783"/>
      <c r="Y18" s="793"/>
      <c r="Z18" s="783"/>
      <c r="AA18" s="812"/>
      <c r="AB18" s="884"/>
      <c r="AC18" s="768"/>
      <c r="AD18" s="783"/>
      <c r="AE18" s="896">
        <v>2022</v>
      </c>
      <c r="AF18" s="897"/>
      <c r="AG18" s="898">
        <v>2021</v>
      </c>
    </row>
    <row r="19" spans="2:33" ht="15.5">
      <c r="B19" s="768"/>
      <c r="C19" s="783"/>
      <c r="D19" s="783"/>
      <c r="E19" s="785"/>
      <c r="F19" s="785"/>
      <c r="G19" s="801" t="s">
        <v>4653</v>
      </c>
      <c r="H19" s="802"/>
      <c r="I19" s="829" t="s">
        <v>4644</v>
      </c>
      <c r="K19" s="828"/>
      <c r="L19" s="784"/>
      <c r="M19" s="785"/>
      <c r="N19" s="785"/>
      <c r="O19" s="801" t="s">
        <v>4653</v>
      </c>
      <c r="P19" s="802"/>
      <c r="Q19" s="829" t="s">
        <v>4644</v>
      </c>
      <c r="R19" s="785"/>
      <c r="S19" s="768"/>
      <c r="T19" s="783"/>
      <c r="U19" s="842" t="s">
        <v>1</v>
      </c>
      <c r="V19" s="787"/>
      <c r="W19" s="843" t="s">
        <v>3384</v>
      </c>
      <c r="X19" s="844"/>
      <c r="Y19" s="845" t="s">
        <v>3385</v>
      </c>
      <c r="Z19" s="799"/>
      <c r="AA19" s="846"/>
      <c r="AC19" s="811" t="s">
        <v>83</v>
      </c>
      <c r="AD19" s="790"/>
      <c r="AE19" s="785" t="s">
        <v>1921</v>
      </c>
      <c r="AF19" s="842"/>
      <c r="AG19" s="895" t="s">
        <v>1921</v>
      </c>
    </row>
    <row r="20" spans="2:33" ht="15.5">
      <c r="B20" s="768"/>
      <c r="C20" s="783"/>
      <c r="D20" s="783"/>
      <c r="E20" s="788"/>
      <c r="F20" s="788"/>
      <c r="G20" s="775" t="s">
        <v>1921</v>
      </c>
      <c r="H20" s="785"/>
      <c r="I20" s="902" t="s">
        <v>1921</v>
      </c>
      <c r="K20" s="828"/>
      <c r="L20" s="784"/>
      <c r="M20" s="785"/>
      <c r="N20" s="785"/>
      <c r="O20" s="775" t="s">
        <v>1921</v>
      </c>
      <c r="P20" s="788"/>
      <c r="Q20" s="830" t="s">
        <v>1921</v>
      </c>
      <c r="R20" s="785"/>
      <c r="S20" s="768"/>
      <c r="T20" s="783"/>
      <c r="U20" s="842" t="s">
        <v>13</v>
      </c>
      <c r="V20" s="788"/>
      <c r="W20" s="842" t="s">
        <v>32</v>
      </c>
      <c r="X20" s="847"/>
      <c r="Y20" s="845" t="s">
        <v>4560</v>
      </c>
      <c r="Z20" s="848"/>
      <c r="AA20" s="849" t="s">
        <v>12</v>
      </c>
      <c r="AC20" s="828" t="s">
        <v>4547</v>
      </c>
      <c r="AD20" s="782"/>
      <c r="AE20" s="799">
        <v>8690257</v>
      </c>
      <c r="AF20" s="782"/>
      <c r="AG20" s="864">
        <v>-17386708</v>
      </c>
    </row>
    <row r="21" spans="2:33" ht="15.5">
      <c r="B21" s="768"/>
      <c r="C21" s="783"/>
      <c r="D21" s="783"/>
      <c r="E21" s="788"/>
      <c r="F21" s="788"/>
      <c r="G21" s="800"/>
      <c r="H21" s="783"/>
      <c r="I21" s="814"/>
      <c r="K21" s="828"/>
      <c r="L21" s="783"/>
      <c r="M21" s="788"/>
      <c r="N21" s="788"/>
      <c r="O21" s="782"/>
      <c r="P21" s="788"/>
      <c r="Q21" s="769"/>
      <c r="R21" s="788"/>
      <c r="S21" s="768"/>
      <c r="T21" s="783"/>
      <c r="U21" s="843"/>
      <c r="V21" s="783"/>
      <c r="W21" s="843"/>
      <c r="X21" s="844"/>
      <c r="Y21" s="850"/>
      <c r="Z21" s="799"/>
      <c r="AA21" s="849"/>
      <c r="AC21" s="828"/>
      <c r="AD21" s="782"/>
      <c r="AE21" s="749"/>
      <c r="AF21" s="782"/>
      <c r="AG21" s="865"/>
    </row>
    <row r="22" spans="2:33" ht="15.5">
      <c r="B22" s="776" t="s">
        <v>6</v>
      </c>
      <c r="C22" s="784"/>
      <c r="D22" s="784"/>
      <c r="E22" s="788"/>
      <c r="F22" s="788"/>
      <c r="G22" s="800"/>
      <c r="H22" s="783"/>
      <c r="I22" s="814"/>
      <c r="K22" s="768" t="s">
        <v>3379</v>
      </c>
      <c r="L22" s="784"/>
      <c r="M22" s="788"/>
      <c r="N22" s="788"/>
      <c r="O22" s="753">
        <v>64124210</v>
      </c>
      <c r="P22" s="789"/>
      <c r="Q22" s="813">
        <v>44573171</v>
      </c>
      <c r="R22" s="788"/>
      <c r="S22" s="776"/>
      <c r="T22" s="783"/>
      <c r="U22" s="900" t="s">
        <v>1921</v>
      </c>
      <c r="V22" s="785"/>
      <c r="W22" s="900" t="s">
        <v>1921</v>
      </c>
      <c r="X22" s="785"/>
      <c r="Y22" s="900" t="s">
        <v>1921</v>
      </c>
      <c r="Z22" s="900"/>
      <c r="AA22" s="901" t="s">
        <v>1921</v>
      </c>
      <c r="AC22" s="811" t="s">
        <v>110</v>
      </c>
      <c r="AD22" s="790"/>
      <c r="AE22" s="762"/>
      <c r="AF22" s="782"/>
      <c r="AG22" s="865"/>
    </row>
    <row r="23" spans="2:33" ht="15.5">
      <c r="B23" s="768" t="s">
        <v>1930</v>
      </c>
      <c r="C23" s="783"/>
      <c r="D23" s="783"/>
      <c r="E23" s="805"/>
      <c r="F23" s="805"/>
      <c r="G23" s="762">
        <v>17118421</v>
      </c>
      <c r="H23" s="805"/>
      <c r="I23" s="815">
        <v>49160526</v>
      </c>
      <c r="K23" s="768" t="s">
        <v>33</v>
      </c>
      <c r="L23" s="784"/>
      <c r="M23" s="788"/>
      <c r="N23" s="788"/>
      <c r="O23" s="762">
        <v>-15957430.890000001</v>
      </c>
      <c r="P23" s="788"/>
      <c r="Q23" s="813">
        <v>-25638840.954705883</v>
      </c>
      <c r="R23" s="788"/>
      <c r="S23" s="776"/>
      <c r="T23" s="783"/>
      <c r="U23" s="787"/>
      <c r="V23" s="784"/>
      <c r="W23" s="785"/>
      <c r="X23" s="784"/>
      <c r="Y23" s="787"/>
      <c r="Z23" s="787"/>
      <c r="AA23" s="851"/>
      <c r="AC23" s="866" t="s">
        <v>4647</v>
      </c>
      <c r="AD23" s="867"/>
      <c r="AE23" s="762">
        <v>1645581.2700212495</v>
      </c>
      <c r="AF23" s="782"/>
      <c r="AG23" s="815">
        <v>-7044503</v>
      </c>
    </row>
    <row r="24" spans="2:33" ht="15.5">
      <c r="B24" s="816" t="s">
        <v>40</v>
      </c>
      <c r="C24" s="806"/>
      <c r="D24" s="806"/>
      <c r="E24" s="788"/>
      <c r="F24" s="788"/>
      <c r="G24" s="762">
        <v>6748835</v>
      </c>
      <c r="H24" s="788"/>
      <c r="I24" s="815">
        <v>4434777</v>
      </c>
      <c r="K24" s="768"/>
      <c r="L24" s="784"/>
      <c r="M24" s="788"/>
      <c r="N24" s="788"/>
      <c r="O24" s="790"/>
      <c r="P24" s="788"/>
      <c r="Q24" s="831"/>
      <c r="R24" s="788"/>
      <c r="S24" s="776" t="s">
        <v>4645</v>
      </c>
      <c r="T24" s="783"/>
      <c r="U24" s="755">
        <v>56430413</v>
      </c>
      <c r="V24" s="784">
        <v>0</v>
      </c>
      <c r="W24" s="755">
        <v>0</v>
      </c>
      <c r="X24" s="784"/>
      <c r="Y24" s="787">
        <v>-84405288</v>
      </c>
      <c r="Z24" s="787">
        <v>0</v>
      </c>
      <c r="AA24" s="852">
        <v>-27974875</v>
      </c>
      <c r="AC24" s="866"/>
      <c r="AD24" s="867"/>
      <c r="AE24" s="762"/>
      <c r="AF24" s="782"/>
      <c r="AG24" s="815"/>
    </row>
    <row r="25" spans="2:33" ht="15.5">
      <c r="B25" s="768" t="s">
        <v>4632</v>
      </c>
      <c r="C25" s="806"/>
      <c r="D25" s="806"/>
      <c r="E25" s="788"/>
      <c r="F25" s="788"/>
      <c r="G25" s="762">
        <v>672077</v>
      </c>
      <c r="H25" s="788"/>
      <c r="I25" s="815">
        <v>4111983</v>
      </c>
      <c r="K25" s="776" t="s">
        <v>1925</v>
      </c>
      <c r="L25" s="784"/>
      <c r="M25" s="788"/>
      <c r="N25" s="788"/>
      <c r="O25" s="753">
        <v>48166779.109999999</v>
      </c>
      <c r="P25" s="788"/>
      <c r="Q25" s="813">
        <v>18934330.045294117</v>
      </c>
      <c r="R25" s="788"/>
      <c r="S25" s="776"/>
      <c r="T25" s="783"/>
      <c r="U25" s="787"/>
      <c r="V25" s="784"/>
      <c r="W25" s="787"/>
      <c r="X25" s="784"/>
      <c r="Y25" s="787"/>
      <c r="Z25" s="787"/>
      <c r="AA25" s="852"/>
      <c r="AC25" s="866" t="s">
        <v>3046</v>
      </c>
      <c r="AD25" s="867"/>
      <c r="AE25" s="762"/>
      <c r="AF25" s="782"/>
      <c r="AG25" s="865"/>
    </row>
    <row r="26" spans="2:33" ht="15.5">
      <c r="B26" s="768" t="s">
        <v>3397</v>
      </c>
      <c r="C26" s="783"/>
      <c r="D26" s="783"/>
      <c r="E26" s="788"/>
      <c r="F26" s="788"/>
      <c r="G26" s="762">
        <v>118040243</v>
      </c>
      <c r="H26" s="788"/>
      <c r="I26" s="815">
        <v>78181101</v>
      </c>
      <c r="K26" s="776"/>
      <c r="L26" s="784"/>
      <c r="M26" s="788"/>
      <c r="N26" s="788"/>
      <c r="O26" s="791"/>
      <c r="P26" s="788"/>
      <c r="Q26" s="813"/>
      <c r="R26" s="788"/>
      <c r="S26" s="768" t="s">
        <v>4637</v>
      </c>
      <c r="T26" s="783"/>
      <c r="U26" s="787" t="s">
        <v>31</v>
      </c>
      <c r="V26" s="784"/>
      <c r="W26" s="755">
        <v>0</v>
      </c>
      <c r="X26" s="784"/>
      <c r="Y26" s="787">
        <v>-17386708</v>
      </c>
      <c r="Z26" s="787"/>
      <c r="AA26" s="852">
        <v>-17386708</v>
      </c>
      <c r="AC26" s="866" t="s">
        <v>3047</v>
      </c>
      <c r="AD26" s="867"/>
      <c r="AE26" s="762">
        <v>6707757</v>
      </c>
      <c r="AF26" s="863"/>
      <c r="AG26" s="864">
        <v>7656606</v>
      </c>
    </row>
    <row r="27" spans="2:33" ht="15.5">
      <c r="B27" s="816" t="s">
        <v>3399</v>
      </c>
      <c r="C27" s="806"/>
      <c r="D27" s="806"/>
      <c r="E27" s="788"/>
      <c r="F27" s="788"/>
      <c r="G27" s="762">
        <v>7193572</v>
      </c>
      <c r="H27" s="788"/>
      <c r="I27" s="815">
        <v>7209961</v>
      </c>
      <c r="K27" s="768" t="s">
        <v>3380</v>
      </c>
      <c r="L27" s="783"/>
      <c r="M27" s="788"/>
      <c r="N27" s="788"/>
      <c r="O27" s="762">
        <v>-4817714.7435571421</v>
      </c>
      <c r="P27" s="788"/>
      <c r="Q27" s="832">
        <v>-1476956.2818489193</v>
      </c>
      <c r="R27" s="788"/>
      <c r="S27" s="768"/>
      <c r="T27" s="783"/>
      <c r="U27" s="787"/>
      <c r="V27" s="784"/>
      <c r="W27" s="787"/>
      <c r="X27" s="784"/>
      <c r="Y27" s="787"/>
      <c r="Z27" s="787"/>
      <c r="AA27" s="852"/>
      <c r="AC27" s="866" t="s">
        <v>4633</v>
      </c>
      <c r="AD27" s="867"/>
      <c r="AE27" s="762">
        <v>451093.5</v>
      </c>
      <c r="AF27" s="863"/>
      <c r="AG27" s="864">
        <v>913109</v>
      </c>
    </row>
    <row r="28" spans="2:33" ht="15.5">
      <c r="B28" s="816" t="s">
        <v>316</v>
      </c>
      <c r="C28" s="806"/>
      <c r="D28" s="806"/>
      <c r="E28" s="788"/>
      <c r="F28" s="788"/>
      <c r="G28" s="762">
        <v>0</v>
      </c>
      <c r="H28" s="788"/>
      <c r="I28" s="815">
        <v>0</v>
      </c>
      <c r="K28" s="776"/>
      <c r="L28" s="784"/>
      <c r="M28" s="788"/>
      <c r="N28" s="788"/>
      <c r="O28" s="790"/>
      <c r="P28" s="788"/>
      <c r="Q28" s="831"/>
      <c r="R28" s="788"/>
      <c r="S28" s="768" t="s">
        <v>4629</v>
      </c>
      <c r="T28" s="783"/>
      <c r="U28" s="755">
        <v>0</v>
      </c>
      <c r="V28" s="784"/>
      <c r="W28" s="755">
        <v>0</v>
      </c>
      <c r="X28" s="784"/>
      <c r="Y28" s="787"/>
      <c r="Z28" s="787"/>
      <c r="AA28" s="853">
        <v>0</v>
      </c>
      <c r="AC28" s="866"/>
      <c r="AD28" s="867"/>
      <c r="AE28" s="762"/>
      <c r="AF28" s="863"/>
      <c r="AG28" s="864"/>
    </row>
    <row r="29" spans="2:33" ht="15.5">
      <c r="B29" s="768" t="s">
        <v>61</v>
      </c>
      <c r="C29" s="783"/>
      <c r="D29" s="783"/>
      <c r="E29" s="788"/>
      <c r="F29" s="788"/>
      <c r="G29" s="762">
        <v>20383541</v>
      </c>
      <c r="H29" s="788"/>
      <c r="I29" s="815">
        <v>21720057</v>
      </c>
      <c r="K29" s="776" t="s">
        <v>3360</v>
      </c>
      <c r="L29" s="784"/>
      <c r="M29" s="788"/>
      <c r="N29" s="788"/>
      <c r="O29" s="790"/>
      <c r="P29" s="788"/>
      <c r="Q29" s="831"/>
      <c r="R29" s="788"/>
      <c r="S29" s="768"/>
      <c r="T29" s="783"/>
      <c r="U29" s="787"/>
      <c r="V29" s="784"/>
      <c r="W29" s="787"/>
      <c r="X29" s="784"/>
      <c r="Y29" s="787"/>
      <c r="Z29" s="787"/>
      <c r="AA29" s="852"/>
      <c r="AC29" s="866" t="s">
        <v>4658</v>
      </c>
      <c r="AD29" s="867"/>
      <c r="AE29" s="762">
        <v>4989491.17</v>
      </c>
      <c r="AF29" s="863"/>
      <c r="AG29" s="864">
        <v>2704482</v>
      </c>
    </row>
    <row r="30" spans="2:33" ht="15.5">
      <c r="B30" s="768" t="s">
        <v>4650</v>
      </c>
      <c r="C30" s="783"/>
      <c r="D30" s="783"/>
      <c r="E30" s="788"/>
      <c r="F30" s="788"/>
      <c r="G30" s="762">
        <v>361288</v>
      </c>
      <c r="H30" s="788"/>
      <c r="I30" s="815">
        <v>355098</v>
      </c>
      <c r="K30" s="776" t="s">
        <v>3361</v>
      </c>
      <c r="L30" s="784"/>
      <c r="M30" s="788"/>
      <c r="N30" s="788"/>
      <c r="O30" s="762">
        <v>43349064.366442859</v>
      </c>
      <c r="P30" s="788"/>
      <c r="Q30" s="833">
        <v>17457373.763445199</v>
      </c>
      <c r="R30" s="788"/>
      <c r="S30" s="768" t="s">
        <v>4561</v>
      </c>
      <c r="T30" s="783"/>
      <c r="U30" s="787" t="s">
        <v>31</v>
      </c>
      <c r="V30" s="784"/>
      <c r="W30" s="787"/>
      <c r="X30" s="784"/>
      <c r="Y30" s="787"/>
      <c r="Z30" s="787"/>
      <c r="AA30" s="846" t="s">
        <v>31</v>
      </c>
      <c r="AC30" s="828" t="s">
        <v>3364</v>
      </c>
      <c r="AD30" s="782"/>
      <c r="AE30" s="762">
        <v>15957431</v>
      </c>
      <c r="AF30" s="863"/>
      <c r="AG30" s="864">
        <v>25567633</v>
      </c>
    </row>
    <row r="31" spans="2:33" ht="15.5">
      <c r="B31" s="768" t="s">
        <v>4602</v>
      </c>
      <c r="C31" s="783"/>
      <c r="D31" s="783"/>
      <c r="E31" s="788"/>
      <c r="F31" s="788"/>
      <c r="G31" s="762">
        <v>3989110</v>
      </c>
      <c r="H31" s="788"/>
      <c r="I31" s="817">
        <v>2862786</v>
      </c>
      <c r="K31" s="834"/>
      <c r="L31" s="784"/>
      <c r="M31" s="788"/>
      <c r="N31" s="788"/>
      <c r="O31" s="753"/>
      <c r="P31" s="788"/>
      <c r="Q31" s="831"/>
      <c r="R31" s="788"/>
      <c r="S31" s="768"/>
      <c r="T31" s="783"/>
      <c r="U31" s="787"/>
      <c r="V31" s="784"/>
      <c r="W31" s="787"/>
      <c r="X31" s="784"/>
      <c r="Y31" s="787"/>
      <c r="Z31" s="787"/>
      <c r="AA31" s="852"/>
      <c r="AC31" s="768" t="s">
        <v>4577</v>
      </c>
      <c r="AD31" s="783"/>
      <c r="AE31" s="755">
        <v>513473.55</v>
      </c>
      <c r="AF31" s="788"/>
      <c r="AG31" s="864">
        <v>614668</v>
      </c>
    </row>
    <row r="32" spans="2:33" ht="15.5">
      <c r="B32" s="768" t="s">
        <v>4617</v>
      </c>
      <c r="C32" s="783"/>
      <c r="D32" s="783"/>
      <c r="E32" s="788"/>
      <c r="F32" s="788"/>
      <c r="G32" s="763">
        <v>3881756</v>
      </c>
      <c r="H32" s="788"/>
      <c r="I32" s="818">
        <v>5589748</v>
      </c>
      <c r="K32" s="768" t="s">
        <v>3395</v>
      </c>
      <c r="L32" s="784"/>
      <c r="M32" s="788"/>
      <c r="N32" s="788"/>
      <c r="O32" s="762">
        <v>17825545.580000002</v>
      </c>
      <c r="P32" s="788"/>
      <c r="Q32" s="813">
        <v>11071586.48</v>
      </c>
      <c r="R32" s="788"/>
      <c r="S32" s="768" t="s">
        <v>4640</v>
      </c>
      <c r="T32" s="783"/>
      <c r="U32" s="786">
        <v>67340797</v>
      </c>
      <c r="V32" s="783"/>
      <c r="W32" s="755">
        <v>0</v>
      </c>
      <c r="X32" s="784"/>
      <c r="Y32" s="755">
        <v>0</v>
      </c>
      <c r="Z32" s="787"/>
      <c r="AA32" s="852">
        <v>67340797</v>
      </c>
      <c r="AC32" s="828" t="s">
        <v>4638</v>
      </c>
      <c r="AD32" s="782"/>
      <c r="AE32" s="755">
        <v>21202</v>
      </c>
      <c r="AF32" s="863"/>
      <c r="AG32" s="864">
        <v>-27151</v>
      </c>
    </row>
    <row r="33" spans="2:33" ht="15.5">
      <c r="B33" s="768"/>
      <c r="C33" s="783"/>
      <c r="D33" s="783"/>
      <c r="E33" s="788"/>
      <c r="F33" s="788"/>
      <c r="G33" s="807"/>
      <c r="H33" s="788"/>
      <c r="I33" s="772"/>
      <c r="K33" s="776"/>
      <c r="L33" s="784"/>
      <c r="M33" s="788"/>
      <c r="N33" s="788"/>
      <c r="O33" s="753"/>
      <c r="P33" s="788"/>
      <c r="Q33" s="813"/>
      <c r="R33" s="788"/>
      <c r="S33" s="768"/>
      <c r="T33" s="783"/>
      <c r="U33" s="786"/>
      <c r="V33" s="783"/>
      <c r="W33" s="786"/>
      <c r="X33" s="784"/>
      <c r="Y33" s="786"/>
      <c r="Z33" s="787"/>
      <c r="AA33" s="846"/>
      <c r="AC33" s="768" t="s">
        <v>4648</v>
      </c>
      <c r="AD33" s="783"/>
      <c r="AE33" s="762">
        <v>2991144.7114615981</v>
      </c>
      <c r="AF33" s="788"/>
      <c r="AG33" s="868">
        <v>12475402</v>
      </c>
    </row>
    <row r="34" spans="2:33" ht="16" thickBot="1">
      <c r="B34" s="776" t="s">
        <v>27</v>
      </c>
      <c r="C34" s="784"/>
      <c r="D34" s="784"/>
      <c r="E34" s="788"/>
      <c r="F34" s="788"/>
      <c r="G34" s="773">
        <v>178388843</v>
      </c>
      <c r="H34" s="788"/>
      <c r="I34" s="819">
        <v>173626037</v>
      </c>
      <c r="K34" s="768" t="s">
        <v>4631</v>
      </c>
      <c r="L34" s="784"/>
      <c r="M34" s="788"/>
      <c r="N34" s="788"/>
      <c r="O34" s="753">
        <v>8249226.2114615962</v>
      </c>
      <c r="P34" s="788"/>
      <c r="Q34" s="813">
        <v>4699462.9107840005</v>
      </c>
      <c r="R34" s="788"/>
      <c r="S34" s="768"/>
      <c r="T34" s="783"/>
      <c r="U34" s="761"/>
      <c r="V34" s="783"/>
      <c r="W34" s="751"/>
      <c r="X34" s="792"/>
      <c r="Y34" s="778"/>
      <c r="Z34" s="787"/>
      <c r="AA34" s="854"/>
      <c r="AC34" s="768" t="s">
        <v>4641</v>
      </c>
      <c r="AD34" s="783"/>
      <c r="AE34" s="762">
        <v>154282</v>
      </c>
      <c r="AF34" s="788"/>
      <c r="AG34" s="868">
        <v>0</v>
      </c>
    </row>
    <row r="35" spans="2:33" ht="16.5" thickTop="1" thickBot="1">
      <c r="B35" s="776"/>
      <c r="C35" s="784"/>
      <c r="D35" s="784"/>
      <c r="E35" s="788"/>
      <c r="F35" s="788"/>
      <c r="G35" s="807"/>
      <c r="H35" s="788"/>
      <c r="I35" s="772"/>
      <c r="K35" s="768" t="s">
        <v>472</v>
      </c>
      <c r="L35" s="784"/>
      <c r="M35" s="788"/>
      <c r="N35" s="788"/>
      <c r="O35" s="762">
        <v>4795542</v>
      </c>
      <c r="P35" s="788"/>
      <c r="Q35" s="813">
        <v>7076865</v>
      </c>
      <c r="R35" s="788"/>
      <c r="S35" s="840" t="s">
        <v>4646</v>
      </c>
      <c r="T35" s="783"/>
      <c r="U35" s="779">
        <v>123771210</v>
      </c>
      <c r="V35" s="750">
        <v>0</v>
      </c>
      <c r="W35" s="779">
        <v>0</v>
      </c>
      <c r="X35" s="750"/>
      <c r="Y35" s="780">
        <v>-101791996</v>
      </c>
      <c r="Z35" s="750">
        <v>0</v>
      </c>
      <c r="AA35" s="855">
        <v>21979214</v>
      </c>
      <c r="AC35" s="828" t="s">
        <v>4600</v>
      </c>
      <c r="AD35" s="782"/>
      <c r="AE35" s="759">
        <v>-2974756</v>
      </c>
      <c r="AF35" s="863"/>
      <c r="AG35" s="854">
        <v>16310576</v>
      </c>
    </row>
    <row r="36" spans="2:33" ht="16" thickTop="1">
      <c r="B36" s="776" t="s">
        <v>50</v>
      </c>
      <c r="C36" s="784"/>
      <c r="D36" s="808"/>
      <c r="E36" s="788"/>
      <c r="F36" s="788"/>
      <c r="G36" s="807"/>
      <c r="H36" s="788"/>
      <c r="I36" s="772"/>
      <c r="K36" s="776"/>
      <c r="L36" s="784"/>
      <c r="M36" s="788"/>
      <c r="N36" s="788"/>
      <c r="O36" s="753"/>
      <c r="P36" s="788"/>
      <c r="Q36" s="831"/>
      <c r="R36" s="788"/>
      <c r="S36" s="776"/>
      <c r="T36" s="783"/>
      <c r="U36" s="783"/>
      <c r="V36" s="783"/>
      <c r="W36" s="783"/>
      <c r="X36" s="783"/>
      <c r="Y36" s="800"/>
      <c r="Z36" s="783"/>
      <c r="AA36" s="852"/>
      <c r="AC36" s="828"/>
      <c r="AD36" s="782"/>
      <c r="AE36" s="784"/>
      <c r="AF36" s="788"/>
      <c r="AG36" s="861"/>
    </row>
    <row r="37" spans="2:33" ht="15.5">
      <c r="B37" s="768" t="s">
        <v>3382</v>
      </c>
      <c r="C37" s="800"/>
      <c r="D37" s="783"/>
      <c r="E37" s="788"/>
      <c r="F37" s="788"/>
      <c r="G37" s="762">
        <v>80286038</v>
      </c>
      <c r="H37" s="788"/>
      <c r="I37" s="815">
        <v>61869931</v>
      </c>
      <c r="K37" s="776" t="s">
        <v>3404</v>
      </c>
      <c r="L37" s="784"/>
      <c r="M37" s="788"/>
      <c r="N37" s="788"/>
      <c r="O37" s="762">
        <v>13044768.211461596</v>
      </c>
      <c r="P37" s="788"/>
      <c r="Q37" s="813">
        <v>11776327.910784001</v>
      </c>
      <c r="R37" s="788"/>
      <c r="S37" s="768"/>
      <c r="T37" s="783"/>
      <c r="U37" s="783"/>
      <c r="V37" s="783"/>
      <c r="W37" s="783"/>
      <c r="X37" s="783"/>
      <c r="Y37" s="786"/>
      <c r="Z37" s="783"/>
      <c r="AA37" s="852"/>
      <c r="AC37" s="811" t="s">
        <v>3044</v>
      </c>
      <c r="AD37" s="790"/>
      <c r="AE37" s="784"/>
      <c r="AF37" s="788"/>
      <c r="AG37" s="861"/>
    </row>
    <row r="38" spans="2:33" ht="15.5">
      <c r="B38" s="768" t="s">
        <v>3383</v>
      </c>
      <c r="C38" s="800"/>
      <c r="D38" s="783"/>
      <c r="E38" s="788"/>
      <c r="F38" s="788"/>
      <c r="G38" s="762">
        <v>15768493</v>
      </c>
      <c r="H38" s="788"/>
      <c r="I38" s="815">
        <v>12898184</v>
      </c>
      <c r="K38" s="776"/>
      <c r="L38" s="784"/>
      <c r="M38" s="788"/>
      <c r="N38" s="788"/>
      <c r="O38" s="753"/>
      <c r="P38" s="788"/>
      <c r="Q38" s="813"/>
      <c r="R38" s="788"/>
      <c r="S38" s="768"/>
      <c r="T38" s="783"/>
      <c r="U38" s="783"/>
      <c r="V38" s="783"/>
      <c r="W38" s="783"/>
      <c r="X38" s="783"/>
      <c r="Y38" s="786"/>
      <c r="Z38" s="783"/>
      <c r="AA38" s="856"/>
      <c r="AC38" s="811" t="s">
        <v>3045</v>
      </c>
      <c r="AD38" s="790"/>
      <c r="AE38" s="762">
        <v>39146957.20148284</v>
      </c>
      <c r="AF38" s="788"/>
      <c r="AG38" s="864">
        <v>41784114</v>
      </c>
    </row>
    <row r="39" spans="2:33" ht="15.5">
      <c r="B39" s="768" t="s">
        <v>25</v>
      </c>
      <c r="C39" s="800"/>
      <c r="D39" s="783"/>
      <c r="E39" s="788"/>
      <c r="F39" s="788"/>
      <c r="G39" s="762">
        <v>25220916</v>
      </c>
      <c r="H39" s="788"/>
      <c r="I39" s="815">
        <v>25242424</v>
      </c>
      <c r="K39" s="776" t="s">
        <v>1927</v>
      </c>
      <c r="L39" s="784"/>
      <c r="M39" s="788"/>
      <c r="N39" s="788"/>
      <c r="O39" s="762">
        <v>74219378.157904446</v>
      </c>
      <c r="P39" s="788"/>
      <c r="Q39" s="815">
        <v>40305288.154229201</v>
      </c>
      <c r="R39" s="788"/>
      <c r="S39" s="776" t="s">
        <v>4654</v>
      </c>
      <c r="T39" s="783"/>
      <c r="U39" s="857">
        <v>123771210</v>
      </c>
      <c r="V39" s="857">
        <v>0</v>
      </c>
      <c r="W39" s="857">
        <v>0</v>
      </c>
      <c r="X39" s="857">
        <v>0</v>
      </c>
      <c r="Y39" s="793">
        <v>-101791996</v>
      </c>
      <c r="Z39" s="857">
        <v>0</v>
      </c>
      <c r="AA39" s="852">
        <v>21979214</v>
      </c>
      <c r="AC39" s="828"/>
      <c r="AD39" s="782"/>
      <c r="AE39" s="762"/>
      <c r="AF39" s="788"/>
      <c r="AG39" s="861"/>
    </row>
    <row r="40" spans="2:33" ht="15.5">
      <c r="B40" s="768" t="s">
        <v>4314</v>
      </c>
      <c r="C40" s="800"/>
      <c r="D40" s="783"/>
      <c r="E40" s="788"/>
      <c r="F40" s="788"/>
      <c r="G40" s="753">
        <v>0</v>
      </c>
      <c r="H40" s="788"/>
      <c r="I40" s="817">
        <v>0</v>
      </c>
      <c r="K40" s="776"/>
      <c r="L40" s="784"/>
      <c r="M40" s="788"/>
      <c r="N40" s="788"/>
      <c r="O40" s="753"/>
      <c r="P40" s="788"/>
      <c r="Q40" s="813"/>
      <c r="R40" s="788"/>
      <c r="S40" s="776"/>
      <c r="T40" s="783"/>
      <c r="U40" s="858"/>
      <c r="V40" s="858"/>
      <c r="W40" s="858"/>
      <c r="X40" s="858"/>
      <c r="Y40" s="800"/>
      <c r="Z40" s="858"/>
      <c r="AA40" s="859"/>
      <c r="AC40" s="828" t="s">
        <v>4639</v>
      </c>
      <c r="AD40" s="782"/>
      <c r="AE40" s="799">
        <v>-2314058</v>
      </c>
      <c r="AF40" s="788"/>
      <c r="AG40" s="772">
        <v>68891</v>
      </c>
    </row>
    <row r="41" spans="2:33" ht="15.5">
      <c r="B41" s="768" t="s">
        <v>4544</v>
      </c>
      <c r="C41" s="800"/>
      <c r="D41" s="783"/>
      <c r="E41" s="788"/>
      <c r="F41" s="788"/>
      <c r="G41" s="753">
        <v>4395426</v>
      </c>
      <c r="H41" s="788"/>
      <c r="I41" s="817">
        <v>3002615</v>
      </c>
      <c r="K41" s="768" t="s">
        <v>3362</v>
      </c>
      <c r="L41" s="784"/>
      <c r="M41" s="788"/>
      <c r="N41" s="788"/>
      <c r="O41" s="753">
        <v>-65015647.233830772</v>
      </c>
      <c r="P41" s="788"/>
      <c r="Q41" s="813">
        <v>-57077328.638926819</v>
      </c>
      <c r="R41" s="788"/>
      <c r="S41" s="768" t="s">
        <v>4657</v>
      </c>
      <c r="T41" s="783"/>
      <c r="U41" s="905" t="s">
        <v>31</v>
      </c>
      <c r="V41" s="788"/>
      <c r="W41" s="906">
        <v>0</v>
      </c>
      <c r="X41" s="788"/>
      <c r="Y41" s="905">
        <v>0</v>
      </c>
      <c r="Z41" s="905"/>
      <c r="AA41" s="902">
        <v>0</v>
      </c>
      <c r="AC41" s="828" t="s">
        <v>4601</v>
      </c>
      <c r="AD41" s="782"/>
      <c r="AE41" s="762">
        <v>-44848631.850000069</v>
      </c>
      <c r="AF41" s="788"/>
      <c r="AG41" s="772">
        <v>-10485960.580029411</v>
      </c>
    </row>
    <row r="42" spans="2:33" ht="15.5">
      <c r="B42" s="768" t="s">
        <v>455</v>
      </c>
      <c r="C42" s="800"/>
      <c r="D42" s="783"/>
      <c r="E42" s="788"/>
      <c r="F42" s="788"/>
      <c r="G42" s="763">
        <v>22048500</v>
      </c>
      <c r="H42" s="788"/>
      <c r="I42" s="815">
        <v>48633669</v>
      </c>
      <c r="K42" s="768" t="s">
        <v>4576</v>
      </c>
      <c r="L42" s="784"/>
      <c r="M42" s="788"/>
      <c r="N42" s="788"/>
      <c r="O42" s="753">
        <v>-513473.55</v>
      </c>
      <c r="P42" s="788"/>
      <c r="Q42" s="835">
        <v>-614667.77</v>
      </c>
      <c r="R42" s="788"/>
      <c r="S42" s="768"/>
      <c r="T42" s="783"/>
      <c r="U42" s="905"/>
      <c r="V42" s="788"/>
      <c r="W42" s="905"/>
      <c r="X42" s="788"/>
      <c r="Y42" s="905"/>
      <c r="Z42" s="905"/>
      <c r="AA42" s="902"/>
      <c r="AC42" s="828" t="s">
        <v>4649</v>
      </c>
      <c r="AD42" s="782"/>
      <c r="AE42" s="762">
        <v>18416107</v>
      </c>
      <c r="AF42" s="788"/>
      <c r="AG42" s="864">
        <v>16402983</v>
      </c>
    </row>
    <row r="43" spans="2:33" ht="15.5">
      <c r="B43" s="768"/>
      <c r="C43" s="783"/>
      <c r="D43" s="783"/>
      <c r="E43" s="788"/>
      <c r="F43" s="788"/>
      <c r="G43" s="807"/>
      <c r="H43" s="788"/>
      <c r="I43" s="820"/>
      <c r="K43" s="776"/>
      <c r="L43" s="784"/>
      <c r="M43" s="788"/>
      <c r="N43" s="788"/>
      <c r="O43" s="753"/>
      <c r="P43" s="788"/>
      <c r="Q43" s="813"/>
      <c r="R43" s="788"/>
      <c r="S43" s="768" t="s">
        <v>4603</v>
      </c>
      <c r="T43" s="783"/>
      <c r="U43" s="906"/>
      <c r="V43" s="788"/>
      <c r="W43" s="906">
        <v>0</v>
      </c>
      <c r="X43" s="788"/>
      <c r="Y43" s="906"/>
      <c r="Z43" s="905"/>
      <c r="AA43" s="907">
        <v>0</v>
      </c>
      <c r="AC43" s="828" t="s">
        <v>4593</v>
      </c>
      <c r="AD43" s="782"/>
      <c r="AE43" s="762">
        <v>2870308.7238095254</v>
      </c>
      <c r="AF43" s="788"/>
      <c r="AG43" s="864">
        <v>-8876513.0350000039</v>
      </c>
    </row>
    <row r="44" spans="2:33" ht="15.5">
      <c r="B44" s="776" t="s">
        <v>94</v>
      </c>
      <c r="C44" s="784"/>
      <c r="D44" s="808"/>
      <c r="E44" s="788"/>
      <c r="F44" s="788"/>
      <c r="G44" s="763">
        <v>147719373</v>
      </c>
      <c r="H44" s="788"/>
      <c r="I44" s="818">
        <v>151646823</v>
      </c>
      <c r="K44" s="776" t="s">
        <v>4547</v>
      </c>
      <c r="L44" s="784"/>
      <c r="M44" s="788"/>
      <c r="N44" s="788"/>
      <c r="O44" s="753">
        <v>8690257.374073673</v>
      </c>
      <c r="P44" s="788"/>
      <c r="Q44" s="813">
        <v>-17386708.254697617</v>
      </c>
      <c r="R44" s="788"/>
      <c r="S44" s="768"/>
      <c r="T44" s="783"/>
      <c r="U44" s="905"/>
      <c r="V44" s="788"/>
      <c r="W44" s="906"/>
      <c r="X44" s="906"/>
      <c r="Y44" s="906"/>
      <c r="Z44" s="900"/>
      <c r="AA44" s="901"/>
      <c r="AC44" s="828" t="s">
        <v>4635</v>
      </c>
      <c r="AD44" s="782"/>
      <c r="AE44" s="762">
        <v>3439906</v>
      </c>
      <c r="AF44" s="788"/>
      <c r="AG44" s="864">
        <v>483284</v>
      </c>
    </row>
    <row r="45" spans="2:33" ht="15.5">
      <c r="B45" s="776"/>
      <c r="C45" s="784"/>
      <c r="D45" s="808"/>
      <c r="E45" s="788"/>
      <c r="F45" s="788"/>
      <c r="G45" s="753"/>
      <c r="H45" s="788"/>
      <c r="I45" s="772"/>
      <c r="K45" s="768"/>
      <c r="L45" s="784"/>
      <c r="M45" s="788"/>
      <c r="N45" s="788"/>
      <c r="O45" s="753"/>
      <c r="P45" s="788"/>
      <c r="Q45" s="813"/>
      <c r="R45" s="788"/>
      <c r="S45" s="768" t="s">
        <v>4640</v>
      </c>
      <c r="T45" s="783"/>
      <c r="U45" s="908"/>
      <c r="V45" s="788"/>
      <c r="W45" s="909">
        <v>0</v>
      </c>
      <c r="X45" s="906"/>
      <c r="Y45" s="909">
        <v>0</v>
      </c>
      <c r="Z45" s="900"/>
      <c r="AA45" s="910">
        <v>0</v>
      </c>
      <c r="AC45" s="828" t="s">
        <v>4594</v>
      </c>
      <c r="AD45" s="782"/>
      <c r="AE45" s="763">
        <v>2169825</v>
      </c>
      <c r="AF45" s="788"/>
      <c r="AG45" s="854">
        <v>-12292115</v>
      </c>
    </row>
    <row r="46" spans="2:33" ht="15.5">
      <c r="B46" s="776" t="s">
        <v>3381</v>
      </c>
      <c r="C46" s="784"/>
      <c r="D46" s="808"/>
      <c r="E46" s="788"/>
      <c r="F46" s="788"/>
      <c r="G46" s="807"/>
      <c r="H46" s="788"/>
      <c r="I46" s="772"/>
      <c r="K46" s="768" t="s">
        <v>4616</v>
      </c>
      <c r="L46" s="784"/>
      <c r="M46" s="788"/>
      <c r="N46" s="788"/>
      <c r="O46" s="753">
        <v>0</v>
      </c>
      <c r="P46" s="788"/>
      <c r="Q46" s="813">
        <v>0</v>
      </c>
      <c r="R46" s="788"/>
      <c r="S46" s="776"/>
      <c r="T46" s="783"/>
      <c r="U46" s="905"/>
      <c r="V46" s="788"/>
      <c r="W46" s="905"/>
      <c r="X46" s="788"/>
      <c r="Y46" s="905"/>
      <c r="Z46" s="905"/>
      <c r="AA46" s="911"/>
      <c r="AC46" s="828"/>
      <c r="AD46" s="782"/>
      <c r="AE46" s="762"/>
      <c r="AF46" s="788"/>
      <c r="AG46" s="861"/>
    </row>
    <row r="47" spans="2:33" ht="16" thickBot="1">
      <c r="B47" s="768" t="s">
        <v>317</v>
      </c>
      <c r="C47" s="783"/>
      <c r="D47" s="783"/>
      <c r="E47" s="788"/>
      <c r="F47" s="788"/>
      <c r="G47" s="762">
        <v>123771210</v>
      </c>
      <c r="H47" s="788"/>
      <c r="I47" s="815">
        <v>123771210</v>
      </c>
      <c r="K47" s="776"/>
      <c r="L47" s="784"/>
      <c r="M47" s="788"/>
      <c r="N47" s="788"/>
      <c r="O47" s="753"/>
      <c r="P47" s="788"/>
      <c r="Q47" s="813"/>
      <c r="R47" s="788"/>
      <c r="S47" s="776" t="s">
        <v>4655</v>
      </c>
      <c r="T47" s="783"/>
      <c r="U47" s="758">
        <v>123771210</v>
      </c>
      <c r="V47" s="784"/>
      <c r="W47" s="766">
        <v>0</v>
      </c>
      <c r="X47" s="784"/>
      <c r="Y47" s="767">
        <v>-101791996</v>
      </c>
      <c r="Z47" s="787"/>
      <c r="AA47" s="860">
        <v>21979214</v>
      </c>
      <c r="AC47" s="811" t="s">
        <v>4595</v>
      </c>
      <c r="AD47" s="790"/>
      <c r="AE47" s="762">
        <v>18880414.075292297</v>
      </c>
      <c r="AF47" s="788"/>
      <c r="AG47" s="864">
        <v>27084683.384970583</v>
      </c>
    </row>
    <row r="48" spans="2:33" ht="16.5" thickTop="1" thickBot="1">
      <c r="B48" s="768"/>
      <c r="C48" s="783"/>
      <c r="D48" s="783"/>
      <c r="E48" s="788"/>
      <c r="F48" s="788"/>
      <c r="G48" s="809"/>
      <c r="H48" s="788"/>
      <c r="I48" s="815"/>
      <c r="K48" s="776" t="s">
        <v>4662</v>
      </c>
      <c r="L48" s="784"/>
      <c r="M48" s="788"/>
      <c r="N48" s="788"/>
      <c r="O48" s="773">
        <v>8690257.374073673</v>
      </c>
      <c r="P48" s="788"/>
      <c r="Q48" s="899">
        <v>-17386708.254697617</v>
      </c>
      <c r="R48" s="788"/>
      <c r="S48" s="776"/>
      <c r="T48" s="783"/>
      <c r="U48" s="786"/>
      <c r="V48" s="783"/>
      <c r="W48" s="786"/>
      <c r="X48" s="783"/>
      <c r="Y48" s="786"/>
      <c r="Z48" s="786"/>
      <c r="AA48" s="770"/>
      <c r="AC48" s="811"/>
      <c r="AD48" s="790"/>
      <c r="AE48" s="762"/>
      <c r="AF48" s="788"/>
      <c r="AG48" s="864"/>
    </row>
    <row r="49" spans="2:33" ht="16" thickTop="1">
      <c r="B49" s="768" t="s">
        <v>4579</v>
      </c>
      <c r="C49" s="783"/>
      <c r="D49" s="783"/>
      <c r="E49" s="788"/>
      <c r="F49" s="788"/>
      <c r="G49" s="774">
        <v>-93101739</v>
      </c>
      <c r="H49" s="783"/>
      <c r="I49" s="818">
        <v>-101791996</v>
      </c>
      <c r="K49" s="776"/>
      <c r="L49" s="784"/>
      <c r="M49" s="788"/>
      <c r="N49" s="788"/>
      <c r="O49" s="753"/>
      <c r="P49" s="788"/>
      <c r="Q49" s="813"/>
      <c r="R49" s="788"/>
      <c r="S49" s="940"/>
      <c r="T49" s="941"/>
      <c r="U49" s="941"/>
      <c r="V49" s="941"/>
      <c r="W49" s="941"/>
      <c r="X49" s="941"/>
      <c r="Y49" s="941"/>
      <c r="Z49" s="941"/>
      <c r="AA49" s="942"/>
      <c r="AC49" s="828" t="s">
        <v>34</v>
      </c>
      <c r="AD49" s="782"/>
      <c r="AE49" s="869">
        <v>-6191.0100000000093</v>
      </c>
      <c r="AF49" s="788"/>
      <c r="AG49" s="861">
        <v>-1278410.8900000001</v>
      </c>
    </row>
    <row r="50" spans="2:33" ht="15.5">
      <c r="B50" s="768"/>
      <c r="C50" s="783"/>
      <c r="D50" s="783"/>
      <c r="E50" s="788"/>
      <c r="F50" s="788"/>
      <c r="G50" s="807"/>
      <c r="H50" s="788"/>
      <c r="I50" s="772"/>
      <c r="K50" s="836"/>
      <c r="L50" s="827"/>
      <c r="M50" s="827"/>
      <c r="N50" s="827"/>
      <c r="O50" s="827"/>
      <c r="P50" s="827"/>
      <c r="Q50" s="837"/>
      <c r="R50" s="827"/>
      <c r="S50" s="887"/>
      <c r="T50" s="888"/>
      <c r="U50" s="888"/>
      <c r="V50" s="781"/>
      <c r="W50" s="888"/>
      <c r="X50" s="781"/>
      <c r="Y50" s="889"/>
      <c r="Z50" s="888"/>
      <c r="AA50" s="890"/>
      <c r="AC50" s="828" t="s">
        <v>30</v>
      </c>
      <c r="AD50" s="782"/>
      <c r="AE50" s="763">
        <v>-17643745</v>
      </c>
      <c r="AF50" s="788"/>
      <c r="AG50" s="772">
        <v>-29193701</v>
      </c>
    </row>
    <row r="51" spans="2:33" ht="15.5">
      <c r="B51" s="776" t="s">
        <v>92</v>
      </c>
      <c r="C51" s="784"/>
      <c r="D51" s="808"/>
      <c r="E51" s="788"/>
      <c r="F51" s="788"/>
      <c r="G51" s="763">
        <v>30669471</v>
      </c>
      <c r="H51" s="788"/>
      <c r="I51" s="818">
        <v>21979214</v>
      </c>
      <c r="K51" s="838"/>
      <c r="L51" s="794"/>
      <c r="M51" s="795"/>
      <c r="N51" s="795"/>
      <c r="O51" s="777"/>
      <c r="P51" s="795"/>
      <c r="Q51" s="839"/>
      <c r="R51" s="795"/>
      <c r="S51" s="369"/>
      <c r="T51" s="803"/>
      <c r="U51" s="803"/>
      <c r="V51" s="803"/>
      <c r="W51" s="803"/>
      <c r="X51" s="803"/>
      <c r="Y51" s="803"/>
      <c r="Z51" s="803"/>
      <c r="AA51" s="368"/>
      <c r="AC51" s="811"/>
      <c r="AD51" s="790"/>
      <c r="AE51" s="762"/>
      <c r="AF51" s="788"/>
      <c r="AG51" s="862"/>
    </row>
    <row r="52" spans="2:33" ht="15.5">
      <c r="B52" s="776"/>
      <c r="C52" s="784"/>
      <c r="D52" s="808"/>
      <c r="E52" s="788"/>
      <c r="F52" s="788"/>
      <c r="G52" s="807"/>
      <c r="H52" s="788"/>
      <c r="I52" s="772"/>
      <c r="K52" s="840"/>
      <c r="L52" s="796"/>
      <c r="M52" s="797"/>
      <c r="N52" s="797"/>
      <c r="O52" s="798"/>
      <c r="P52" s="797"/>
      <c r="Q52" s="841"/>
      <c r="R52" s="797"/>
      <c r="S52" s="369"/>
      <c r="T52" s="803"/>
      <c r="U52" s="803"/>
      <c r="V52" s="803"/>
      <c r="W52" s="803"/>
      <c r="X52" s="803"/>
      <c r="Y52" s="803"/>
      <c r="Z52" s="803"/>
      <c r="AA52" s="368"/>
      <c r="AC52" s="948" t="s">
        <v>4652</v>
      </c>
      <c r="AD52" s="949"/>
      <c r="AE52" s="763">
        <v>1230478.0652922951</v>
      </c>
      <c r="AF52" s="788"/>
      <c r="AG52" s="870">
        <v>-3387428.5050294176</v>
      </c>
    </row>
    <row r="53" spans="2:33" ht="16" thickBot="1">
      <c r="B53" s="776" t="s">
        <v>0</v>
      </c>
      <c r="C53" s="784"/>
      <c r="D53" s="808"/>
      <c r="E53" s="788"/>
      <c r="F53" s="788"/>
      <c r="G53" s="773">
        <v>178388844</v>
      </c>
      <c r="H53" s="788"/>
      <c r="I53" s="819">
        <v>173626037</v>
      </c>
      <c r="K53" s="369"/>
      <c r="L53" s="803"/>
      <c r="M53" s="803"/>
      <c r="N53" s="803"/>
      <c r="O53" s="803"/>
      <c r="P53" s="803"/>
      <c r="Q53" s="368"/>
      <c r="S53" s="369"/>
      <c r="T53" s="803"/>
      <c r="U53" s="803"/>
      <c r="V53" s="803"/>
      <c r="W53" s="803"/>
      <c r="X53" s="803"/>
      <c r="Y53" s="803"/>
      <c r="Z53" s="803"/>
      <c r="AA53" s="368"/>
      <c r="AC53" s="811"/>
      <c r="AD53" s="790"/>
      <c r="AE53" s="762"/>
      <c r="AF53" s="788"/>
      <c r="AG53" s="861"/>
    </row>
    <row r="54" spans="2:33" ht="16.5" thickTop="1" thickBot="1">
      <c r="B54" s="821"/>
      <c r="C54" s="822"/>
      <c r="D54" s="822"/>
      <c r="E54" s="823"/>
      <c r="F54" s="823"/>
      <c r="G54" s="824"/>
      <c r="H54" s="823"/>
      <c r="I54" s="825"/>
      <c r="K54" s="371"/>
      <c r="L54" s="372"/>
      <c r="M54" s="372"/>
      <c r="N54" s="372"/>
      <c r="O54" s="372"/>
      <c r="P54" s="372"/>
      <c r="Q54" s="373"/>
      <c r="S54" s="371"/>
      <c r="T54" s="372"/>
      <c r="U54" s="372"/>
      <c r="V54" s="372"/>
      <c r="W54" s="372"/>
      <c r="X54" s="372"/>
      <c r="Y54" s="372"/>
      <c r="Z54" s="372"/>
      <c r="AA54" s="373"/>
      <c r="AC54" s="811" t="s">
        <v>84</v>
      </c>
      <c r="AD54" s="790"/>
      <c r="AE54" s="762"/>
      <c r="AF54" s="788"/>
      <c r="AG54" s="861"/>
    </row>
    <row r="55" spans="2:33" ht="15.5">
      <c r="B55" s="938"/>
      <c r="C55" s="938"/>
      <c r="D55" s="938"/>
      <c r="E55" s="938"/>
      <c r="F55" s="938"/>
      <c r="G55" s="938"/>
      <c r="H55" s="938"/>
      <c r="I55" s="938"/>
      <c r="AC55" s="768" t="s">
        <v>4656</v>
      </c>
      <c r="AD55" s="783"/>
      <c r="AE55" s="762">
        <v>-2345588</v>
      </c>
      <c r="AF55" s="788"/>
      <c r="AG55" s="868">
        <v>-2172126</v>
      </c>
    </row>
    <row r="56" spans="2:33" ht="15.5">
      <c r="B56" s="747"/>
      <c r="C56" s="747"/>
      <c r="D56" s="747"/>
      <c r="E56" s="747"/>
      <c r="F56" s="747"/>
      <c r="G56" s="760"/>
      <c r="H56" s="747"/>
      <c r="I56" s="747"/>
      <c r="AC56" s="768" t="s">
        <v>4634</v>
      </c>
      <c r="AD56" s="783"/>
      <c r="AE56" s="762">
        <v>0</v>
      </c>
      <c r="AF56" s="788"/>
      <c r="AG56" s="868">
        <v>17472.68</v>
      </c>
    </row>
    <row r="57" spans="2:33" ht="20">
      <c r="B57" s="903"/>
      <c r="H57" s="903"/>
      <c r="AC57" s="768" t="s">
        <v>4562</v>
      </c>
      <c r="AD57" s="783"/>
      <c r="AE57" s="763">
        <v>0</v>
      </c>
      <c r="AF57" s="788"/>
      <c r="AG57" s="868">
        <v>0</v>
      </c>
    </row>
    <row r="58" spans="2:33" ht="18">
      <c r="B58" s="904"/>
      <c r="H58" s="904"/>
      <c r="AC58" s="768"/>
      <c r="AD58" s="783"/>
      <c r="AE58" s="762"/>
      <c r="AF58" s="788"/>
      <c r="AG58" s="871"/>
    </row>
    <row r="59" spans="2:33" ht="15.5">
      <c r="B59" s="748"/>
      <c r="C59" s="748"/>
      <c r="D59" s="748"/>
      <c r="E59" s="754"/>
      <c r="F59" s="754"/>
      <c r="G59" s="757"/>
      <c r="H59" s="754"/>
      <c r="I59" s="746"/>
      <c r="AC59" s="811" t="s">
        <v>85</v>
      </c>
      <c r="AD59" s="790"/>
      <c r="AE59" s="763">
        <v>-2345588</v>
      </c>
      <c r="AF59" s="788"/>
      <c r="AG59" s="872">
        <v>-2154653.3199999998</v>
      </c>
    </row>
    <row r="60" spans="2:33" ht="15.5">
      <c r="AC60" s="776"/>
      <c r="AD60" s="784"/>
      <c r="AE60" s="784"/>
      <c r="AF60" s="788"/>
      <c r="AG60" s="868"/>
    </row>
    <row r="61" spans="2:33" ht="15.5">
      <c r="AC61" s="811" t="s">
        <v>5</v>
      </c>
      <c r="AD61" s="790"/>
      <c r="AE61" s="784"/>
      <c r="AF61" s="788"/>
      <c r="AG61" s="868"/>
    </row>
    <row r="62" spans="2:33" ht="15.5">
      <c r="AC62" s="768" t="s">
        <v>88</v>
      </c>
      <c r="AD62" s="783"/>
      <c r="AE62" s="762">
        <v>-25556708.890000001</v>
      </c>
      <c r="AF62" s="788"/>
      <c r="AG62" s="868">
        <v>-18711768.652491152</v>
      </c>
    </row>
    <row r="63" spans="2:33" ht="15.5">
      <c r="AC63" s="768" t="s">
        <v>4643</v>
      </c>
      <c r="AD63" s="783"/>
      <c r="AE63" s="762">
        <v>0</v>
      </c>
      <c r="AF63" s="788"/>
      <c r="AG63" s="868">
        <v>0</v>
      </c>
    </row>
    <row r="64" spans="2:33" ht="15.5">
      <c r="AC64" s="768" t="s">
        <v>4642</v>
      </c>
      <c r="AD64" s="783"/>
      <c r="AE64" s="762">
        <v>0</v>
      </c>
      <c r="AF64" s="788"/>
      <c r="AG64" s="868">
        <v>21525521</v>
      </c>
    </row>
    <row r="65" spans="2:33" ht="15.5">
      <c r="AC65" s="768" t="s">
        <v>4636</v>
      </c>
      <c r="AD65" s="783"/>
      <c r="AE65" s="762">
        <v>0</v>
      </c>
      <c r="AF65" s="788"/>
      <c r="AG65" s="868">
        <v>-21525521</v>
      </c>
    </row>
    <row r="66" spans="2:33" ht="15.5">
      <c r="AC66" s="768" t="s">
        <v>4563</v>
      </c>
      <c r="AD66" s="783"/>
      <c r="AE66" s="762">
        <v>-2688748.46</v>
      </c>
      <c r="AF66" s="788"/>
      <c r="AG66" s="868">
        <v>-2688748.46</v>
      </c>
    </row>
    <row r="67" spans="2:33" ht="15.5">
      <c r="AC67" s="768" t="s">
        <v>4316</v>
      </c>
      <c r="AD67" s="783"/>
      <c r="AE67" s="762">
        <v>0</v>
      </c>
      <c r="AF67" s="788"/>
      <c r="AG67" s="864">
        <v>31055276</v>
      </c>
    </row>
    <row r="68" spans="2:33" ht="15.5">
      <c r="AC68" s="768"/>
      <c r="AD68" s="783"/>
      <c r="AE68" s="756"/>
      <c r="AF68" s="788"/>
      <c r="AG68" s="873"/>
    </row>
    <row r="69" spans="2:33" ht="15.5">
      <c r="AC69" s="811" t="s">
        <v>4651</v>
      </c>
      <c r="AD69" s="790"/>
      <c r="AE69" s="764">
        <v>-28245457.350000001</v>
      </c>
      <c r="AF69" s="788"/>
      <c r="AG69" s="874">
        <v>9654758.8875088468</v>
      </c>
    </row>
    <row r="70" spans="2:33" ht="15.5">
      <c r="AC70" s="811"/>
      <c r="AD70" s="790"/>
      <c r="AE70" s="784"/>
      <c r="AF70" s="788"/>
      <c r="AG70" s="868"/>
    </row>
    <row r="71" spans="2:33" ht="15.5">
      <c r="AC71" s="811" t="s">
        <v>4564</v>
      </c>
      <c r="AD71" s="790"/>
      <c r="AE71" s="799">
        <v>-29360567.284707706</v>
      </c>
      <c r="AF71" s="752"/>
      <c r="AG71" s="772">
        <v>4112677.0624794289</v>
      </c>
    </row>
    <row r="72" spans="2:33" ht="15.5">
      <c r="AC72" s="875" t="s">
        <v>4630</v>
      </c>
      <c r="AD72" s="790"/>
      <c r="AE72" s="799">
        <v>-2681538.1543215602</v>
      </c>
      <c r="AF72" s="752"/>
      <c r="AG72" s="772">
        <v>7636943</v>
      </c>
    </row>
    <row r="73" spans="2:33" ht="15.5">
      <c r="AC73" s="768" t="s">
        <v>3048</v>
      </c>
      <c r="AD73" s="783"/>
      <c r="AE73" s="784"/>
      <c r="AF73" s="788"/>
      <c r="AG73" s="868"/>
    </row>
    <row r="74" spans="2:33" ht="20">
      <c r="B74" s="903" t="s">
        <v>4675</v>
      </c>
      <c r="H74" s="903" t="s">
        <v>4677</v>
      </c>
      <c r="AC74" s="883" t="s">
        <v>3049</v>
      </c>
      <c r="AD74" s="783"/>
      <c r="AE74" s="763">
        <v>49160526</v>
      </c>
      <c r="AF74" s="788"/>
      <c r="AG74" s="876">
        <v>37410906</v>
      </c>
    </row>
    <row r="75" spans="2:33" ht="18">
      <c r="B75" s="904" t="s">
        <v>4676</v>
      </c>
      <c r="H75" s="904" t="s">
        <v>4678</v>
      </c>
      <c r="AC75" s="776"/>
      <c r="AD75" s="784"/>
      <c r="AE75" s="784"/>
      <c r="AF75" s="788"/>
      <c r="AG75" s="871"/>
    </row>
    <row r="76" spans="2:33" ht="15.5">
      <c r="AC76" s="878" t="s">
        <v>3048</v>
      </c>
      <c r="AD76" s="790"/>
      <c r="AE76" s="784"/>
      <c r="AF76" s="788"/>
      <c r="AG76" s="868"/>
    </row>
    <row r="77" spans="2:33" ht="16" thickBot="1">
      <c r="AC77" s="878" t="s">
        <v>3050</v>
      </c>
      <c r="AD77" s="790"/>
      <c r="AE77" s="765">
        <v>17118420.560970735</v>
      </c>
      <c r="AF77" s="788"/>
      <c r="AG77" s="877">
        <v>49160526.062479429</v>
      </c>
    </row>
    <row r="78" spans="2:33" ht="16.5" customHeight="1" thickTop="1">
      <c r="AC78" s="811"/>
      <c r="AD78" s="790"/>
      <c r="AE78" s="784"/>
      <c r="AF78" s="783"/>
      <c r="AG78" s="771"/>
    </row>
    <row r="79" spans="2:33" ht="15.5">
      <c r="AC79" s="811" t="s">
        <v>1928</v>
      </c>
      <c r="AD79" s="790"/>
      <c r="AE79" s="784"/>
      <c r="AF79" s="788"/>
      <c r="AG79" s="868"/>
    </row>
    <row r="80" spans="2:33" ht="16" thickBot="1">
      <c r="AC80" s="879" t="s">
        <v>57</v>
      </c>
      <c r="AD80" s="880"/>
      <c r="AE80" s="881">
        <v>17118421</v>
      </c>
      <c r="AF80" s="823"/>
      <c r="AG80" s="882">
        <v>49160526</v>
      </c>
    </row>
    <row r="83" spans="1:34" ht="20">
      <c r="U83" s="903"/>
      <c r="AA83" s="903"/>
    </row>
    <row r="84" spans="1:34" ht="18">
      <c r="A84" s="912"/>
      <c r="B84" s="912"/>
      <c r="C84" s="912"/>
      <c r="D84" s="912"/>
      <c r="E84" s="912"/>
      <c r="F84" s="912"/>
      <c r="G84" s="912"/>
      <c r="H84" s="912"/>
      <c r="I84" s="912"/>
      <c r="J84" s="912"/>
      <c r="K84" s="912"/>
      <c r="L84" s="912"/>
      <c r="M84" s="912"/>
      <c r="N84" s="912"/>
      <c r="O84" s="912"/>
      <c r="P84" s="912"/>
      <c r="Q84" s="912"/>
      <c r="R84" s="912"/>
      <c r="S84" s="912"/>
      <c r="T84" s="912"/>
      <c r="U84" s="933"/>
      <c r="V84" s="912"/>
      <c r="W84" s="912"/>
      <c r="X84" s="912"/>
      <c r="Y84" s="912"/>
      <c r="Z84" s="912"/>
      <c r="AA84" s="933"/>
      <c r="AB84" s="912"/>
      <c r="AC84" s="912"/>
      <c r="AD84" s="912"/>
      <c r="AE84" s="912"/>
      <c r="AF84" s="912"/>
      <c r="AG84" s="912"/>
      <c r="AH84" s="912"/>
    </row>
    <row r="85" spans="1:34">
      <c r="A85" s="912"/>
      <c r="B85" s="912"/>
      <c r="C85" s="912"/>
      <c r="D85" s="912"/>
      <c r="E85" s="912"/>
      <c r="F85" s="912"/>
      <c r="G85" s="912"/>
      <c r="H85" s="912"/>
      <c r="I85" s="912"/>
      <c r="J85" s="912"/>
      <c r="K85" s="912"/>
      <c r="L85" s="912"/>
      <c r="M85" s="912"/>
      <c r="N85" s="912"/>
      <c r="O85" s="912"/>
      <c r="P85" s="912"/>
      <c r="Q85" s="912"/>
      <c r="R85" s="912"/>
      <c r="S85" s="912"/>
      <c r="T85" s="912"/>
      <c r="U85" s="912"/>
      <c r="V85" s="912"/>
      <c r="W85" s="912"/>
      <c r="X85" s="912"/>
      <c r="Y85" s="912"/>
      <c r="Z85" s="912"/>
      <c r="AA85" s="912"/>
      <c r="AB85" s="912"/>
      <c r="AC85" s="912"/>
      <c r="AD85" s="912"/>
      <c r="AE85" s="912"/>
      <c r="AF85" s="912"/>
      <c r="AG85" s="912"/>
      <c r="AH85" s="912"/>
    </row>
  </sheetData>
  <mergeCells count="14">
    <mergeCell ref="B55:I55"/>
    <mergeCell ref="D17:F17"/>
    <mergeCell ref="G17:I17"/>
    <mergeCell ref="S49:AA49"/>
    <mergeCell ref="B2:F2"/>
    <mergeCell ref="B3:AG3"/>
    <mergeCell ref="B5:AG5"/>
    <mergeCell ref="B8:AG8"/>
    <mergeCell ref="B10:AG10"/>
    <mergeCell ref="AC52:AD52"/>
    <mergeCell ref="AC17:AG17"/>
    <mergeCell ref="K16:O16"/>
    <mergeCell ref="S16:AA16"/>
    <mergeCell ref="S17:AA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15"/>
  <sheetViews>
    <sheetView topLeftCell="A472" workbookViewId="0">
      <selection activeCell="I488" sqref="I488:I494"/>
    </sheetView>
  </sheetViews>
  <sheetFormatPr defaultRowHeight="12.5"/>
  <cols>
    <col min="1" max="1" width="15.1796875" style="682" bestFit="1" customWidth="1"/>
    <col min="2" max="2" width="41.54296875" style="682" customWidth="1"/>
    <col min="3" max="3" width="23.54296875" style="682" customWidth="1"/>
    <col min="4" max="4" width="16.54296875" style="682" bestFit="1" customWidth="1"/>
    <col min="5" max="6" width="16.7265625" style="682" bestFit="1" customWidth="1"/>
    <col min="7" max="7" width="18.7265625" style="682" bestFit="1" customWidth="1"/>
    <col min="8" max="8" width="20.7265625" style="682" bestFit="1" customWidth="1"/>
    <col min="9" max="9" width="21.81640625" style="682" customWidth="1"/>
    <col min="10" max="10" width="13.1796875" style="682" bestFit="1" customWidth="1"/>
    <col min="11" max="11" width="14.26953125" style="682" customWidth="1"/>
    <col min="12" max="12" width="11.453125" style="682" bestFit="1" customWidth="1"/>
    <col min="13" max="256" width="8.81640625" style="682"/>
    <col min="257" max="257" width="15.1796875" style="682" bestFit="1" customWidth="1"/>
    <col min="258" max="258" width="41.54296875" style="682" customWidth="1"/>
    <col min="259" max="259" width="23.54296875" style="682" customWidth="1"/>
    <col min="260" max="260" width="16.54296875" style="682" bestFit="1" customWidth="1"/>
    <col min="261" max="262" width="16.7265625" style="682" bestFit="1" customWidth="1"/>
    <col min="263" max="263" width="18.7265625" style="682" bestFit="1" customWidth="1"/>
    <col min="264" max="264" width="20.7265625" style="682" bestFit="1" customWidth="1"/>
    <col min="265" max="265" width="21.81640625" style="682" customWidth="1"/>
    <col min="266" max="266" width="13.1796875" style="682" bestFit="1" customWidth="1"/>
    <col min="267" max="267" width="14.26953125" style="682" customWidth="1"/>
    <col min="268" max="268" width="11.453125" style="682" bestFit="1" customWidth="1"/>
    <col min="269" max="512" width="8.81640625" style="682"/>
    <col min="513" max="513" width="15.1796875" style="682" bestFit="1" customWidth="1"/>
    <col min="514" max="514" width="41.54296875" style="682" customWidth="1"/>
    <col min="515" max="515" width="23.54296875" style="682" customWidth="1"/>
    <col min="516" max="516" width="16.54296875" style="682" bestFit="1" customWidth="1"/>
    <col min="517" max="518" width="16.7265625" style="682" bestFit="1" customWidth="1"/>
    <col min="519" max="519" width="18.7265625" style="682" bestFit="1" customWidth="1"/>
    <col min="520" max="520" width="20.7265625" style="682" bestFit="1" customWidth="1"/>
    <col min="521" max="521" width="21.81640625" style="682" customWidth="1"/>
    <col min="522" max="522" width="13.1796875" style="682" bestFit="1" customWidth="1"/>
    <col min="523" max="523" width="14.26953125" style="682" customWidth="1"/>
    <col min="524" max="524" width="11.453125" style="682" bestFit="1" customWidth="1"/>
    <col min="525" max="768" width="8.81640625" style="682"/>
    <col min="769" max="769" width="15.1796875" style="682" bestFit="1" customWidth="1"/>
    <col min="770" max="770" width="41.54296875" style="682" customWidth="1"/>
    <col min="771" max="771" width="23.54296875" style="682" customWidth="1"/>
    <col min="772" max="772" width="16.54296875" style="682" bestFit="1" customWidth="1"/>
    <col min="773" max="774" width="16.7265625" style="682" bestFit="1" customWidth="1"/>
    <col min="775" max="775" width="18.7265625" style="682" bestFit="1" customWidth="1"/>
    <col min="776" max="776" width="20.7265625" style="682" bestFit="1" customWidth="1"/>
    <col min="777" max="777" width="21.81640625" style="682" customWidth="1"/>
    <col min="778" max="778" width="13.1796875" style="682" bestFit="1" customWidth="1"/>
    <col min="779" max="779" width="14.26953125" style="682" customWidth="1"/>
    <col min="780" max="780" width="11.453125" style="682" bestFit="1" customWidth="1"/>
    <col min="781" max="1024" width="8.81640625" style="682"/>
    <col min="1025" max="1025" width="15.1796875" style="682" bestFit="1" customWidth="1"/>
    <col min="1026" max="1026" width="41.54296875" style="682" customWidth="1"/>
    <col min="1027" max="1027" width="23.54296875" style="682" customWidth="1"/>
    <col min="1028" max="1028" width="16.54296875" style="682" bestFit="1" customWidth="1"/>
    <col min="1029" max="1030" width="16.7265625" style="682" bestFit="1" customWidth="1"/>
    <col min="1031" max="1031" width="18.7265625" style="682" bestFit="1" customWidth="1"/>
    <col min="1032" max="1032" width="20.7265625" style="682" bestFit="1" customWidth="1"/>
    <col min="1033" max="1033" width="21.81640625" style="682" customWidth="1"/>
    <col min="1034" max="1034" width="13.1796875" style="682" bestFit="1" customWidth="1"/>
    <col min="1035" max="1035" width="14.26953125" style="682" customWidth="1"/>
    <col min="1036" max="1036" width="11.453125" style="682" bestFit="1" customWidth="1"/>
    <col min="1037" max="1280" width="8.81640625" style="682"/>
    <col min="1281" max="1281" width="15.1796875" style="682" bestFit="1" customWidth="1"/>
    <col min="1282" max="1282" width="41.54296875" style="682" customWidth="1"/>
    <col min="1283" max="1283" width="23.54296875" style="682" customWidth="1"/>
    <col min="1284" max="1284" width="16.54296875" style="682" bestFit="1" customWidth="1"/>
    <col min="1285" max="1286" width="16.7265625" style="682" bestFit="1" customWidth="1"/>
    <col min="1287" max="1287" width="18.7265625" style="682" bestFit="1" customWidth="1"/>
    <col min="1288" max="1288" width="20.7265625" style="682" bestFit="1" customWidth="1"/>
    <col min="1289" max="1289" width="21.81640625" style="682" customWidth="1"/>
    <col min="1290" max="1290" width="13.1796875" style="682" bestFit="1" customWidth="1"/>
    <col min="1291" max="1291" width="14.26953125" style="682" customWidth="1"/>
    <col min="1292" max="1292" width="11.453125" style="682" bestFit="1" customWidth="1"/>
    <col min="1293" max="1536" width="8.81640625" style="682"/>
    <col min="1537" max="1537" width="15.1796875" style="682" bestFit="1" customWidth="1"/>
    <col min="1538" max="1538" width="41.54296875" style="682" customWidth="1"/>
    <col min="1539" max="1539" width="23.54296875" style="682" customWidth="1"/>
    <col min="1540" max="1540" width="16.54296875" style="682" bestFit="1" customWidth="1"/>
    <col min="1541" max="1542" width="16.7265625" style="682" bestFit="1" customWidth="1"/>
    <col min="1543" max="1543" width="18.7265625" style="682" bestFit="1" customWidth="1"/>
    <col min="1544" max="1544" width="20.7265625" style="682" bestFit="1" customWidth="1"/>
    <col min="1545" max="1545" width="21.81640625" style="682" customWidth="1"/>
    <col min="1546" max="1546" width="13.1796875" style="682" bestFit="1" customWidth="1"/>
    <col min="1547" max="1547" width="14.26953125" style="682" customWidth="1"/>
    <col min="1548" max="1548" width="11.453125" style="682" bestFit="1" customWidth="1"/>
    <col min="1549" max="1792" width="8.81640625" style="682"/>
    <col min="1793" max="1793" width="15.1796875" style="682" bestFit="1" customWidth="1"/>
    <col min="1794" max="1794" width="41.54296875" style="682" customWidth="1"/>
    <col min="1795" max="1795" width="23.54296875" style="682" customWidth="1"/>
    <col min="1796" max="1796" width="16.54296875" style="682" bestFit="1" customWidth="1"/>
    <col min="1797" max="1798" width="16.7265625" style="682" bestFit="1" customWidth="1"/>
    <col min="1799" max="1799" width="18.7265625" style="682" bestFit="1" customWidth="1"/>
    <col min="1800" max="1800" width="20.7265625" style="682" bestFit="1" customWidth="1"/>
    <col min="1801" max="1801" width="21.81640625" style="682" customWidth="1"/>
    <col min="1802" max="1802" width="13.1796875" style="682" bestFit="1" customWidth="1"/>
    <col min="1803" max="1803" width="14.26953125" style="682" customWidth="1"/>
    <col min="1804" max="1804" width="11.453125" style="682" bestFit="1" customWidth="1"/>
    <col min="1805" max="2048" width="8.81640625" style="682"/>
    <col min="2049" max="2049" width="15.1796875" style="682" bestFit="1" customWidth="1"/>
    <col min="2050" max="2050" width="41.54296875" style="682" customWidth="1"/>
    <col min="2051" max="2051" width="23.54296875" style="682" customWidth="1"/>
    <col min="2052" max="2052" width="16.54296875" style="682" bestFit="1" customWidth="1"/>
    <col min="2053" max="2054" width="16.7265625" style="682" bestFit="1" customWidth="1"/>
    <col min="2055" max="2055" width="18.7265625" style="682" bestFit="1" customWidth="1"/>
    <col min="2056" max="2056" width="20.7265625" style="682" bestFit="1" customWidth="1"/>
    <col min="2057" max="2057" width="21.81640625" style="682" customWidth="1"/>
    <col min="2058" max="2058" width="13.1796875" style="682" bestFit="1" customWidth="1"/>
    <col min="2059" max="2059" width="14.26953125" style="682" customWidth="1"/>
    <col min="2060" max="2060" width="11.453125" style="682" bestFit="1" customWidth="1"/>
    <col min="2061" max="2304" width="8.81640625" style="682"/>
    <col min="2305" max="2305" width="15.1796875" style="682" bestFit="1" customWidth="1"/>
    <col min="2306" max="2306" width="41.54296875" style="682" customWidth="1"/>
    <col min="2307" max="2307" width="23.54296875" style="682" customWidth="1"/>
    <col min="2308" max="2308" width="16.54296875" style="682" bestFit="1" customWidth="1"/>
    <col min="2309" max="2310" width="16.7265625" style="682" bestFit="1" customWidth="1"/>
    <col min="2311" max="2311" width="18.7265625" style="682" bestFit="1" customWidth="1"/>
    <col min="2312" max="2312" width="20.7265625" style="682" bestFit="1" customWidth="1"/>
    <col min="2313" max="2313" width="21.81640625" style="682" customWidth="1"/>
    <col min="2314" max="2314" width="13.1796875" style="682" bestFit="1" customWidth="1"/>
    <col min="2315" max="2315" width="14.26953125" style="682" customWidth="1"/>
    <col min="2316" max="2316" width="11.453125" style="682" bestFit="1" customWidth="1"/>
    <col min="2317" max="2560" width="8.81640625" style="682"/>
    <col min="2561" max="2561" width="15.1796875" style="682" bestFit="1" customWidth="1"/>
    <col min="2562" max="2562" width="41.54296875" style="682" customWidth="1"/>
    <col min="2563" max="2563" width="23.54296875" style="682" customWidth="1"/>
    <col min="2564" max="2564" width="16.54296875" style="682" bestFit="1" customWidth="1"/>
    <col min="2565" max="2566" width="16.7265625" style="682" bestFit="1" customWidth="1"/>
    <col min="2567" max="2567" width="18.7265625" style="682" bestFit="1" customWidth="1"/>
    <col min="2568" max="2568" width="20.7265625" style="682" bestFit="1" customWidth="1"/>
    <col min="2569" max="2569" width="21.81640625" style="682" customWidth="1"/>
    <col min="2570" max="2570" width="13.1796875" style="682" bestFit="1" customWidth="1"/>
    <col min="2571" max="2571" width="14.26953125" style="682" customWidth="1"/>
    <col min="2572" max="2572" width="11.453125" style="682" bestFit="1" customWidth="1"/>
    <col min="2573" max="2816" width="8.81640625" style="682"/>
    <col min="2817" max="2817" width="15.1796875" style="682" bestFit="1" customWidth="1"/>
    <col min="2818" max="2818" width="41.54296875" style="682" customWidth="1"/>
    <col min="2819" max="2819" width="23.54296875" style="682" customWidth="1"/>
    <col min="2820" max="2820" width="16.54296875" style="682" bestFit="1" customWidth="1"/>
    <col min="2821" max="2822" width="16.7265625" style="682" bestFit="1" customWidth="1"/>
    <col min="2823" max="2823" width="18.7265625" style="682" bestFit="1" customWidth="1"/>
    <col min="2824" max="2824" width="20.7265625" style="682" bestFit="1" customWidth="1"/>
    <col min="2825" max="2825" width="21.81640625" style="682" customWidth="1"/>
    <col min="2826" max="2826" width="13.1796875" style="682" bestFit="1" customWidth="1"/>
    <col min="2827" max="2827" width="14.26953125" style="682" customWidth="1"/>
    <col min="2828" max="2828" width="11.453125" style="682" bestFit="1" customWidth="1"/>
    <col min="2829" max="3072" width="8.81640625" style="682"/>
    <col min="3073" max="3073" width="15.1796875" style="682" bestFit="1" customWidth="1"/>
    <col min="3074" max="3074" width="41.54296875" style="682" customWidth="1"/>
    <col min="3075" max="3075" width="23.54296875" style="682" customWidth="1"/>
    <col min="3076" max="3076" width="16.54296875" style="682" bestFit="1" customWidth="1"/>
    <col min="3077" max="3078" width="16.7265625" style="682" bestFit="1" customWidth="1"/>
    <col min="3079" max="3079" width="18.7265625" style="682" bestFit="1" customWidth="1"/>
    <col min="3080" max="3080" width="20.7265625" style="682" bestFit="1" customWidth="1"/>
    <col min="3081" max="3081" width="21.81640625" style="682" customWidth="1"/>
    <col min="3082" max="3082" width="13.1796875" style="682" bestFit="1" customWidth="1"/>
    <col min="3083" max="3083" width="14.26953125" style="682" customWidth="1"/>
    <col min="3084" max="3084" width="11.453125" style="682" bestFit="1" customWidth="1"/>
    <col min="3085" max="3328" width="8.81640625" style="682"/>
    <col min="3329" max="3329" width="15.1796875" style="682" bestFit="1" customWidth="1"/>
    <col min="3330" max="3330" width="41.54296875" style="682" customWidth="1"/>
    <col min="3331" max="3331" width="23.54296875" style="682" customWidth="1"/>
    <col min="3332" max="3332" width="16.54296875" style="682" bestFit="1" customWidth="1"/>
    <col min="3333" max="3334" width="16.7265625" style="682" bestFit="1" customWidth="1"/>
    <col min="3335" max="3335" width="18.7265625" style="682" bestFit="1" customWidth="1"/>
    <col min="3336" max="3336" width="20.7265625" style="682" bestFit="1" customWidth="1"/>
    <col min="3337" max="3337" width="21.81640625" style="682" customWidth="1"/>
    <col min="3338" max="3338" width="13.1796875" style="682" bestFit="1" customWidth="1"/>
    <col min="3339" max="3339" width="14.26953125" style="682" customWidth="1"/>
    <col min="3340" max="3340" width="11.453125" style="682" bestFit="1" customWidth="1"/>
    <col min="3341" max="3584" width="8.81640625" style="682"/>
    <col min="3585" max="3585" width="15.1796875" style="682" bestFit="1" customWidth="1"/>
    <col min="3586" max="3586" width="41.54296875" style="682" customWidth="1"/>
    <col min="3587" max="3587" width="23.54296875" style="682" customWidth="1"/>
    <col min="3588" max="3588" width="16.54296875" style="682" bestFit="1" customWidth="1"/>
    <col min="3589" max="3590" width="16.7265625" style="682" bestFit="1" customWidth="1"/>
    <col min="3591" max="3591" width="18.7265625" style="682" bestFit="1" customWidth="1"/>
    <col min="3592" max="3592" width="20.7265625" style="682" bestFit="1" customWidth="1"/>
    <col min="3593" max="3593" width="21.81640625" style="682" customWidth="1"/>
    <col min="3594" max="3594" width="13.1796875" style="682" bestFit="1" customWidth="1"/>
    <col min="3595" max="3595" width="14.26953125" style="682" customWidth="1"/>
    <col min="3596" max="3596" width="11.453125" style="682" bestFit="1" customWidth="1"/>
    <col min="3597" max="3840" width="8.81640625" style="682"/>
    <col min="3841" max="3841" width="15.1796875" style="682" bestFit="1" customWidth="1"/>
    <col min="3842" max="3842" width="41.54296875" style="682" customWidth="1"/>
    <col min="3843" max="3843" width="23.54296875" style="682" customWidth="1"/>
    <col min="3844" max="3844" width="16.54296875" style="682" bestFit="1" customWidth="1"/>
    <col min="3845" max="3846" width="16.7265625" style="682" bestFit="1" customWidth="1"/>
    <col min="3847" max="3847" width="18.7265625" style="682" bestFit="1" customWidth="1"/>
    <col min="3848" max="3848" width="20.7265625" style="682" bestFit="1" customWidth="1"/>
    <col min="3849" max="3849" width="21.81640625" style="682" customWidth="1"/>
    <col min="3850" max="3850" width="13.1796875" style="682" bestFit="1" customWidth="1"/>
    <col min="3851" max="3851" width="14.26953125" style="682" customWidth="1"/>
    <col min="3852" max="3852" width="11.453125" style="682" bestFit="1" customWidth="1"/>
    <col min="3853" max="4096" width="8.81640625" style="682"/>
    <col min="4097" max="4097" width="15.1796875" style="682" bestFit="1" customWidth="1"/>
    <col min="4098" max="4098" width="41.54296875" style="682" customWidth="1"/>
    <col min="4099" max="4099" width="23.54296875" style="682" customWidth="1"/>
    <col min="4100" max="4100" width="16.54296875" style="682" bestFit="1" customWidth="1"/>
    <col min="4101" max="4102" width="16.7265625" style="682" bestFit="1" customWidth="1"/>
    <col min="4103" max="4103" width="18.7265625" style="682" bestFit="1" customWidth="1"/>
    <col min="4104" max="4104" width="20.7265625" style="682" bestFit="1" customWidth="1"/>
    <col min="4105" max="4105" width="21.81640625" style="682" customWidth="1"/>
    <col min="4106" max="4106" width="13.1796875" style="682" bestFit="1" customWidth="1"/>
    <col min="4107" max="4107" width="14.26953125" style="682" customWidth="1"/>
    <col min="4108" max="4108" width="11.453125" style="682" bestFit="1" customWidth="1"/>
    <col min="4109" max="4352" width="8.81640625" style="682"/>
    <col min="4353" max="4353" width="15.1796875" style="682" bestFit="1" customWidth="1"/>
    <col min="4354" max="4354" width="41.54296875" style="682" customWidth="1"/>
    <col min="4355" max="4355" width="23.54296875" style="682" customWidth="1"/>
    <col min="4356" max="4356" width="16.54296875" style="682" bestFit="1" customWidth="1"/>
    <col min="4357" max="4358" width="16.7265625" style="682" bestFit="1" customWidth="1"/>
    <col min="4359" max="4359" width="18.7265625" style="682" bestFit="1" customWidth="1"/>
    <col min="4360" max="4360" width="20.7265625" style="682" bestFit="1" customWidth="1"/>
    <col min="4361" max="4361" width="21.81640625" style="682" customWidth="1"/>
    <col min="4362" max="4362" width="13.1796875" style="682" bestFit="1" customWidth="1"/>
    <col min="4363" max="4363" width="14.26953125" style="682" customWidth="1"/>
    <col min="4364" max="4364" width="11.453125" style="682" bestFit="1" customWidth="1"/>
    <col min="4365" max="4608" width="8.81640625" style="682"/>
    <col min="4609" max="4609" width="15.1796875" style="682" bestFit="1" customWidth="1"/>
    <col min="4610" max="4610" width="41.54296875" style="682" customWidth="1"/>
    <col min="4611" max="4611" width="23.54296875" style="682" customWidth="1"/>
    <col min="4612" max="4612" width="16.54296875" style="682" bestFit="1" customWidth="1"/>
    <col min="4613" max="4614" width="16.7265625" style="682" bestFit="1" customWidth="1"/>
    <col min="4615" max="4615" width="18.7265625" style="682" bestFit="1" customWidth="1"/>
    <col min="4616" max="4616" width="20.7265625" style="682" bestFit="1" customWidth="1"/>
    <col min="4617" max="4617" width="21.81640625" style="682" customWidth="1"/>
    <col min="4618" max="4618" width="13.1796875" style="682" bestFit="1" customWidth="1"/>
    <col min="4619" max="4619" width="14.26953125" style="682" customWidth="1"/>
    <col min="4620" max="4620" width="11.453125" style="682" bestFit="1" customWidth="1"/>
    <col min="4621" max="4864" width="8.81640625" style="682"/>
    <col min="4865" max="4865" width="15.1796875" style="682" bestFit="1" customWidth="1"/>
    <col min="4866" max="4866" width="41.54296875" style="682" customWidth="1"/>
    <col min="4867" max="4867" width="23.54296875" style="682" customWidth="1"/>
    <col min="4868" max="4868" width="16.54296875" style="682" bestFit="1" customWidth="1"/>
    <col min="4869" max="4870" width="16.7265625" style="682" bestFit="1" customWidth="1"/>
    <col min="4871" max="4871" width="18.7265625" style="682" bestFit="1" customWidth="1"/>
    <col min="4872" max="4872" width="20.7265625" style="682" bestFit="1" customWidth="1"/>
    <col min="4873" max="4873" width="21.81640625" style="682" customWidth="1"/>
    <col min="4874" max="4874" width="13.1796875" style="682" bestFit="1" customWidth="1"/>
    <col min="4875" max="4875" width="14.26953125" style="682" customWidth="1"/>
    <col min="4876" max="4876" width="11.453125" style="682" bestFit="1" customWidth="1"/>
    <col min="4877" max="5120" width="8.81640625" style="682"/>
    <col min="5121" max="5121" width="15.1796875" style="682" bestFit="1" customWidth="1"/>
    <col min="5122" max="5122" width="41.54296875" style="682" customWidth="1"/>
    <col min="5123" max="5123" width="23.54296875" style="682" customWidth="1"/>
    <col min="5124" max="5124" width="16.54296875" style="682" bestFit="1" customWidth="1"/>
    <col min="5125" max="5126" width="16.7265625" style="682" bestFit="1" customWidth="1"/>
    <col min="5127" max="5127" width="18.7265625" style="682" bestFit="1" customWidth="1"/>
    <col min="5128" max="5128" width="20.7265625" style="682" bestFit="1" customWidth="1"/>
    <col min="5129" max="5129" width="21.81640625" style="682" customWidth="1"/>
    <col min="5130" max="5130" width="13.1796875" style="682" bestFit="1" customWidth="1"/>
    <col min="5131" max="5131" width="14.26953125" style="682" customWidth="1"/>
    <col min="5132" max="5132" width="11.453125" style="682" bestFit="1" customWidth="1"/>
    <col min="5133" max="5376" width="8.81640625" style="682"/>
    <col min="5377" max="5377" width="15.1796875" style="682" bestFit="1" customWidth="1"/>
    <col min="5378" max="5378" width="41.54296875" style="682" customWidth="1"/>
    <col min="5379" max="5379" width="23.54296875" style="682" customWidth="1"/>
    <col min="5380" max="5380" width="16.54296875" style="682" bestFit="1" customWidth="1"/>
    <col min="5381" max="5382" width="16.7265625" style="682" bestFit="1" customWidth="1"/>
    <col min="5383" max="5383" width="18.7265625" style="682" bestFit="1" customWidth="1"/>
    <col min="5384" max="5384" width="20.7265625" style="682" bestFit="1" customWidth="1"/>
    <col min="5385" max="5385" width="21.81640625" style="682" customWidth="1"/>
    <col min="5386" max="5386" width="13.1796875" style="682" bestFit="1" customWidth="1"/>
    <col min="5387" max="5387" width="14.26953125" style="682" customWidth="1"/>
    <col min="5388" max="5388" width="11.453125" style="682" bestFit="1" customWidth="1"/>
    <col min="5389" max="5632" width="8.81640625" style="682"/>
    <col min="5633" max="5633" width="15.1796875" style="682" bestFit="1" customWidth="1"/>
    <col min="5634" max="5634" width="41.54296875" style="682" customWidth="1"/>
    <col min="5635" max="5635" width="23.54296875" style="682" customWidth="1"/>
    <col min="5636" max="5636" width="16.54296875" style="682" bestFit="1" customWidth="1"/>
    <col min="5637" max="5638" width="16.7265625" style="682" bestFit="1" customWidth="1"/>
    <col min="5639" max="5639" width="18.7265625" style="682" bestFit="1" customWidth="1"/>
    <col min="5640" max="5640" width="20.7265625" style="682" bestFit="1" customWidth="1"/>
    <col min="5641" max="5641" width="21.81640625" style="682" customWidth="1"/>
    <col min="5642" max="5642" width="13.1796875" style="682" bestFit="1" customWidth="1"/>
    <col min="5643" max="5643" width="14.26953125" style="682" customWidth="1"/>
    <col min="5644" max="5644" width="11.453125" style="682" bestFit="1" customWidth="1"/>
    <col min="5645" max="5888" width="8.81640625" style="682"/>
    <col min="5889" max="5889" width="15.1796875" style="682" bestFit="1" customWidth="1"/>
    <col min="5890" max="5890" width="41.54296875" style="682" customWidth="1"/>
    <col min="5891" max="5891" width="23.54296875" style="682" customWidth="1"/>
    <col min="5892" max="5892" width="16.54296875" style="682" bestFit="1" customWidth="1"/>
    <col min="5893" max="5894" width="16.7265625" style="682" bestFit="1" customWidth="1"/>
    <col min="5895" max="5895" width="18.7265625" style="682" bestFit="1" customWidth="1"/>
    <col min="5896" max="5896" width="20.7265625" style="682" bestFit="1" customWidth="1"/>
    <col min="5897" max="5897" width="21.81640625" style="682" customWidth="1"/>
    <col min="5898" max="5898" width="13.1796875" style="682" bestFit="1" customWidth="1"/>
    <col min="5899" max="5899" width="14.26953125" style="682" customWidth="1"/>
    <col min="5900" max="5900" width="11.453125" style="682" bestFit="1" customWidth="1"/>
    <col min="5901" max="6144" width="8.81640625" style="682"/>
    <col min="6145" max="6145" width="15.1796875" style="682" bestFit="1" customWidth="1"/>
    <col min="6146" max="6146" width="41.54296875" style="682" customWidth="1"/>
    <col min="6147" max="6147" width="23.54296875" style="682" customWidth="1"/>
    <col min="6148" max="6148" width="16.54296875" style="682" bestFit="1" customWidth="1"/>
    <col min="6149" max="6150" width="16.7265625" style="682" bestFit="1" customWidth="1"/>
    <col min="6151" max="6151" width="18.7265625" style="682" bestFit="1" customWidth="1"/>
    <col min="6152" max="6152" width="20.7265625" style="682" bestFit="1" customWidth="1"/>
    <col min="6153" max="6153" width="21.81640625" style="682" customWidth="1"/>
    <col min="6154" max="6154" width="13.1796875" style="682" bestFit="1" customWidth="1"/>
    <col min="6155" max="6155" width="14.26953125" style="682" customWidth="1"/>
    <col min="6156" max="6156" width="11.453125" style="682" bestFit="1" customWidth="1"/>
    <col min="6157" max="6400" width="8.81640625" style="682"/>
    <col min="6401" max="6401" width="15.1796875" style="682" bestFit="1" customWidth="1"/>
    <col min="6402" max="6402" width="41.54296875" style="682" customWidth="1"/>
    <col min="6403" max="6403" width="23.54296875" style="682" customWidth="1"/>
    <col min="6404" max="6404" width="16.54296875" style="682" bestFit="1" customWidth="1"/>
    <col min="6405" max="6406" width="16.7265625" style="682" bestFit="1" customWidth="1"/>
    <col min="6407" max="6407" width="18.7265625" style="682" bestFit="1" customWidth="1"/>
    <col min="6408" max="6408" width="20.7265625" style="682" bestFit="1" customWidth="1"/>
    <col min="6409" max="6409" width="21.81640625" style="682" customWidth="1"/>
    <col min="6410" max="6410" width="13.1796875" style="682" bestFit="1" customWidth="1"/>
    <col min="6411" max="6411" width="14.26953125" style="682" customWidth="1"/>
    <col min="6412" max="6412" width="11.453125" style="682" bestFit="1" customWidth="1"/>
    <col min="6413" max="6656" width="8.81640625" style="682"/>
    <col min="6657" max="6657" width="15.1796875" style="682" bestFit="1" customWidth="1"/>
    <col min="6658" max="6658" width="41.54296875" style="682" customWidth="1"/>
    <col min="6659" max="6659" width="23.54296875" style="682" customWidth="1"/>
    <col min="6660" max="6660" width="16.54296875" style="682" bestFit="1" customWidth="1"/>
    <col min="6661" max="6662" width="16.7265625" style="682" bestFit="1" customWidth="1"/>
    <col min="6663" max="6663" width="18.7265625" style="682" bestFit="1" customWidth="1"/>
    <col min="6664" max="6664" width="20.7265625" style="682" bestFit="1" customWidth="1"/>
    <col min="6665" max="6665" width="21.81640625" style="682" customWidth="1"/>
    <col min="6666" max="6666" width="13.1796875" style="682" bestFit="1" customWidth="1"/>
    <col min="6667" max="6667" width="14.26953125" style="682" customWidth="1"/>
    <col min="6668" max="6668" width="11.453125" style="682" bestFit="1" customWidth="1"/>
    <col min="6669" max="6912" width="8.81640625" style="682"/>
    <col min="6913" max="6913" width="15.1796875" style="682" bestFit="1" customWidth="1"/>
    <col min="6914" max="6914" width="41.54296875" style="682" customWidth="1"/>
    <col min="6915" max="6915" width="23.54296875" style="682" customWidth="1"/>
    <col min="6916" max="6916" width="16.54296875" style="682" bestFit="1" customWidth="1"/>
    <col min="6917" max="6918" width="16.7265625" style="682" bestFit="1" customWidth="1"/>
    <col min="6919" max="6919" width="18.7265625" style="682" bestFit="1" customWidth="1"/>
    <col min="6920" max="6920" width="20.7265625" style="682" bestFit="1" customWidth="1"/>
    <col min="6921" max="6921" width="21.81640625" style="682" customWidth="1"/>
    <col min="6922" max="6922" width="13.1796875" style="682" bestFit="1" customWidth="1"/>
    <col min="6923" max="6923" width="14.26953125" style="682" customWidth="1"/>
    <col min="6924" max="6924" width="11.453125" style="682" bestFit="1" customWidth="1"/>
    <col min="6925" max="7168" width="8.81640625" style="682"/>
    <col min="7169" max="7169" width="15.1796875" style="682" bestFit="1" customWidth="1"/>
    <col min="7170" max="7170" width="41.54296875" style="682" customWidth="1"/>
    <col min="7171" max="7171" width="23.54296875" style="682" customWidth="1"/>
    <col min="7172" max="7172" width="16.54296875" style="682" bestFit="1" customWidth="1"/>
    <col min="7173" max="7174" width="16.7265625" style="682" bestFit="1" customWidth="1"/>
    <col min="7175" max="7175" width="18.7265625" style="682" bestFit="1" customWidth="1"/>
    <col min="7176" max="7176" width="20.7265625" style="682" bestFit="1" customWidth="1"/>
    <col min="7177" max="7177" width="21.81640625" style="682" customWidth="1"/>
    <col min="7178" max="7178" width="13.1796875" style="682" bestFit="1" customWidth="1"/>
    <col min="7179" max="7179" width="14.26953125" style="682" customWidth="1"/>
    <col min="7180" max="7180" width="11.453125" style="682" bestFit="1" customWidth="1"/>
    <col min="7181" max="7424" width="8.81640625" style="682"/>
    <col min="7425" max="7425" width="15.1796875" style="682" bestFit="1" customWidth="1"/>
    <col min="7426" max="7426" width="41.54296875" style="682" customWidth="1"/>
    <col min="7427" max="7427" width="23.54296875" style="682" customWidth="1"/>
    <col min="7428" max="7428" width="16.54296875" style="682" bestFit="1" customWidth="1"/>
    <col min="7429" max="7430" width="16.7265625" style="682" bestFit="1" customWidth="1"/>
    <col min="7431" max="7431" width="18.7265625" style="682" bestFit="1" customWidth="1"/>
    <col min="7432" max="7432" width="20.7265625" style="682" bestFit="1" customWidth="1"/>
    <col min="7433" max="7433" width="21.81640625" style="682" customWidth="1"/>
    <col min="7434" max="7434" width="13.1796875" style="682" bestFit="1" customWidth="1"/>
    <col min="7435" max="7435" width="14.26953125" style="682" customWidth="1"/>
    <col min="7436" max="7436" width="11.453125" style="682" bestFit="1" customWidth="1"/>
    <col min="7437" max="7680" width="8.81640625" style="682"/>
    <col min="7681" max="7681" width="15.1796875" style="682" bestFit="1" customWidth="1"/>
    <col min="7682" max="7682" width="41.54296875" style="682" customWidth="1"/>
    <col min="7683" max="7683" width="23.54296875" style="682" customWidth="1"/>
    <col min="7684" max="7684" width="16.54296875" style="682" bestFit="1" customWidth="1"/>
    <col min="7685" max="7686" width="16.7265625" style="682" bestFit="1" customWidth="1"/>
    <col min="7687" max="7687" width="18.7265625" style="682" bestFit="1" customWidth="1"/>
    <col min="7688" max="7688" width="20.7265625" style="682" bestFit="1" customWidth="1"/>
    <col min="7689" max="7689" width="21.81640625" style="682" customWidth="1"/>
    <col min="7690" max="7690" width="13.1796875" style="682" bestFit="1" customWidth="1"/>
    <col min="7691" max="7691" width="14.26953125" style="682" customWidth="1"/>
    <col min="7692" max="7692" width="11.453125" style="682" bestFit="1" customWidth="1"/>
    <col min="7693" max="7936" width="8.81640625" style="682"/>
    <col min="7937" max="7937" width="15.1796875" style="682" bestFit="1" customWidth="1"/>
    <col min="7938" max="7938" width="41.54296875" style="682" customWidth="1"/>
    <col min="7939" max="7939" width="23.54296875" style="682" customWidth="1"/>
    <col min="7940" max="7940" width="16.54296875" style="682" bestFit="1" customWidth="1"/>
    <col min="7941" max="7942" width="16.7265625" style="682" bestFit="1" customWidth="1"/>
    <col min="7943" max="7943" width="18.7265625" style="682" bestFit="1" customWidth="1"/>
    <col min="7944" max="7944" width="20.7265625" style="682" bestFit="1" customWidth="1"/>
    <col min="7945" max="7945" width="21.81640625" style="682" customWidth="1"/>
    <col min="7946" max="7946" width="13.1796875" style="682" bestFit="1" customWidth="1"/>
    <col min="7947" max="7947" width="14.26953125" style="682" customWidth="1"/>
    <col min="7948" max="7948" width="11.453125" style="682" bestFit="1" customWidth="1"/>
    <col min="7949" max="8192" width="8.81640625" style="682"/>
    <col min="8193" max="8193" width="15.1796875" style="682" bestFit="1" customWidth="1"/>
    <col min="8194" max="8194" width="41.54296875" style="682" customWidth="1"/>
    <col min="8195" max="8195" width="23.54296875" style="682" customWidth="1"/>
    <col min="8196" max="8196" width="16.54296875" style="682" bestFit="1" customWidth="1"/>
    <col min="8197" max="8198" width="16.7265625" style="682" bestFit="1" customWidth="1"/>
    <col min="8199" max="8199" width="18.7265625" style="682" bestFit="1" customWidth="1"/>
    <col min="8200" max="8200" width="20.7265625" style="682" bestFit="1" customWidth="1"/>
    <col min="8201" max="8201" width="21.81640625" style="682" customWidth="1"/>
    <col min="8202" max="8202" width="13.1796875" style="682" bestFit="1" customWidth="1"/>
    <col min="8203" max="8203" width="14.26953125" style="682" customWidth="1"/>
    <col min="8204" max="8204" width="11.453125" style="682" bestFit="1" customWidth="1"/>
    <col min="8205" max="8448" width="8.81640625" style="682"/>
    <col min="8449" max="8449" width="15.1796875" style="682" bestFit="1" customWidth="1"/>
    <col min="8450" max="8450" width="41.54296875" style="682" customWidth="1"/>
    <col min="8451" max="8451" width="23.54296875" style="682" customWidth="1"/>
    <col min="8452" max="8452" width="16.54296875" style="682" bestFit="1" customWidth="1"/>
    <col min="8453" max="8454" width="16.7265625" style="682" bestFit="1" customWidth="1"/>
    <col min="8455" max="8455" width="18.7265625" style="682" bestFit="1" customWidth="1"/>
    <col min="8456" max="8456" width="20.7265625" style="682" bestFit="1" customWidth="1"/>
    <col min="8457" max="8457" width="21.81640625" style="682" customWidth="1"/>
    <col min="8458" max="8458" width="13.1796875" style="682" bestFit="1" customWidth="1"/>
    <col min="8459" max="8459" width="14.26953125" style="682" customWidth="1"/>
    <col min="8460" max="8460" width="11.453125" style="682" bestFit="1" customWidth="1"/>
    <col min="8461" max="8704" width="8.81640625" style="682"/>
    <col min="8705" max="8705" width="15.1796875" style="682" bestFit="1" customWidth="1"/>
    <col min="8706" max="8706" width="41.54296875" style="682" customWidth="1"/>
    <col min="8707" max="8707" width="23.54296875" style="682" customWidth="1"/>
    <col min="8708" max="8708" width="16.54296875" style="682" bestFit="1" customWidth="1"/>
    <col min="8709" max="8710" width="16.7265625" style="682" bestFit="1" customWidth="1"/>
    <col min="8711" max="8711" width="18.7265625" style="682" bestFit="1" customWidth="1"/>
    <col min="8712" max="8712" width="20.7265625" style="682" bestFit="1" customWidth="1"/>
    <col min="8713" max="8713" width="21.81640625" style="682" customWidth="1"/>
    <col min="8714" max="8714" width="13.1796875" style="682" bestFit="1" customWidth="1"/>
    <col min="8715" max="8715" width="14.26953125" style="682" customWidth="1"/>
    <col min="8716" max="8716" width="11.453125" style="682" bestFit="1" customWidth="1"/>
    <col min="8717" max="8960" width="8.81640625" style="682"/>
    <col min="8961" max="8961" width="15.1796875" style="682" bestFit="1" customWidth="1"/>
    <col min="8962" max="8962" width="41.54296875" style="682" customWidth="1"/>
    <col min="8963" max="8963" width="23.54296875" style="682" customWidth="1"/>
    <col min="8964" max="8964" width="16.54296875" style="682" bestFit="1" customWidth="1"/>
    <col min="8965" max="8966" width="16.7265625" style="682" bestFit="1" customWidth="1"/>
    <col min="8967" max="8967" width="18.7265625" style="682" bestFit="1" customWidth="1"/>
    <col min="8968" max="8968" width="20.7265625" style="682" bestFit="1" customWidth="1"/>
    <col min="8969" max="8969" width="21.81640625" style="682" customWidth="1"/>
    <col min="8970" max="8970" width="13.1796875" style="682" bestFit="1" customWidth="1"/>
    <col min="8971" max="8971" width="14.26953125" style="682" customWidth="1"/>
    <col min="8972" max="8972" width="11.453125" style="682" bestFit="1" customWidth="1"/>
    <col min="8973" max="9216" width="8.81640625" style="682"/>
    <col min="9217" max="9217" width="15.1796875" style="682" bestFit="1" customWidth="1"/>
    <col min="9218" max="9218" width="41.54296875" style="682" customWidth="1"/>
    <col min="9219" max="9219" width="23.54296875" style="682" customWidth="1"/>
    <col min="9220" max="9220" width="16.54296875" style="682" bestFit="1" customWidth="1"/>
    <col min="9221" max="9222" width="16.7265625" style="682" bestFit="1" customWidth="1"/>
    <col min="9223" max="9223" width="18.7265625" style="682" bestFit="1" customWidth="1"/>
    <col min="9224" max="9224" width="20.7265625" style="682" bestFit="1" customWidth="1"/>
    <col min="9225" max="9225" width="21.81640625" style="682" customWidth="1"/>
    <col min="9226" max="9226" width="13.1796875" style="682" bestFit="1" customWidth="1"/>
    <col min="9227" max="9227" width="14.26953125" style="682" customWidth="1"/>
    <col min="9228" max="9228" width="11.453125" style="682" bestFit="1" customWidth="1"/>
    <col min="9229" max="9472" width="8.81640625" style="682"/>
    <col min="9473" max="9473" width="15.1796875" style="682" bestFit="1" customWidth="1"/>
    <col min="9474" max="9474" width="41.54296875" style="682" customWidth="1"/>
    <col min="9475" max="9475" width="23.54296875" style="682" customWidth="1"/>
    <col min="9476" max="9476" width="16.54296875" style="682" bestFit="1" customWidth="1"/>
    <col min="9477" max="9478" width="16.7265625" style="682" bestFit="1" customWidth="1"/>
    <col min="9479" max="9479" width="18.7265625" style="682" bestFit="1" customWidth="1"/>
    <col min="9480" max="9480" width="20.7265625" style="682" bestFit="1" customWidth="1"/>
    <col min="9481" max="9481" width="21.81640625" style="682" customWidth="1"/>
    <col min="9482" max="9482" width="13.1796875" style="682" bestFit="1" customWidth="1"/>
    <col min="9483" max="9483" width="14.26953125" style="682" customWidth="1"/>
    <col min="9484" max="9484" width="11.453125" style="682" bestFit="1" customWidth="1"/>
    <col min="9485" max="9728" width="8.81640625" style="682"/>
    <col min="9729" max="9729" width="15.1796875" style="682" bestFit="1" customWidth="1"/>
    <col min="9730" max="9730" width="41.54296875" style="682" customWidth="1"/>
    <col min="9731" max="9731" width="23.54296875" style="682" customWidth="1"/>
    <col min="9732" max="9732" width="16.54296875" style="682" bestFit="1" customWidth="1"/>
    <col min="9733" max="9734" width="16.7265625" style="682" bestFit="1" customWidth="1"/>
    <col min="9735" max="9735" width="18.7265625" style="682" bestFit="1" customWidth="1"/>
    <col min="9736" max="9736" width="20.7265625" style="682" bestFit="1" customWidth="1"/>
    <col min="9737" max="9737" width="21.81640625" style="682" customWidth="1"/>
    <col min="9738" max="9738" width="13.1796875" style="682" bestFit="1" customWidth="1"/>
    <col min="9739" max="9739" width="14.26953125" style="682" customWidth="1"/>
    <col min="9740" max="9740" width="11.453125" style="682" bestFit="1" customWidth="1"/>
    <col min="9741" max="9984" width="8.81640625" style="682"/>
    <col min="9985" max="9985" width="15.1796875" style="682" bestFit="1" customWidth="1"/>
    <col min="9986" max="9986" width="41.54296875" style="682" customWidth="1"/>
    <col min="9987" max="9987" width="23.54296875" style="682" customWidth="1"/>
    <col min="9988" max="9988" width="16.54296875" style="682" bestFit="1" customWidth="1"/>
    <col min="9989" max="9990" width="16.7265625" style="682" bestFit="1" customWidth="1"/>
    <col min="9991" max="9991" width="18.7265625" style="682" bestFit="1" customWidth="1"/>
    <col min="9992" max="9992" width="20.7265625" style="682" bestFit="1" customWidth="1"/>
    <col min="9993" max="9993" width="21.81640625" style="682" customWidth="1"/>
    <col min="9994" max="9994" width="13.1796875" style="682" bestFit="1" customWidth="1"/>
    <col min="9995" max="9995" width="14.26953125" style="682" customWidth="1"/>
    <col min="9996" max="9996" width="11.453125" style="682" bestFit="1" customWidth="1"/>
    <col min="9997" max="10240" width="8.81640625" style="682"/>
    <col min="10241" max="10241" width="15.1796875" style="682" bestFit="1" customWidth="1"/>
    <col min="10242" max="10242" width="41.54296875" style="682" customWidth="1"/>
    <col min="10243" max="10243" width="23.54296875" style="682" customWidth="1"/>
    <col min="10244" max="10244" width="16.54296875" style="682" bestFit="1" customWidth="1"/>
    <col min="10245" max="10246" width="16.7265625" style="682" bestFit="1" customWidth="1"/>
    <col min="10247" max="10247" width="18.7265625" style="682" bestFit="1" customWidth="1"/>
    <col min="10248" max="10248" width="20.7265625" style="682" bestFit="1" customWidth="1"/>
    <col min="10249" max="10249" width="21.81640625" style="682" customWidth="1"/>
    <col min="10250" max="10250" width="13.1796875" style="682" bestFit="1" customWidth="1"/>
    <col min="10251" max="10251" width="14.26953125" style="682" customWidth="1"/>
    <col min="10252" max="10252" width="11.453125" style="682" bestFit="1" customWidth="1"/>
    <col min="10253" max="10496" width="8.81640625" style="682"/>
    <col min="10497" max="10497" width="15.1796875" style="682" bestFit="1" customWidth="1"/>
    <col min="10498" max="10498" width="41.54296875" style="682" customWidth="1"/>
    <col min="10499" max="10499" width="23.54296875" style="682" customWidth="1"/>
    <col min="10500" max="10500" width="16.54296875" style="682" bestFit="1" customWidth="1"/>
    <col min="10501" max="10502" width="16.7265625" style="682" bestFit="1" customWidth="1"/>
    <col min="10503" max="10503" width="18.7265625" style="682" bestFit="1" customWidth="1"/>
    <col min="10504" max="10504" width="20.7265625" style="682" bestFit="1" customWidth="1"/>
    <col min="10505" max="10505" width="21.81640625" style="682" customWidth="1"/>
    <col min="10506" max="10506" width="13.1796875" style="682" bestFit="1" customWidth="1"/>
    <col min="10507" max="10507" width="14.26953125" style="682" customWidth="1"/>
    <col min="10508" max="10508" width="11.453125" style="682" bestFit="1" customWidth="1"/>
    <col min="10509" max="10752" width="8.81640625" style="682"/>
    <col min="10753" max="10753" width="15.1796875" style="682" bestFit="1" customWidth="1"/>
    <col min="10754" max="10754" width="41.54296875" style="682" customWidth="1"/>
    <col min="10755" max="10755" width="23.54296875" style="682" customWidth="1"/>
    <col min="10756" max="10756" width="16.54296875" style="682" bestFit="1" customWidth="1"/>
    <col min="10757" max="10758" width="16.7265625" style="682" bestFit="1" customWidth="1"/>
    <col min="10759" max="10759" width="18.7265625" style="682" bestFit="1" customWidth="1"/>
    <col min="10760" max="10760" width="20.7265625" style="682" bestFit="1" customWidth="1"/>
    <col min="10761" max="10761" width="21.81640625" style="682" customWidth="1"/>
    <col min="10762" max="10762" width="13.1796875" style="682" bestFit="1" customWidth="1"/>
    <col min="10763" max="10763" width="14.26953125" style="682" customWidth="1"/>
    <col min="10764" max="10764" width="11.453125" style="682" bestFit="1" customWidth="1"/>
    <col min="10765" max="11008" width="8.81640625" style="682"/>
    <col min="11009" max="11009" width="15.1796875" style="682" bestFit="1" customWidth="1"/>
    <col min="11010" max="11010" width="41.54296875" style="682" customWidth="1"/>
    <col min="11011" max="11011" width="23.54296875" style="682" customWidth="1"/>
    <col min="11012" max="11012" width="16.54296875" style="682" bestFit="1" customWidth="1"/>
    <col min="11013" max="11014" width="16.7265625" style="682" bestFit="1" customWidth="1"/>
    <col min="11015" max="11015" width="18.7265625" style="682" bestFit="1" customWidth="1"/>
    <col min="11016" max="11016" width="20.7265625" style="682" bestFit="1" customWidth="1"/>
    <col min="11017" max="11017" width="21.81640625" style="682" customWidth="1"/>
    <col min="11018" max="11018" width="13.1796875" style="682" bestFit="1" customWidth="1"/>
    <col min="11019" max="11019" width="14.26953125" style="682" customWidth="1"/>
    <col min="11020" max="11020" width="11.453125" style="682" bestFit="1" customWidth="1"/>
    <col min="11021" max="11264" width="8.81640625" style="682"/>
    <col min="11265" max="11265" width="15.1796875" style="682" bestFit="1" customWidth="1"/>
    <col min="11266" max="11266" width="41.54296875" style="682" customWidth="1"/>
    <col min="11267" max="11267" width="23.54296875" style="682" customWidth="1"/>
    <col min="11268" max="11268" width="16.54296875" style="682" bestFit="1" customWidth="1"/>
    <col min="11269" max="11270" width="16.7265625" style="682" bestFit="1" customWidth="1"/>
    <col min="11271" max="11271" width="18.7265625" style="682" bestFit="1" customWidth="1"/>
    <col min="11272" max="11272" width="20.7265625" style="682" bestFit="1" customWidth="1"/>
    <col min="11273" max="11273" width="21.81640625" style="682" customWidth="1"/>
    <col min="11274" max="11274" width="13.1796875" style="682" bestFit="1" customWidth="1"/>
    <col min="11275" max="11275" width="14.26953125" style="682" customWidth="1"/>
    <col min="11276" max="11276" width="11.453125" style="682" bestFit="1" customWidth="1"/>
    <col min="11277" max="11520" width="8.81640625" style="682"/>
    <col min="11521" max="11521" width="15.1796875" style="682" bestFit="1" customWidth="1"/>
    <col min="11522" max="11522" width="41.54296875" style="682" customWidth="1"/>
    <col min="11523" max="11523" width="23.54296875" style="682" customWidth="1"/>
    <col min="11524" max="11524" width="16.54296875" style="682" bestFit="1" customWidth="1"/>
    <col min="11525" max="11526" width="16.7265625" style="682" bestFit="1" customWidth="1"/>
    <col min="11527" max="11527" width="18.7265625" style="682" bestFit="1" customWidth="1"/>
    <col min="11528" max="11528" width="20.7265625" style="682" bestFit="1" customWidth="1"/>
    <col min="11529" max="11529" width="21.81640625" style="682" customWidth="1"/>
    <col min="11530" max="11530" width="13.1796875" style="682" bestFit="1" customWidth="1"/>
    <col min="11531" max="11531" width="14.26953125" style="682" customWidth="1"/>
    <col min="11532" max="11532" width="11.453125" style="682" bestFit="1" customWidth="1"/>
    <col min="11533" max="11776" width="8.81640625" style="682"/>
    <col min="11777" max="11777" width="15.1796875" style="682" bestFit="1" customWidth="1"/>
    <col min="11778" max="11778" width="41.54296875" style="682" customWidth="1"/>
    <col min="11779" max="11779" width="23.54296875" style="682" customWidth="1"/>
    <col min="11780" max="11780" width="16.54296875" style="682" bestFit="1" customWidth="1"/>
    <col min="11781" max="11782" width="16.7265625" style="682" bestFit="1" customWidth="1"/>
    <col min="11783" max="11783" width="18.7265625" style="682" bestFit="1" customWidth="1"/>
    <col min="11784" max="11784" width="20.7265625" style="682" bestFit="1" customWidth="1"/>
    <col min="11785" max="11785" width="21.81640625" style="682" customWidth="1"/>
    <col min="11786" max="11786" width="13.1796875" style="682" bestFit="1" customWidth="1"/>
    <col min="11787" max="11787" width="14.26953125" style="682" customWidth="1"/>
    <col min="11788" max="11788" width="11.453125" style="682" bestFit="1" customWidth="1"/>
    <col min="11789" max="12032" width="8.81640625" style="682"/>
    <col min="12033" max="12033" width="15.1796875" style="682" bestFit="1" customWidth="1"/>
    <col min="12034" max="12034" width="41.54296875" style="682" customWidth="1"/>
    <col min="12035" max="12035" width="23.54296875" style="682" customWidth="1"/>
    <col min="12036" max="12036" width="16.54296875" style="682" bestFit="1" customWidth="1"/>
    <col min="12037" max="12038" width="16.7265625" style="682" bestFit="1" customWidth="1"/>
    <col min="12039" max="12039" width="18.7265625" style="682" bestFit="1" customWidth="1"/>
    <col min="12040" max="12040" width="20.7265625" style="682" bestFit="1" customWidth="1"/>
    <col min="12041" max="12041" width="21.81640625" style="682" customWidth="1"/>
    <col min="12042" max="12042" width="13.1796875" style="682" bestFit="1" customWidth="1"/>
    <col min="12043" max="12043" width="14.26953125" style="682" customWidth="1"/>
    <col min="12044" max="12044" width="11.453125" style="682" bestFit="1" customWidth="1"/>
    <col min="12045" max="12288" width="8.81640625" style="682"/>
    <col min="12289" max="12289" width="15.1796875" style="682" bestFit="1" customWidth="1"/>
    <col min="12290" max="12290" width="41.54296875" style="682" customWidth="1"/>
    <col min="12291" max="12291" width="23.54296875" style="682" customWidth="1"/>
    <col min="12292" max="12292" width="16.54296875" style="682" bestFit="1" customWidth="1"/>
    <col min="12293" max="12294" width="16.7265625" style="682" bestFit="1" customWidth="1"/>
    <col min="12295" max="12295" width="18.7265625" style="682" bestFit="1" customWidth="1"/>
    <col min="12296" max="12296" width="20.7265625" style="682" bestFit="1" customWidth="1"/>
    <col min="12297" max="12297" width="21.81640625" style="682" customWidth="1"/>
    <col min="12298" max="12298" width="13.1796875" style="682" bestFit="1" customWidth="1"/>
    <col min="12299" max="12299" width="14.26953125" style="682" customWidth="1"/>
    <col min="12300" max="12300" width="11.453125" style="682" bestFit="1" customWidth="1"/>
    <col min="12301" max="12544" width="8.81640625" style="682"/>
    <col min="12545" max="12545" width="15.1796875" style="682" bestFit="1" customWidth="1"/>
    <col min="12546" max="12546" width="41.54296875" style="682" customWidth="1"/>
    <col min="12547" max="12547" width="23.54296875" style="682" customWidth="1"/>
    <col min="12548" max="12548" width="16.54296875" style="682" bestFit="1" customWidth="1"/>
    <col min="12549" max="12550" width="16.7265625" style="682" bestFit="1" customWidth="1"/>
    <col min="12551" max="12551" width="18.7265625" style="682" bestFit="1" customWidth="1"/>
    <col min="12552" max="12552" width="20.7265625" style="682" bestFit="1" customWidth="1"/>
    <col min="12553" max="12553" width="21.81640625" style="682" customWidth="1"/>
    <col min="12554" max="12554" width="13.1796875" style="682" bestFit="1" customWidth="1"/>
    <col min="12555" max="12555" width="14.26953125" style="682" customWidth="1"/>
    <col min="12556" max="12556" width="11.453125" style="682" bestFit="1" customWidth="1"/>
    <col min="12557" max="12800" width="8.81640625" style="682"/>
    <col min="12801" max="12801" width="15.1796875" style="682" bestFit="1" customWidth="1"/>
    <col min="12802" max="12802" width="41.54296875" style="682" customWidth="1"/>
    <col min="12803" max="12803" width="23.54296875" style="682" customWidth="1"/>
    <col min="12804" max="12804" width="16.54296875" style="682" bestFit="1" customWidth="1"/>
    <col min="12805" max="12806" width="16.7265625" style="682" bestFit="1" customWidth="1"/>
    <col min="12807" max="12807" width="18.7265625" style="682" bestFit="1" customWidth="1"/>
    <col min="12808" max="12808" width="20.7265625" style="682" bestFit="1" customWidth="1"/>
    <col min="12809" max="12809" width="21.81640625" style="682" customWidth="1"/>
    <col min="12810" max="12810" width="13.1796875" style="682" bestFit="1" customWidth="1"/>
    <col min="12811" max="12811" width="14.26953125" style="682" customWidth="1"/>
    <col min="12812" max="12812" width="11.453125" style="682" bestFit="1" customWidth="1"/>
    <col min="12813" max="13056" width="8.81640625" style="682"/>
    <col min="13057" max="13057" width="15.1796875" style="682" bestFit="1" customWidth="1"/>
    <col min="13058" max="13058" width="41.54296875" style="682" customWidth="1"/>
    <col min="13059" max="13059" width="23.54296875" style="682" customWidth="1"/>
    <col min="13060" max="13060" width="16.54296875" style="682" bestFit="1" customWidth="1"/>
    <col min="13061" max="13062" width="16.7265625" style="682" bestFit="1" customWidth="1"/>
    <col min="13063" max="13063" width="18.7265625" style="682" bestFit="1" customWidth="1"/>
    <col min="13064" max="13064" width="20.7265625" style="682" bestFit="1" customWidth="1"/>
    <col min="13065" max="13065" width="21.81640625" style="682" customWidth="1"/>
    <col min="13066" max="13066" width="13.1796875" style="682" bestFit="1" customWidth="1"/>
    <col min="13067" max="13067" width="14.26953125" style="682" customWidth="1"/>
    <col min="13068" max="13068" width="11.453125" style="682" bestFit="1" customWidth="1"/>
    <col min="13069" max="13312" width="8.81640625" style="682"/>
    <col min="13313" max="13313" width="15.1796875" style="682" bestFit="1" customWidth="1"/>
    <col min="13314" max="13314" width="41.54296875" style="682" customWidth="1"/>
    <col min="13315" max="13315" width="23.54296875" style="682" customWidth="1"/>
    <col min="13316" max="13316" width="16.54296875" style="682" bestFit="1" customWidth="1"/>
    <col min="13317" max="13318" width="16.7265625" style="682" bestFit="1" customWidth="1"/>
    <col min="13319" max="13319" width="18.7265625" style="682" bestFit="1" customWidth="1"/>
    <col min="13320" max="13320" width="20.7265625" style="682" bestFit="1" customWidth="1"/>
    <col min="13321" max="13321" width="21.81640625" style="682" customWidth="1"/>
    <col min="13322" max="13322" width="13.1796875" style="682" bestFit="1" customWidth="1"/>
    <col min="13323" max="13323" width="14.26953125" style="682" customWidth="1"/>
    <col min="13324" max="13324" width="11.453125" style="682" bestFit="1" customWidth="1"/>
    <col min="13325" max="13568" width="8.81640625" style="682"/>
    <col min="13569" max="13569" width="15.1796875" style="682" bestFit="1" customWidth="1"/>
    <col min="13570" max="13570" width="41.54296875" style="682" customWidth="1"/>
    <col min="13571" max="13571" width="23.54296875" style="682" customWidth="1"/>
    <col min="13572" max="13572" width="16.54296875" style="682" bestFit="1" customWidth="1"/>
    <col min="13573" max="13574" width="16.7265625" style="682" bestFit="1" customWidth="1"/>
    <col min="13575" max="13575" width="18.7265625" style="682" bestFit="1" customWidth="1"/>
    <col min="13576" max="13576" width="20.7265625" style="682" bestFit="1" customWidth="1"/>
    <col min="13577" max="13577" width="21.81640625" style="682" customWidth="1"/>
    <col min="13578" max="13578" width="13.1796875" style="682" bestFit="1" customWidth="1"/>
    <col min="13579" max="13579" width="14.26953125" style="682" customWidth="1"/>
    <col min="13580" max="13580" width="11.453125" style="682" bestFit="1" customWidth="1"/>
    <col min="13581" max="13824" width="8.81640625" style="682"/>
    <col min="13825" max="13825" width="15.1796875" style="682" bestFit="1" customWidth="1"/>
    <col min="13826" max="13826" width="41.54296875" style="682" customWidth="1"/>
    <col min="13827" max="13827" width="23.54296875" style="682" customWidth="1"/>
    <col min="13828" max="13828" width="16.54296875" style="682" bestFit="1" customWidth="1"/>
    <col min="13829" max="13830" width="16.7265625" style="682" bestFit="1" customWidth="1"/>
    <col min="13831" max="13831" width="18.7265625" style="682" bestFit="1" customWidth="1"/>
    <col min="13832" max="13832" width="20.7265625" style="682" bestFit="1" customWidth="1"/>
    <col min="13833" max="13833" width="21.81640625" style="682" customWidth="1"/>
    <col min="13834" max="13834" width="13.1796875" style="682" bestFit="1" customWidth="1"/>
    <col min="13835" max="13835" width="14.26953125" style="682" customWidth="1"/>
    <col min="13836" max="13836" width="11.453125" style="682" bestFit="1" customWidth="1"/>
    <col min="13837" max="14080" width="8.81640625" style="682"/>
    <col min="14081" max="14081" width="15.1796875" style="682" bestFit="1" customWidth="1"/>
    <col min="14082" max="14082" width="41.54296875" style="682" customWidth="1"/>
    <col min="14083" max="14083" width="23.54296875" style="682" customWidth="1"/>
    <col min="14084" max="14084" width="16.54296875" style="682" bestFit="1" customWidth="1"/>
    <col min="14085" max="14086" width="16.7265625" style="682" bestFit="1" customWidth="1"/>
    <col min="14087" max="14087" width="18.7265625" style="682" bestFit="1" customWidth="1"/>
    <col min="14088" max="14088" width="20.7265625" style="682" bestFit="1" customWidth="1"/>
    <col min="14089" max="14089" width="21.81640625" style="682" customWidth="1"/>
    <col min="14090" max="14090" width="13.1796875" style="682" bestFit="1" customWidth="1"/>
    <col min="14091" max="14091" width="14.26953125" style="682" customWidth="1"/>
    <col min="14092" max="14092" width="11.453125" style="682" bestFit="1" customWidth="1"/>
    <col min="14093" max="14336" width="8.81640625" style="682"/>
    <col min="14337" max="14337" width="15.1796875" style="682" bestFit="1" customWidth="1"/>
    <col min="14338" max="14338" width="41.54296875" style="682" customWidth="1"/>
    <col min="14339" max="14339" width="23.54296875" style="682" customWidth="1"/>
    <col min="14340" max="14340" width="16.54296875" style="682" bestFit="1" customWidth="1"/>
    <col min="14341" max="14342" width="16.7265625" style="682" bestFit="1" customWidth="1"/>
    <col min="14343" max="14343" width="18.7265625" style="682" bestFit="1" customWidth="1"/>
    <col min="14344" max="14344" width="20.7265625" style="682" bestFit="1" customWidth="1"/>
    <col min="14345" max="14345" width="21.81640625" style="682" customWidth="1"/>
    <col min="14346" max="14346" width="13.1796875" style="682" bestFit="1" customWidth="1"/>
    <col min="14347" max="14347" width="14.26953125" style="682" customWidth="1"/>
    <col min="14348" max="14348" width="11.453125" style="682" bestFit="1" customWidth="1"/>
    <col min="14349" max="14592" width="8.81640625" style="682"/>
    <col min="14593" max="14593" width="15.1796875" style="682" bestFit="1" customWidth="1"/>
    <col min="14594" max="14594" width="41.54296875" style="682" customWidth="1"/>
    <col min="14595" max="14595" width="23.54296875" style="682" customWidth="1"/>
    <col min="14596" max="14596" width="16.54296875" style="682" bestFit="1" customWidth="1"/>
    <col min="14597" max="14598" width="16.7265625" style="682" bestFit="1" customWidth="1"/>
    <col min="14599" max="14599" width="18.7265625" style="682" bestFit="1" customWidth="1"/>
    <col min="14600" max="14600" width="20.7265625" style="682" bestFit="1" customWidth="1"/>
    <col min="14601" max="14601" width="21.81640625" style="682" customWidth="1"/>
    <col min="14602" max="14602" width="13.1796875" style="682" bestFit="1" customWidth="1"/>
    <col min="14603" max="14603" width="14.26953125" style="682" customWidth="1"/>
    <col min="14604" max="14604" width="11.453125" style="682" bestFit="1" customWidth="1"/>
    <col min="14605" max="14848" width="8.81640625" style="682"/>
    <col min="14849" max="14849" width="15.1796875" style="682" bestFit="1" customWidth="1"/>
    <col min="14850" max="14850" width="41.54296875" style="682" customWidth="1"/>
    <col min="14851" max="14851" width="23.54296875" style="682" customWidth="1"/>
    <col min="14852" max="14852" width="16.54296875" style="682" bestFit="1" customWidth="1"/>
    <col min="14853" max="14854" width="16.7265625" style="682" bestFit="1" customWidth="1"/>
    <col min="14855" max="14855" width="18.7265625" style="682" bestFit="1" customWidth="1"/>
    <col min="14856" max="14856" width="20.7265625" style="682" bestFit="1" customWidth="1"/>
    <col min="14857" max="14857" width="21.81640625" style="682" customWidth="1"/>
    <col min="14858" max="14858" width="13.1796875" style="682" bestFit="1" customWidth="1"/>
    <col min="14859" max="14859" width="14.26953125" style="682" customWidth="1"/>
    <col min="14860" max="14860" width="11.453125" style="682" bestFit="1" customWidth="1"/>
    <col min="14861" max="15104" width="8.81640625" style="682"/>
    <col min="15105" max="15105" width="15.1796875" style="682" bestFit="1" customWidth="1"/>
    <col min="15106" max="15106" width="41.54296875" style="682" customWidth="1"/>
    <col min="15107" max="15107" width="23.54296875" style="682" customWidth="1"/>
    <col min="15108" max="15108" width="16.54296875" style="682" bestFit="1" customWidth="1"/>
    <col min="15109" max="15110" width="16.7265625" style="682" bestFit="1" customWidth="1"/>
    <col min="15111" max="15111" width="18.7265625" style="682" bestFit="1" customWidth="1"/>
    <col min="15112" max="15112" width="20.7265625" style="682" bestFit="1" customWidth="1"/>
    <col min="15113" max="15113" width="21.81640625" style="682" customWidth="1"/>
    <col min="15114" max="15114" width="13.1796875" style="682" bestFit="1" customWidth="1"/>
    <col min="15115" max="15115" width="14.26953125" style="682" customWidth="1"/>
    <col min="15116" max="15116" width="11.453125" style="682" bestFit="1" customWidth="1"/>
    <col min="15117" max="15360" width="8.81640625" style="682"/>
    <col min="15361" max="15361" width="15.1796875" style="682" bestFit="1" customWidth="1"/>
    <col min="15362" max="15362" width="41.54296875" style="682" customWidth="1"/>
    <col min="15363" max="15363" width="23.54296875" style="682" customWidth="1"/>
    <col min="15364" max="15364" width="16.54296875" style="682" bestFit="1" customWidth="1"/>
    <col min="15365" max="15366" width="16.7265625" style="682" bestFit="1" customWidth="1"/>
    <col min="15367" max="15367" width="18.7265625" style="682" bestFit="1" customWidth="1"/>
    <col min="15368" max="15368" width="20.7265625" style="682" bestFit="1" customWidth="1"/>
    <col min="15369" max="15369" width="21.81640625" style="682" customWidth="1"/>
    <col min="15370" max="15370" width="13.1796875" style="682" bestFit="1" customWidth="1"/>
    <col min="15371" max="15371" width="14.26953125" style="682" customWidth="1"/>
    <col min="15372" max="15372" width="11.453125" style="682" bestFit="1" customWidth="1"/>
    <col min="15373" max="15616" width="8.81640625" style="682"/>
    <col min="15617" max="15617" width="15.1796875" style="682" bestFit="1" customWidth="1"/>
    <col min="15618" max="15618" width="41.54296875" style="682" customWidth="1"/>
    <col min="15619" max="15619" width="23.54296875" style="682" customWidth="1"/>
    <col min="15620" max="15620" width="16.54296875" style="682" bestFit="1" customWidth="1"/>
    <col min="15621" max="15622" width="16.7265625" style="682" bestFit="1" customWidth="1"/>
    <col min="15623" max="15623" width="18.7265625" style="682" bestFit="1" customWidth="1"/>
    <col min="15624" max="15624" width="20.7265625" style="682" bestFit="1" customWidth="1"/>
    <col min="15625" max="15625" width="21.81640625" style="682" customWidth="1"/>
    <col min="15626" max="15626" width="13.1796875" style="682" bestFit="1" customWidth="1"/>
    <col min="15627" max="15627" width="14.26953125" style="682" customWidth="1"/>
    <col min="15628" max="15628" width="11.453125" style="682" bestFit="1" customWidth="1"/>
    <col min="15629" max="15872" width="8.81640625" style="682"/>
    <col min="15873" max="15873" width="15.1796875" style="682" bestFit="1" customWidth="1"/>
    <col min="15874" max="15874" width="41.54296875" style="682" customWidth="1"/>
    <col min="15875" max="15875" width="23.54296875" style="682" customWidth="1"/>
    <col min="15876" max="15876" width="16.54296875" style="682" bestFit="1" customWidth="1"/>
    <col min="15877" max="15878" width="16.7265625" style="682" bestFit="1" customWidth="1"/>
    <col min="15879" max="15879" width="18.7265625" style="682" bestFit="1" customWidth="1"/>
    <col min="15880" max="15880" width="20.7265625" style="682" bestFit="1" customWidth="1"/>
    <col min="15881" max="15881" width="21.81640625" style="682" customWidth="1"/>
    <col min="15882" max="15882" width="13.1796875" style="682" bestFit="1" customWidth="1"/>
    <col min="15883" max="15883" width="14.26953125" style="682" customWidth="1"/>
    <col min="15884" max="15884" width="11.453125" style="682" bestFit="1" customWidth="1"/>
    <col min="15885" max="16128" width="8.81640625" style="682"/>
    <col min="16129" max="16129" width="15.1796875" style="682" bestFit="1" customWidth="1"/>
    <col min="16130" max="16130" width="41.54296875" style="682" customWidth="1"/>
    <col min="16131" max="16131" width="23.54296875" style="682" customWidth="1"/>
    <col min="16132" max="16132" width="16.54296875" style="682" bestFit="1" customWidth="1"/>
    <col min="16133" max="16134" width="16.7265625" style="682" bestFit="1" customWidth="1"/>
    <col min="16135" max="16135" width="18.7265625" style="682" bestFit="1" customWidth="1"/>
    <col min="16136" max="16136" width="20.7265625" style="682" bestFit="1" customWidth="1"/>
    <col min="16137" max="16137" width="21.81640625" style="682" customWidth="1"/>
    <col min="16138" max="16138" width="13.1796875" style="682" bestFit="1" customWidth="1"/>
    <col min="16139" max="16139" width="14.26953125" style="682" customWidth="1"/>
    <col min="16140" max="16140" width="11.453125" style="682" bestFit="1" customWidth="1"/>
    <col min="16141" max="16384" width="8.81640625" style="682"/>
  </cols>
  <sheetData>
    <row r="1" spans="1:11">
      <c r="A1" s="682" t="s">
        <v>4250</v>
      </c>
      <c r="B1" s="682" t="s">
        <v>4251</v>
      </c>
      <c r="C1" s="683" t="s">
        <v>4252</v>
      </c>
      <c r="D1" s="682" t="s">
        <v>4253</v>
      </c>
      <c r="E1" s="684">
        <v>43150</v>
      </c>
      <c r="F1" s="684"/>
    </row>
    <row r="2" spans="1:11">
      <c r="A2" s="682" t="s">
        <v>4254</v>
      </c>
      <c r="B2" s="682" t="s">
        <v>114</v>
      </c>
      <c r="C2" s="682" t="s">
        <v>4255</v>
      </c>
      <c r="D2" s="682" t="s">
        <v>4256</v>
      </c>
      <c r="E2" s="682" t="s">
        <v>4257</v>
      </c>
      <c r="F2" s="682" t="s">
        <v>4258</v>
      </c>
      <c r="G2" s="682" t="s">
        <v>4259</v>
      </c>
      <c r="H2" s="682" t="s">
        <v>4260</v>
      </c>
      <c r="I2" s="682" t="s">
        <v>4261</v>
      </c>
    </row>
    <row r="3" spans="1:11">
      <c r="A3" s="682" t="s">
        <v>3568</v>
      </c>
      <c r="B3" s="682" t="s">
        <v>1943</v>
      </c>
      <c r="C3" s="685">
        <v>18089.509999999998</v>
      </c>
      <c r="D3" s="685">
        <v>0</v>
      </c>
      <c r="E3" s="685">
        <v>94742.64</v>
      </c>
      <c r="F3" s="685">
        <v>95865.85</v>
      </c>
      <c r="G3" s="685">
        <v>16966.3</v>
      </c>
      <c r="H3" s="685">
        <v>0</v>
      </c>
      <c r="I3" s="685">
        <f>G3-H3</f>
        <v>16966.3</v>
      </c>
    </row>
    <row r="4" spans="1:11">
      <c r="A4" s="682" t="s">
        <v>3569</v>
      </c>
      <c r="B4" s="682" t="s">
        <v>3570</v>
      </c>
      <c r="C4" s="685">
        <v>1683.51</v>
      </c>
      <c r="D4" s="685">
        <v>0</v>
      </c>
      <c r="E4" s="685">
        <v>28577870.539999999</v>
      </c>
      <c r="F4" s="685">
        <v>26840159.850000001</v>
      </c>
      <c r="G4" s="685">
        <v>1739394.2</v>
      </c>
      <c r="H4" s="685">
        <v>0</v>
      </c>
      <c r="I4" s="685">
        <f t="shared" ref="I4:I67" si="0">G4-H4</f>
        <v>1739394.2</v>
      </c>
    </row>
    <row r="5" spans="1:11">
      <c r="A5" s="682" t="s">
        <v>3571</v>
      </c>
      <c r="B5" s="682" t="s">
        <v>1945</v>
      </c>
      <c r="C5" s="685">
        <v>2065909.65</v>
      </c>
      <c r="D5" s="685">
        <v>0</v>
      </c>
      <c r="E5" s="685">
        <v>14515272.25</v>
      </c>
      <c r="F5" s="685">
        <v>16446330.9</v>
      </c>
      <c r="G5" s="685">
        <v>134851</v>
      </c>
      <c r="H5" s="685">
        <v>0</v>
      </c>
      <c r="I5" s="685">
        <f t="shared" si="0"/>
        <v>134851</v>
      </c>
    </row>
    <row r="6" spans="1:11">
      <c r="A6" s="682" t="s">
        <v>3572</v>
      </c>
      <c r="B6" s="682" t="s">
        <v>3573</v>
      </c>
      <c r="C6" s="685">
        <v>0</v>
      </c>
      <c r="D6" s="685">
        <v>0</v>
      </c>
      <c r="E6" s="685">
        <v>47257377.689999998</v>
      </c>
      <c r="F6" s="685">
        <v>47261387.689999998</v>
      </c>
      <c r="G6" s="685">
        <v>0</v>
      </c>
      <c r="H6" s="685">
        <v>4010</v>
      </c>
      <c r="I6" s="685">
        <f t="shared" si="0"/>
        <v>-4010</v>
      </c>
    </row>
    <row r="7" spans="1:11">
      <c r="A7" s="682" t="s">
        <v>3574</v>
      </c>
      <c r="B7" s="682" t="s">
        <v>3575</v>
      </c>
      <c r="C7" s="685">
        <v>35407.65</v>
      </c>
      <c r="D7" s="685">
        <v>0</v>
      </c>
      <c r="E7" s="685">
        <v>332.03</v>
      </c>
      <c r="F7" s="685">
        <v>412.03</v>
      </c>
      <c r="G7" s="685">
        <v>35327.65</v>
      </c>
      <c r="H7" s="685">
        <v>0</v>
      </c>
      <c r="I7" s="685">
        <f t="shared" si="0"/>
        <v>35327.65</v>
      </c>
    </row>
    <row r="8" spans="1:11">
      <c r="A8" s="682" t="s">
        <v>3576</v>
      </c>
      <c r="B8" s="682" t="s">
        <v>1946</v>
      </c>
      <c r="C8" s="685">
        <v>1755383.84</v>
      </c>
      <c r="D8" s="685">
        <v>0</v>
      </c>
      <c r="E8" s="685">
        <v>9658336.5199999996</v>
      </c>
      <c r="F8" s="685">
        <v>10353898.210000001</v>
      </c>
      <c r="G8" s="685">
        <v>1059822.1499999999</v>
      </c>
      <c r="H8" s="685">
        <v>0</v>
      </c>
      <c r="I8" s="685">
        <f t="shared" si="0"/>
        <v>1059822.1499999999</v>
      </c>
    </row>
    <row r="9" spans="1:11">
      <c r="A9" s="682" t="s">
        <v>3577</v>
      </c>
      <c r="B9" s="682" t="s">
        <v>1953</v>
      </c>
      <c r="C9" s="685">
        <v>956127.25</v>
      </c>
      <c r="D9" s="685">
        <v>0</v>
      </c>
      <c r="E9" s="685">
        <v>134586059.15000001</v>
      </c>
      <c r="F9" s="685">
        <f>135166325.29</f>
        <v>135166325.28999999</v>
      </c>
      <c r="G9" s="685">
        <v>375861.11</v>
      </c>
      <c r="H9" s="685">
        <v>637260.27</v>
      </c>
      <c r="I9" s="685">
        <f t="shared" si="0"/>
        <v>-261399.16000000003</v>
      </c>
      <c r="J9" s="685"/>
      <c r="K9" s="685"/>
    </row>
    <row r="10" spans="1:11">
      <c r="A10" s="682" t="s">
        <v>3578</v>
      </c>
      <c r="B10" s="682" t="s">
        <v>1954</v>
      </c>
      <c r="C10" s="685">
        <v>6359276.5599999996</v>
      </c>
      <c r="D10" s="685">
        <v>0</v>
      </c>
      <c r="E10" s="685">
        <v>18405826.140000001</v>
      </c>
      <c r="F10" s="685">
        <v>19684697.289999999</v>
      </c>
      <c r="G10" s="685">
        <v>5080405.41</v>
      </c>
      <c r="H10" s="685">
        <v>0</v>
      </c>
      <c r="I10" s="685">
        <f t="shared" si="0"/>
        <v>5080405.41</v>
      </c>
    </row>
    <row r="11" spans="1:11">
      <c r="A11" s="682" t="s">
        <v>3579</v>
      </c>
      <c r="B11" s="682" t="s">
        <v>1955</v>
      </c>
      <c r="C11" s="685">
        <v>646073.87</v>
      </c>
      <c r="D11" s="685">
        <v>0</v>
      </c>
      <c r="E11" s="685">
        <v>678524.91</v>
      </c>
      <c r="F11" s="685">
        <v>945490.37</v>
      </c>
      <c r="G11" s="685">
        <v>379108.41</v>
      </c>
      <c r="H11" s="685">
        <v>0</v>
      </c>
      <c r="I11" s="685">
        <f t="shared" si="0"/>
        <v>379108.41</v>
      </c>
    </row>
    <row r="12" spans="1:11">
      <c r="A12" s="682" t="s">
        <v>3580</v>
      </c>
      <c r="B12" s="682" t="s">
        <v>1956</v>
      </c>
      <c r="C12" s="685">
        <v>311926.39</v>
      </c>
      <c r="D12" s="685">
        <v>0</v>
      </c>
      <c r="E12" s="685">
        <v>9328.94</v>
      </c>
      <c r="F12" s="685">
        <v>308791.75</v>
      </c>
      <c r="G12" s="685">
        <v>12463.58</v>
      </c>
      <c r="H12" s="685">
        <v>0</v>
      </c>
      <c r="I12" s="685">
        <f t="shared" si="0"/>
        <v>12463.58</v>
      </c>
    </row>
    <row r="13" spans="1:11">
      <c r="A13" s="682" t="s">
        <v>3581</v>
      </c>
      <c r="B13" s="682" t="s">
        <v>1957</v>
      </c>
      <c r="C13" s="685">
        <v>13937.9</v>
      </c>
      <c r="D13" s="685">
        <v>0</v>
      </c>
      <c r="E13" s="685">
        <v>4638935.46</v>
      </c>
      <c r="F13" s="685">
        <v>4638935.46</v>
      </c>
      <c r="G13" s="685">
        <v>13937.9</v>
      </c>
      <c r="H13" s="685">
        <v>0</v>
      </c>
      <c r="I13" s="685">
        <f t="shared" si="0"/>
        <v>13937.9</v>
      </c>
    </row>
    <row r="14" spans="1:11">
      <c r="A14" s="682" t="s">
        <v>3582</v>
      </c>
      <c r="B14" s="682" t="s">
        <v>3062</v>
      </c>
      <c r="C14" s="685">
        <v>59194.41</v>
      </c>
      <c r="D14" s="685">
        <v>0</v>
      </c>
      <c r="E14" s="685">
        <v>1217212.19</v>
      </c>
      <c r="F14" s="685">
        <v>1268093.6000000001</v>
      </c>
      <c r="G14" s="685">
        <v>8313</v>
      </c>
      <c r="H14" s="685">
        <v>0</v>
      </c>
      <c r="I14" s="685">
        <f t="shared" si="0"/>
        <v>8313</v>
      </c>
    </row>
    <row r="15" spans="1:11">
      <c r="A15" s="682" t="s">
        <v>3583</v>
      </c>
      <c r="B15" s="682" t="s">
        <v>3584</v>
      </c>
      <c r="C15" s="685">
        <v>2711464.49</v>
      </c>
      <c r="D15" s="685">
        <v>0</v>
      </c>
      <c r="E15" s="685">
        <v>2881669.81</v>
      </c>
      <c r="F15" s="685">
        <v>3074869.13</v>
      </c>
      <c r="G15" s="685">
        <v>2518265.17</v>
      </c>
      <c r="H15" s="685">
        <v>0</v>
      </c>
      <c r="I15" s="685">
        <f t="shared" si="0"/>
        <v>2518265.17</v>
      </c>
    </row>
    <row r="16" spans="1:11">
      <c r="A16" s="682" t="s">
        <v>3585</v>
      </c>
      <c r="B16" s="682" t="s">
        <v>3586</v>
      </c>
      <c r="C16" s="685">
        <v>3600.03</v>
      </c>
      <c r="D16" s="685">
        <v>0</v>
      </c>
      <c r="E16" s="685">
        <v>9665.6</v>
      </c>
      <c r="F16" s="685">
        <v>10906.37</v>
      </c>
      <c r="G16" s="685">
        <v>2359.2600000000002</v>
      </c>
      <c r="H16" s="685">
        <v>0</v>
      </c>
      <c r="I16" s="685">
        <f t="shared" si="0"/>
        <v>2359.2600000000002</v>
      </c>
    </row>
    <row r="17" spans="1:9">
      <c r="A17" s="682" t="s">
        <v>3587</v>
      </c>
      <c r="B17" s="682" t="s">
        <v>3588</v>
      </c>
      <c r="C17" s="685">
        <v>128573.73</v>
      </c>
      <c r="D17" s="685">
        <v>0</v>
      </c>
      <c r="E17" s="685">
        <v>2786718.09</v>
      </c>
      <c r="F17" s="685">
        <v>2815038.22</v>
      </c>
      <c r="G17" s="685">
        <v>100253.6</v>
      </c>
      <c r="H17" s="685">
        <v>0</v>
      </c>
      <c r="I17" s="685">
        <f t="shared" si="0"/>
        <v>100253.6</v>
      </c>
    </row>
    <row r="18" spans="1:9">
      <c r="A18" s="682" t="s">
        <v>3589</v>
      </c>
      <c r="B18" s="682" t="s">
        <v>3590</v>
      </c>
      <c r="C18" s="685">
        <v>0</v>
      </c>
      <c r="D18" s="685">
        <v>0</v>
      </c>
      <c r="E18" s="685">
        <v>128573.73</v>
      </c>
      <c r="F18" s="685">
        <v>1147.44</v>
      </c>
      <c r="G18" s="685">
        <v>127426.29</v>
      </c>
      <c r="H18" s="685">
        <v>0</v>
      </c>
      <c r="I18" s="685">
        <f t="shared" si="0"/>
        <v>127426.29</v>
      </c>
    </row>
    <row r="19" spans="1:9">
      <c r="A19" s="682" t="s">
        <v>3591</v>
      </c>
      <c r="B19" s="682" t="s">
        <v>3592</v>
      </c>
      <c r="C19" s="685">
        <v>3830.46</v>
      </c>
      <c r="D19" s="685">
        <v>0</v>
      </c>
      <c r="E19" s="685">
        <v>0</v>
      </c>
      <c r="F19" s="685">
        <v>3830.46</v>
      </c>
      <c r="G19" s="685">
        <v>0</v>
      </c>
      <c r="H19" s="685">
        <v>0</v>
      </c>
      <c r="I19" s="685">
        <f t="shared" si="0"/>
        <v>0</v>
      </c>
    </row>
    <row r="20" spans="1:9">
      <c r="A20" s="682" t="s">
        <v>3593</v>
      </c>
      <c r="B20" s="682" t="s">
        <v>3594</v>
      </c>
      <c r="C20" s="685">
        <v>24661879.629999999</v>
      </c>
      <c r="D20" s="685">
        <v>0</v>
      </c>
      <c r="E20" s="685">
        <v>22394209.84</v>
      </c>
      <c r="F20" s="685">
        <v>25234731.140000001</v>
      </c>
      <c r="G20" s="685">
        <v>21821358.329999998</v>
      </c>
      <c r="H20" s="685">
        <v>0</v>
      </c>
      <c r="I20" s="685">
        <f t="shared" si="0"/>
        <v>21821358.329999998</v>
      </c>
    </row>
    <row r="21" spans="1:9">
      <c r="A21" s="682" t="s">
        <v>3595</v>
      </c>
      <c r="B21" s="682" t="s">
        <v>3596</v>
      </c>
      <c r="C21" s="685">
        <v>10413955.199999999</v>
      </c>
      <c r="D21" s="685">
        <v>0</v>
      </c>
      <c r="E21" s="685">
        <v>9954485.5500000007</v>
      </c>
      <c r="F21" s="685">
        <v>10410640.210000001</v>
      </c>
      <c r="G21" s="685">
        <v>9957800.5399999991</v>
      </c>
      <c r="H21" s="685">
        <v>0</v>
      </c>
      <c r="I21" s="685">
        <f t="shared" si="0"/>
        <v>9957800.5399999991</v>
      </c>
    </row>
    <row r="22" spans="1:9">
      <c r="A22" s="682" t="s">
        <v>3597</v>
      </c>
      <c r="B22" s="682" t="s">
        <v>3598</v>
      </c>
      <c r="C22" s="685">
        <v>49501893.299999997</v>
      </c>
      <c r="D22" s="685">
        <v>0</v>
      </c>
      <c r="E22" s="685">
        <v>53236168.729999997</v>
      </c>
      <c r="F22" s="685">
        <v>54618512.439999998</v>
      </c>
      <c r="G22" s="685">
        <v>48119549.590000004</v>
      </c>
      <c r="H22" s="685">
        <v>0</v>
      </c>
      <c r="I22" s="685">
        <f t="shared" si="0"/>
        <v>48119549.590000004</v>
      </c>
    </row>
    <row r="23" spans="1:9">
      <c r="A23" s="682" t="s">
        <v>3599</v>
      </c>
      <c r="B23" s="682" t="s">
        <v>3600</v>
      </c>
      <c r="C23" s="685">
        <v>52073740</v>
      </c>
      <c r="D23" s="685">
        <v>0</v>
      </c>
      <c r="E23" s="685">
        <v>3678522956.8800001</v>
      </c>
      <c r="F23" s="685">
        <v>3663139465.2399998</v>
      </c>
      <c r="G23" s="685">
        <v>67457231.640000001</v>
      </c>
      <c r="H23" s="685">
        <v>0</v>
      </c>
      <c r="I23" s="685">
        <f t="shared" si="0"/>
        <v>67457231.640000001</v>
      </c>
    </row>
    <row r="24" spans="1:9">
      <c r="A24" s="682" t="s">
        <v>4262</v>
      </c>
      <c r="B24" s="682" t="s">
        <v>4263</v>
      </c>
      <c r="C24" s="685">
        <v>141894.76</v>
      </c>
      <c r="D24" s="685">
        <v>0</v>
      </c>
      <c r="E24" s="685">
        <v>0</v>
      </c>
      <c r="F24" s="685">
        <v>141894.76</v>
      </c>
      <c r="G24" s="685">
        <v>0</v>
      </c>
      <c r="H24" s="685">
        <v>0</v>
      </c>
      <c r="I24" s="685">
        <f t="shared" si="0"/>
        <v>0</v>
      </c>
    </row>
    <row r="25" spans="1:9">
      <c r="A25" s="682" t="s">
        <v>4264</v>
      </c>
      <c r="B25" s="682" t="s">
        <v>4265</v>
      </c>
      <c r="C25" s="685">
        <v>259889.25</v>
      </c>
      <c r="D25" s="685">
        <v>0</v>
      </c>
      <c r="E25" s="685">
        <v>3830.46</v>
      </c>
      <c r="F25" s="685">
        <v>263719.71000000002</v>
      </c>
      <c r="G25" s="685">
        <v>0</v>
      </c>
      <c r="H25" s="685">
        <v>0</v>
      </c>
      <c r="I25" s="685">
        <f t="shared" si="0"/>
        <v>0</v>
      </c>
    </row>
    <row r="26" spans="1:9">
      <c r="A26" s="682" t="s">
        <v>3601</v>
      </c>
      <c r="B26" s="682" t="s">
        <v>3602</v>
      </c>
      <c r="C26" s="685">
        <v>2031042.11</v>
      </c>
      <c r="D26" s="685">
        <v>0</v>
      </c>
      <c r="E26" s="685">
        <v>20108748.920000002</v>
      </c>
      <c r="F26" s="685">
        <v>21961748.210000001</v>
      </c>
      <c r="G26" s="685">
        <v>178042.82</v>
      </c>
      <c r="H26" s="685">
        <v>0</v>
      </c>
      <c r="I26" s="685">
        <f t="shared" si="0"/>
        <v>178042.82</v>
      </c>
    </row>
    <row r="27" spans="1:9">
      <c r="A27" s="682" t="s">
        <v>3603</v>
      </c>
      <c r="B27" s="682" t="s">
        <v>3604</v>
      </c>
      <c r="C27" s="685">
        <v>939204.63</v>
      </c>
      <c r="D27" s="685">
        <v>0</v>
      </c>
      <c r="E27" s="685">
        <v>8966249.6899999995</v>
      </c>
      <c r="F27" s="685">
        <v>9861496.9800000004</v>
      </c>
      <c r="G27" s="685">
        <v>43957.34</v>
      </c>
      <c r="H27" s="685">
        <v>0</v>
      </c>
      <c r="I27" s="685">
        <f t="shared" si="0"/>
        <v>43957.34</v>
      </c>
    </row>
    <row r="28" spans="1:9">
      <c r="A28" s="682" t="s">
        <v>3605</v>
      </c>
      <c r="B28" s="682" t="s">
        <v>3606</v>
      </c>
      <c r="C28" s="685">
        <v>3310893.78</v>
      </c>
      <c r="D28" s="685">
        <v>0</v>
      </c>
      <c r="E28" s="685">
        <v>50964323.670000002</v>
      </c>
      <c r="F28" s="685">
        <v>53862038.479999997</v>
      </c>
      <c r="G28" s="685">
        <v>413178.97</v>
      </c>
      <c r="H28" s="685">
        <v>0</v>
      </c>
      <c r="I28" s="685">
        <f t="shared" si="0"/>
        <v>413178.97</v>
      </c>
    </row>
    <row r="29" spans="1:9">
      <c r="A29" s="682" t="s">
        <v>3607</v>
      </c>
      <c r="B29" s="682" t="s">
        <v>3608</v>
      </c>
      <c r="C29" s="685">
        <v>581348.09</v>
      </c>
      <c r="D29" s="685">
        <v>0</v>
      </c>
      <c r="E29" s="685">
        <v>890378200.01999998</v>
      </c>
      <c r="F29" s="685">
        <v>890959548.11000001</v>
      </c>
      <c r="G29" s="685">
        <v>0</v>
      </c>
      <c r="H29" s="685">
        <v>0</v>
      </c>
      <c r="I29" s="685">
        <f t="shared" si="0"/>
        <v>0</v>
      </c>
    </row>
    <row r="30" spans="1:9">
      <c r="A30" s="682" t="s">
        <v>3609</v>
      </c>
      <c r="B30" s="682" t="s">
        <v>3610</v>
      </c>
      <c r="C30" s="685">
        <v>0</v>
      </c>
      <c r="D30" s="685">
        <v>0</v>
      </c>
      <c r="E30" s="685">
        <v>263719.71000000002</v>
      </c>
      <c r="F30" s="685">
        <v>260740.64</v>
      </c>
      <c r="G30" s="685">
        <v>2979.07</v>
      </c>
      <c r="H30" s="685">
        <v>0</v>
      </c>
      <c r="I30" s="685">
        <f t="shared" si="0"/>
        <v>2979.07</v>
      </c>
    </row>
    <row r="31" spans="1:9">
      <c r="A31" s="682" t="s">
        <v>3611</v>
      </c>
      <c r="B31" s="682" t="s">
        <v>3612</v>
      </c>
      <c r="C31" s="685">
        <v>0</v>
      </c>
      <c r="D31" s="685">
        <v>0</v>
      </c>
      <c r="E31" s="685">
        <v>2505216.92</v>
      </c>
      <c r="F31" s="685">
        <v>2403263.1</v>
      </c>
      <c r="G31" s="685">
        <v>101953.82</v>
      </c>
      <c r="H31" s="685">
        <v>0</v>
      </c>
      <c r="I31" s="685">
        <f t="shared" si="0"/>
        <v>101953.82</v>
      </c>
    </row>
    <row r="32" spans="1:9">
      <c r="A32" s="682" t="s">
        <v>3613</v>
      </c>
      <c r="B32" s="682" t="s">
        <v>3614</v>
      </c>
      <c r="C32" s="685">
        <v>0</v>
      </c>
      <c r="D32" s="685">
        <v>0</v>
      </c>
      <c r="E32" s="685">
        <v>1172739.5900000001</v>
      </c>
      <c r="F32" s="685">
        <v>1097591.83</v>
      </c>
      <c r="G32" s="685">
        <v>75147.759999999995</v>
      </c>
      <c r="H32" s="685">
        <v>0</v>
      </c>
      <c r="I32" s="685">
        <f t="shared" si="0"/>
        <v>75147.759999999995</v>
      </c>
    </row>
    <row r="33" spans="1:9">
      <c r="A33" s="682" t="s">
        <v>3615</v>
      </c>
      <c r="B33" s="682" t="s">
        <v>3616</v>
      </c>
      <c r="C33" s="685">
        <v>0</v>
      </c>
      <c r="D33" s="685">
        <v>0</v>
      </c>
      <c r="E33" s="685">
        <v>5059486.47</v>
      </c>
      <c r="F33" s="685">
        <v>4716127.29</v>
      </c>
      <c r="G33" s="685">
        <v>343359.18</v>
      </c>
      <c r="H33" s="685">
        <v>0</v>
      </c>
      <c r="I33" s="685">
        <f t="shared" si="0"/>
        <v>343359.18</v>
      </c>
    </row>
    <row r="34" spans="1:9">
      <c r="A34" s="682" t="s">
        <v>3617</v>
      </c>
      <c r="B34" s="682" t="s">
        <v>3618</v>
      </c>
      <c r="C34" s="685">
        <v>0</v>
      </c>
      <c r="D34" s="685">
        <v>0</v>
      </c>
      <c r="E34" s="685">
        <v>141894.76</v>
      </c>
      <c r="F34" s="685">
        <v>125673.29</v>
      </c>
      <c r="G34" s="685">
        <v>16221.47</v>
      </c>
      <c r="H34" s="685">
        <v>0</v>
      </c>
      <c r="I34" s="685">
        <f t="shared" si="0"/>
        <v>16221.47</v>
      </c>
    </row>
    <row r="35" spans="1:9">
      <c r="A35" s="682" t="s">
        <v>3619</v>
      </c>
      <c r="B35" s="682" t="s">
        <v>3620</v>
      </c>
      <c r="C35" s="685">
        <v>0</v>
      </c>
      <c r="D35" s="685">
        <v>0</v>
      </c>
      <c r="E35" s="685">
        <v>259889.25</v>
      </c>
      <c r="F35" s="685">
        <v>214545.37</v>
      </c>
      <c r="G35" s="685">
        <v>45343.88</v>
      </c>
      <c r="H35" s="685">
        <v>0</v>
      </c>
      <c r="I35" s="685">
        <f t="shared" si="0"/>
        <v>45343.88</v>
      </c>
    </row>
    <row r="36" spans="1:9">
      <c r="A36" s="682" t="s">
        <v>3621</v>
      </c>
      <c r="B36" s="682" t="s">
        <v>3622</v>
      </c>
      <c r="C36" s="685">
        <v>0</v>
      </c>
      <c r="D36" s="685">
        <v>0</v>
      </c>
      <c r="E36" s="685">
        <v>2164025.31</v>
      </c>
      <c r="F36" s="685">
        <v>671601.38</v>
      </c>
      <c r="G36" s="685">
        <v>1492423.93</v>
      </c>
      <c r="H36" s="685">
        <v>0</v>
      </c>
      <c r="I36" s="685">
        <f t="shared" si="0"/>
        <v>1492423.93</v>
      </c>
    </row>
    <row r="37" spans="1:9">
      <c r="A37" s="682" t="s">
        <v>3623</v>
      </c>
      <c r="B37" s="682" t="s">
        <v>3624</v>
      </c>
      <c r="C37" s="685">
        <v>0</v>
      </c>
      <c r="D37" s="685">
        <v>0</v>
      </c>
      <c r="E37" s="685">
        <v>977254.67</v>
      </c>
      <c r="F37" s="685">
        <v>404331.48</v>
      </c>
      <c r="G37" s="685">
        <v>572923.18999999994</v>
      </c>
      <c r="H37" s="685">
        <v>0</v>
      </c>
      <c r="I37" s="685">
        <f t="shared" si="0"/>
        <v>572923.18999999994</v>
      </c>
    </row>
    <row r="38" spans="1:9">
      <c r="A38" s="682" t="s">
        <v>3625</v>
      </c>
      <c r="B38" s="682" t="s">
        <v>3626</v>
      </c>
      <c r="C38" s="685">
        <v>0</v>
      </c>
      <c r="D38" s="685">
        <v>0</v>
      </c>
      <c r="E38" s="685">
        <v>3884320.1</v>
      </c>
      <c r="F38" s="685">
        <v>1546774.18</v>
      </c>
      <c r="G38" s="685">
        <v>2337545.92</v>
      </c>
      <c r="H38" s="685">
        <v>0</v>
      </c>
      <c r="I38" s="685">
        <f t="shared" si="0"/>
        <v>2337545.92</v>
      </c>
    </row>
    <row r="39" spans="1:9">
      <c r="A39" s="682" t="s">
        <v>3627</v>
      </c>
      <c r="B39" s="682" t="s">
        <v>3628</v>
      </c>
      <c r="C39" s="685">
        <v>0</v>
      </c>
      <c r="D39" s="685">
        <v>0</v>
      </c>
      <c r="E39" s="685">
        <v>9339787.9800000004</v>
      </c>
      <c r="F39" s="685">
        <v>8633001.3599999994</v>
      </c>
      <c r="G39" s="685">
        <v>706786.62</v>
      </c>
      <c r="H39" s="685">
        <v>0</v>
      </c>
      <c r="I39" s="685">
        <f t="shared" si="0"/>
        <v>706786.62</v>
      </c>
    </row>
    <row r="40" spans="1:9">
      <c r="A40" s="682" t="s">
        <v>3759</v>
      </c>
      <c r="B40" s="682" t="s">
        <v>3760</v>
      </c>
      <c r="C40" s="685">
        <v>961.74</v>
      </c>
      <c r="D40" s="685">
        <v>0</v>
      </c>
      <c r="E40" s="685">
        <v>49048.74</v>
      </c>
      <c r="F40" s="685">
        <v>49048.74</v>
      </c>
      <c r="G40" s="685">
        <v>961.74</v>
      </c>
      <c r="H40" s="685">
        <v>0</v>
      </c>
      <c r="I40" s="685">
        <f t="shared" si="0"/>
        <v>961.74</v>
      </c>
    </row>
    <row r="41" spans="1:9">
      <c r="A41" s="682" t="s">
        <v>3761</v>
      </c>
      <c r="B41" s="682" t="s">
        <v>3762</v>
      </c>
      <c r="C41" s="685">
        <v>48.99</v>
      </c>
      <c r="D41" s="685">
        <v>0</v>
      </c>
      <c r="E41" s="685">
        <v>2498.4899999999998</v>
      </c>
      <c r="F41" s="685">
        <v>2498.4899999999998</v>
      </c>
      <c r="G41" s="685">
        <v>48.99</v>
      </c>
      <c r="H41" s="685">
        <v>0</v>
      </c>
      <c r="I41" s="685">
        <f t="shared" si="0"/>
        <v>48.99</v>
      </c>
    </row>
    <row r="42" spans="1:9">
      <c r="A42" s="682" t="s">
        <v>3763</v>
      </c>
      <c r="B42" s="682" t="s">
        <v>1968</v>
      </c>
      <c r="C42" s="685">
        <v>620.80999999999995</v>
      </c>
      <c r="D42" s="685">
        <v>0</v>
      </c>
      <c r="E42" s="685">
        <v>20843.099999999999</v>
      </c>
      <c r="F42" s="685">
        <v>21120.49</v>
      </c>
      <c r="G42" s="685">
        <v>343.42</v>
      </c>
      <c r="H42" s="685">
        <v>0</v>
      </c>
      <c r="I42" s="685">
        <f t="shared" si="0"/>
        <v>343.42</v>
      </c>
    </row>
    <row r="43" spans="1:9">
      <c r="A43" s="682" t="s">
        <v>3713</v>
      </c>
      <c r="B43" s="682" t="s">
        <v>3417</v>
      </c>
      <c r="C43" s="685">
        <v>1841446.34</v>
      </c>
      <c r="D43" s="685">
        <v>0</v>
      </c>
      <c r="E43" s="685">
        <v>121330.7</v>
      </c>
      <c r="F43" s="685">
        <v>0</v>
      </c>
      <c r="G43" s="685">
        <v>1962777.04</v>
      </c>
      <c r="H43" s="685">
        <v>0</v>
      </c>
      <c r="I43" s="685">
        <f t="shared" si="0"/>
        <v>1962777.04</v>
      </c>
    </row>
    <row r="44" spans="1:9">
      <c r="A44" s="682" t="s">
        <v>3725</v>
      </c>
      <c r="B44" s="682" t="s">
        <v>1973</v>
      </c>
      <c r="C44" s="685">
        <v>193549.99</v>
      </c>
      <c r="D44" s="685">
        <v>0</v>
      </c>
      <c r="E44" s="685">
        <v>64463</v>
      </c>
      <c r="F44" s="685">
        <v>721230.1</v>
      </c>
      <c r="G44" s="685">
        <v>0</v>
      </c>
      <c r="H44" s="685">
        <v>463217.11</v>
      </c>
      <c r="I44" s="685">
        <f t="shared" si="0"/>
        <v>-463217.11</v>
      </c>
    </row>
    <row r="45" spans="1:9">
      <c r="A45" s="682" t="s">
        <v>3714</v>
      </c>
      <c r="B45" s="682" t="s">
        <v>3715</v>
      </c>
      <c r="C45" s="685">
        <v>86997.67</v>
      </c>
      <c r="D45" s="685">
        <v>0</v>
      </c>
      <c r="E45" s="685">
        <v>0</v>
      </c>
      <c r="F45" s="685">
        <v>0</v>
      </c>
      <c r="G45" s="685">
        <v>86997.67</v>
      </c>
      <c r="H45" s="685">
        <v>0</v>
      </c>
      <c r="I45" s="685">
        <f t="shared" si="0"/>
        <v>86997.67</v>
      </c>
    </row>
    <row r="46" spans="1:9">
      <c r="A46" s="682" t="s">
        <v>3689</v>
      </c>
      <c r="B46" s="682" t="s">
        <v>3690</v>
      </c>
      <c r="C46" s="685">
        <v>9117.9599999999991</v>
      </c>
      <c r="D46" s="685">
        <v>0</v>
      </c>
      <c r="E46" s="685">
        <v>0</v>
      </c>
      <c r="F46" s="685">
        <v>0</v>
      </c>
      <c r="G46" s="685">
        <v>9117.9599999999991</v>
      </c>
      <c r="H46" s="685">
        <v>0</v>
      </c>
      <c r="I46" s="685">
        <f t="shared" si="0"/>
        <v>9117.9599999999991</v>
      </c>
    </row>
    <row r="47" spans="1:9">
      <c r="A47" s="682" t="s">
        <v>3691</v>
      </c>
      <c r="B47" s="682" t="s">
        <v>3692</v>
      </c>
      <c r="C47" s="685">
        <v>754532.8</v>
      </c>
      <c r="D47" s="685">
        <v>0</v>
      </c>
      <c r="E47" s="685">
        <v>437251.52</v>
      </c>
      <c r="F47" s="685">
        <v>592998.24</v>
      </c>
      <c r="G47" s="685">
        <v>598786.07999999996</v>
      </c>
      <c r="H47" s="685">
        <v>0</v>
      </c>
      <c r="I47" s="685">
        <f t="shared" si="0"/>
        <v>598786.07999999996</v>
      </c>
    </row>
    <row r="48" spans="1:9">
      <c r="A48" s="682" t="s">
        <v>3693</v>
      </c>
      <c r="B48" s="682" t="s">
        <v>1977</v>
      </c>
      <c r="C48" s="685">
        <v>843617.44</v>
      </c>
      <c r="D48" s="685">
        <v>0</v>
      </c>
      <c r="E48" s="685">
        <v>615781.68999999994</v>
      </c>
      <c r="F48" s="685">
        <v>461876.91</v>
      </c>
      <c r="G48" s="685">
        <v>997522.22</v>
      </c>
      <c r="H48" s="685">
        <v>0</v>
      </c>
      <c r="I48" s="685">
        <f t="shared" si="0"/>
        <v>997522.22</v>
      </c>
    </row>
    <row r="49" spans="1:9">
      <c r="A49" s="682" t="s">
        <v>3694</v>
      </c>
      <c r="B49" s="682" t="s">
        <v>3096</v>
      </c>
      <c r="C49" s="685">
        <v>4715.24</v>
      </c>
      <c r="D49" s="685">
        <v>0</v>
      </c>
      <c r="E49" s="685">
        <v>0</v>
      </c>
      <c r="F49" s="685">
        <v>2357.56</v>
      </c>
      <c r="G49" s="685">
        <v>2357.6799999999998</v>
      </c>
      <c r="H49" s="685">
        <v>0</v>
      </c>
      <c r="I49" s="685">
        <f t="shared" si="0"/>
        <v>2357.6799999999998</v>
      </c>
    </row>
    <row r="50" spans="1:9">
      <c r="A50" s="682" t="s">
        <v>3695</v>
      </c>
      <c r="B50" s="682" t="s">
        <v>3102</v>
      </c>
      <c r="C50" s="685">
        <v>21907.26</v>
      </c>
      <c r="D50" s="685">
        <v>0</v>
      </c>
      <c r="E50" s="685">
        <v>0</v>
      </c>
      <c r="F50" s="685">
        <v>5476.84</v>
      </c>
      <c r="G50" s="685">
        <v>16430.419999999998</v>
      </c>
      <c r="H50" s="685">
        <v>0</v>
      </c>
      <c r="I50" s="685">
        <f t="shared" si="0"/>
        <v>16430.419999999998</v>
      </c>
    </row>
    <row r="51" spans="1:9">
      <c r="A51" s="682" t="s">
        <v>3696</v>
      </c>
      <c r="B51" s="682" t="s">
        <v>3104</v>
      </c>
      <c r="C51" s="685">
        <v>26758.01</v>
      </c>
      <c r="D51" s="685">
        <v>0</v>
      </c>
      <c r="E51" s="685">
        <v>0</v>
      </c>
      <c r="F51" s="685">
        <v>5943.54</v>
      </c>
      <c r="G51" s="685">
        <v>20814.47</v>
      </c>
      <c r="H51" s="685">
        <v>0</v>
      </c>
      <c r="I51" s="685">
        <f t="shared" si="0"/>
        <v>20814.47</v>
      </c>
    </row>
    <row r="52" spans="1:9">
      <c r="A52" s="682" t="s">
        <v>3697</v>
      </c>
      <c r="B52" s="682" t="s">
        <v>3096</v>
      </c>
      <c r="C52" s="685">
        <v>0</v>
      </c>
      <c r="D52" s="685">
        <v>0</v>
      </c>
      <c r="E52" s="685">
        <v>150090</v>
      </c>
      <c r="F52" s="685">
        <v>8239.99</v>
      </c>
      <c r="G52" s="685">
        <v>141850.01</v>
      </c>
      <c r="H52" s="685">
        <v>0</v>
      </c>
      <c r="I52" s="685">
        <f t="shared" si="0"/>
        <v>141850.01</v>
      </c>
    </row>
    <row r="53" spans="1:9">
      <c r="A53" s="682" t="s">
        <v>3698</v>
      </c>
      <c r="B53" s="682" t="s">
        <v>3433</v>
      </c>
      <c r="C53" s="685">
        <v>63282.559999999998</v>
      </c>
      <c r="D53" s="685">
        <v>0</v>
      </c>
      <c r="E53" s="685">
        <v>0</v>
      </c>
      <c r="F53" s="685">
        <v>6026.9</v>
      </c>
      <c r="G53" s="685">
        <v>57255.66</v>
      </c>
      <c r="H53" s="685">
        <v>0</v>
      </c>
      <c r="I53" s="685">
        <f t="shared" si="0"/>
        <v>57255.66</v>
      </c>
    </row>
    <row r="54" spans="1:9">
      <c r="A54" s="682" t="s">
        <v>3708</v>
      </c>
      <c r="B54" s="682" t="s">
        <v>3709</v>
      </c>
      <c r="C54" s="685">
        <v>156417.60999999999</v>
      </c>
      <c r="D54" s="685">
        <v>0</v>
      </c>
      <c r="E54" s="685">
        <v>198514.12</v>
      </c>
      <c r="F54" s="685">
        <v>71551</v>
      </c>
      <c r="G54" s="685">
        <v>283380.73</v>
      </c>
      <c r="H54" s="685">
        <v>0</v>
      </c>
      <c r="I54" s="685">
        <f t="shared" si="0"/>
        <v>283380.73</v>
      </c>
    </row>
    <row r="55" spans="1:9">
      <c r="A55" s="682" t="s">
        <v>3710</v>
      </c>
      <c r="B55" s="682" t="s">
        <v>3422</v>
      </c>
      <c r="C55" s="685">
        <v>95149.17</v>
      </c>
      <c r="D55" s="685">
        <v>0</v>
      </c>
      <c r="E55" s="685">
        <v>0</v>
      </c>
      <c r="F55" s="685">
        <v>0</v>
      </c>
      <c r="G55" s="685">
        <v>95149.17</v>
      </c>
      <c r="H55" s="685">
        <v>0</v>
      </c>
      <c r="I55" s="685">
        <f t="shared" si="0"/>
        <v>95149.17</v>
      </c>
    </row>
    <row r="56" spans="1:9">
      <c r="A56" s="682" t="s">
        <v>3711</v>
      </c>
      <c r="B56" s="682" t="s">
        <v>1980</v>
      </c>
      <c r="C56" s="685">
        <v>130108.53</v>
      </c>
      <c r="D56" s="685">
        <v>0</v>
      </c>
      <c r="E56" s="685">
        <v>1000</v>
      </c>
      <c r="F56" s="685">
        <v>70175.199999999997</v>
      </c>
      <c r="G56" s="685">
        <v>60933.33</v>
      </c>
      <c r="H56" s="685">
        <v>0</v>
      </c>
      <c r="I56" s="685">
        <f t="shared" si="0"/>
        <v>60933.33</v>
      </c>
    </row>
    <row r="57" spans="1:9">
      <c r="A57" s="682" t="s">
        <v>3712</v>
      </c>
      <c r="B57" s="682" t="s">
        <v>3424</v>
      </c>
      <c r="C57" s="685">
        <v>24283.66</v>
      </c>
      <c r="D57" s="685">
        <v>0</v>
      </c>
      <c r="E57" s="685">
        <v>335844.48</v>
      </c>
      <c r="F57" s="685">
        <v>265630.45</v>
      </c>
      <c r="G57" s="685">
        <v>94497.69</v>
      </c>
      <c r="H57" s="685">
        <v>0</v>
      </c>
      <c r="I57" s="685">
        <f t="shared" si="0"/>
        <v>94497.69</v>
      </c>
    </row>
    <row r="58" spans="1:9">
      <c r="A58" s="682" t="s">
        <v>3643</v>
      </c>
      <c r="B58" s="682" t="s">
        <v>3644</v>
      </c>
      <c r="C58" s="685">
        <v>92413.71</v>
      </c>
      <c r="D58" s="685">
        <v>0</v>
      </c>
      <c r="E58" s="685">
        <v>13891.14</v>
      </c>
      <c r="F58" s="685">
        <v>72509.119999999995</v>
      </c>
      <c r="G58" s="685">
        <v>33795.730000000003</v>
      </c>
      <c r="H58" s="685">
        <v>0</v>
      </c>
      <c r="I58" s="685">
        <f t="shared" si="0"/>
        <v>33795.730000000003</v>
      </c>
    </row>
    <row r="59" spans="1:9">
      <c r="A59" s="682" t="s">
        <v>3645</v>
      </c>
      <c r="B59" s="682" t="s">
        <v>3646</v>
      </c>
      <c r="C59" s="685">
        <v>460.39</v>
      </c>
      <c r="D59" s="685">
        <v>0</v>
      </c>
      <c r="E59" s="685">
        <v>0</v>
      </c>
      <c r="F59" s="685">
        <v>5.19</v>
      </c>
      <c r="G59" s="685">
        <v>455.2</v>
      </c>
      <c r="H59" s="685">
        <v>0</v>
      </c>
      <c r="I59" s="685">
        <f t="shared" si="0"/>
        <v>455.2</v>
      </c>
    </row>
    <row r="60" spans="1:9">
      <c r="A60" s="682" t="s">
        <v>3647</v>
      </c>
      <c r="B60" s="682" t="s">
        <v>3648</v>
      </c>
      <c r="C60" s="685">
        <v>163769.32</v>
      </c>
      <c r="D60" s="685">
        <v>0</v>
      </c>
      <c r="E60" s="685">
        <v>14769.4</v>
      </c>
      <c r="F60" s="685">
        <v>121626.31</v>
      </c>
      <c r="G60" s="685">
        <v>56912.41</v>
      </c>
      <c r="H60" s="685">
        <v>0</v>
      </c>
      <c r="I60" s="685">
        <f t="shared" si="0"/>
        <v>56912.41</v>
      </c>
    </row>
    <row r="61" spans="1:9">
      <c r="A61" s="682" t="s">
        <v>3649</v>
      </c>
      <c r="B61" s="682" t="s">
        <v>3428</v>
      </c>
      <c r="C61" s="685">
        <v>1858222.67</v>
      </c>
      <c r="D61" s="685">
        <v>0</v>
      </c>
      <c r="E61" s="685">
        <v>2738899.37</v>
      </c>
      <c r="F61" s="685">
        <v>2924063.23</v>
      </c>
      <c r="G61" s="685">
        <v>1673058.81</v>
      </c>
      <c r="H61" s="685">
        <v>0</v>
      </c>
      <c r="I61" s="685">
        <f t="shared" si="0"/>
        <v>1673058.81</v>
      </c>
    </row>
    <row r="62" spans="1:9">
      <c r="A62" s="682" t="s">
        <v>3650</v>
      </c>
      <c r="B62" s="682" t="s">
        <v>3651</v>
      </c>
      <c r="C62" s="685">
        <v>793208.24</v>
      </c>
      <c r="D62" s="685">
        <v>0</v>
      </c>
      <c r="E62" s="685">
        <v>1185307.99</v>
      </c>
      <c r="F62" s="685">
        <v>1296937.9099999999</v>
      </c>
      <c r="G62" s="685">
        <v>681578.32</v>
      </c>
      <c r="H62" s="685">
        <v>0</v>
      </c>
      <c r="I62" s="685">
        <f t="shared" si="0"/>
        <v>681578.32</v>
      </c>
    </row>
    <row r="63" spans="1:9">
      <c r="A63" s="682" t="s">
        <v>3652</v>
      </c>
      <c r="B63" s="682" t="s">
        <v>3653</v>
      </c>
      <c r="C63" s="685">
        <v>3440124.14</v>
      </c>
      <c r="D63" s="685">
        <v>0</v>
      </c>
      <c r="E63" s="685">
        <v>5622004.4199999999</v>
      </c>
      <c r="F63" s="685">
        <v>5773182.3799999999</v>
      </c>
      <c r="G63" s="685">
        <v>3288946.18</v>
      </c>
      <c r="H63" s="685">
        <v>0</v>
      </c>
      <c r="I63" s="685">
        <f t="shared" si="0"/>
        <v>3288946.18</v>
      </c>
    </row>
    <row r="64" spans="1:9">
      <c r="A64" s="682" t="s">
        <v>3654</v>
      </c>
      <c r="B64" s="682" t="s">
        <v>1994</v>
      </c>
      <c r="C64" s="685">
        <v>38763.22</v>
      </c>
      <c r="D64" s="685">
        <v>0</v>
      </c>
      <c r="E64" s="685">
        <v>67183.02</v>
      </c>
      <c r="F64" s="685">
        <v>83307.25</v>
      </c>
      <c r="G64" s="685">
        <v>22638.99</v>
      </c>
      <c r="H64" s="685">
        <v>0</v>
      </c>
      <c r="I64" s="685">
        <f t="shared" si="0"/>
        <v>22638.99</v>
      </c>
    </row>
    <row r="65" spans="1:9">
      <c r="A65" s="682" t="s">
        <v>3655</v>
      </c>
      <c r="B65" s="682" t="s">
        <v>3656</v>
      </c>
      <c r="C65" s="685">
        <v>1249079.01</v>
      </c>
      <c r="D65" s="685">
        <v>0</v>
      </c>
      <c r="E65" s="685">
        <v>122757100.89</v>
      </c>
      <c r="F65" s="685">
        <v>121882100.3</v>
      </c>
      <c r="G65" s="685">
        <v>2124079.6</v>
      </c>
      <c r="H65" s="685">
        <v>0</v>
      </c>
      <c r="I65" s="685">
        <f t="shared" si="0"/>
        <v>2124079.6</v>
      </c>
    </row>
    <row r="66" spans="1:9">
      <c r="A66" s="682" t="s">
        <v>3657</v>
      </c>
      <c r="B66" s="682" t="s">
        <v>3658</v>
      </c>
      <c r="C66" s="685">
        <v>0</v>
      </c>
      <c r="D66" s="685">
        <v>2.5</v>
      </c>
      <c r="E66" s="685">
        <v>3.75</v>
      </c>
      <c r="F66" s="685">
        <v>1.29</v>
      </c>
      <c r="G66" s="685">
        <v>0</v>
      </c>
      <c r="H66" s="685">
        <v>0.04</v>
      </c>
      <c r="I66" s="685">
        <f t="shared" si="0"/>
        <v>-0.04</v>
      </c>
    </row>
    <row r="67" spans="1:9">
      <c r="A67" s="682" t="s">
        <v>3659</v>
      </c>
      <c r="B67" s="682" t="s">
        <v>3660</v>
      </c>
      <c r="C67" s="685">
        <v>30.27</v>
      </c>
      <c r="D67" s="685">
        <v>0</v>
      </c>
      <c r="E67" s="685">
        <v>0</v>
      </c>
      <c r="F67" s="685">
        <v>0</v>
      </c>
      <c r="G67" s="685">
        <v>30.27</v>
      </c>
      <c r="H67" s="685">
        <v>0</v>
      </c>
      <c r="I67" s="685">
        <f t="shared" si="0"/>
        <v>30.27</v>
      </c>
    </row>
    <row r="68" spans="1:9">
      <c r="A68" s="682" t="s">
        <v>3661</v>
      </c>
      <c r="B68" s="682" t="s">
        <v>3662</v>
      </c>
      <c r="C68" s="685">
        <v>881.66</v>
      </c>
      <c r="D68" s="685">
        <v>0</v>
      </c>
      <c r="E68" s="685">
        <v>0</v>
      </c>
      <c r="F68" s="685">
        <v>0</v>
      </c>
      <c r="G68" s="685">
        <v>881.66</v>
      </c>
      <c r="H68" s="685">
        <v>0</v>
      </c>
      <c r="I68" s="685">
        <f t="shared" ref="I68:I131" si="1">G68-H68</f>
        <v>881.66</v>
      </c>
    </row>
    <row r="69" spans="1:9">
      <c r="A69" s="682" t="s">
        <v>3663</v>
      </c>
      <c r="B69" s="682" t="s">
        <v>3664</v>
      </c>
      <c r="C69" s="685">
        <v>27667.03</v>
      </c>
      <c r="D69" s="685">
        <v>0</v>
      </c>
      <c r="E69" s="685">
        <v>0</v>
      </c>
      <c r="F69" s="685">
        <v>0</v>
      </c>
      <c r="G69" s="685">
        <v>27667.03</v>
      </c>
      <c r="H69" s="685">
        <v>0</v>
      </c>
      <c r="I69" s="685">
        <f t="shared" si="1"/>
        <v>27667.03</v>
      </c>
    </row>
    <row r="70" spans="1:9">
      <c r="A70" s="682" t="s">
        <v>3665</v>
      </c>
      <c r="B70" s="682" t="s">
        <v>3666</v>
      </c>
      <c r="C70" s="685">
        <v>13965.92</v>
      </c>
      <c r="D70" s="685">
        <v>0</v>
      </c>
      <c r="E70" s="685">
        <v>0</v>
      </c>
      <c r="F70" s="685">
        <v>0</v>
      </c>
      <c r="G70" s="685">
        <v>13965.92</v>
      </c>
      <c r="H70" s="685">
        <v>0</v>
      </c>
      <c r="I70" s="685">
        <f t="shared" si="1"/>
        <v>13965.92</v>
      </c>
    </row>
    <row r="71" spans="1:9">
      <c r="A71" s="682" t="s">
        <v>3667</v>
      </c>
      <c r="B71" s="682" t="s">
        <v>3668</v>
      </c>
      <c r="C71" s="685">
        <v>33701.43</v>
      </c>
      <c r="D71" s="685">
        <v>0</v>
      </c>
      <c r="E71" s="685">
        <v>0</v>
      </c>
      <c r="F71" s="685">
        <v>0</v>
      </c>
      <c r="G71" s="685">
        <v>33701.43</v>
      </c>
      <c r="H71" s="685">
        <v>0</v>
      </c>
      <c r="I71" s="685">
        <f t="shared" si="1"/>
        <v>33701.43</v>
      </c>
    </row>
    <row r="72" spans="1:9">
      <c r="A72" s="682" t="s">
        <v>3669</v>
      </c>
      <c r="B72" s="682" t="s">
        <v>3670</v>
      </c>
      <c r="C72" s="685">
        <v>163.59</v>
      </c>
      <c r="D72" s="685">
        <v>0</v>
      </c>
      <c r="E72" s="685">
        <v>0</v>
      </c>
      <c r="F72" s="685">
        <v>0</v>
      </c>
      <c r="G72" s="685">
        <v>163.59</v>
      </c>
      <c r="H72" s="685">
        <v>0</v>
      </c>
      <c r="I72" s="685">
        <f t="shared" si="1"/>
        <v>163.59</v>
      </c>
    </row>
    <row r="73" spans="1:9">
      <c r="A73" s="682" t="s">
        <v>3671</v>
      </c>
      <c r="B73" s="682" t="s">
        <v>3672</v>
      </c>
      <c r="C73" s="685">
        <v>2553.13</v>
      </c>
      <c r="D73" s="685">
        <v>0</v>
      </c>
      <c r="E73" s="685">
        <v>0</v>
      </c>
      <c r="F73" s="685">
        <v>0</v>
      </c>
      <c r="G73" s="685">
        <v>2553.13</v>
      </c>
      <c r="H73" s="685">
        <v>0</v>
      </c>
      <c r="I73" s="685">
        <f t="shared" si="1"/>
        <v>2553.13</v>
      </c>
    </row>
    <row r="74" spans="1:9">
      <c r="A74" s="682" t="s">
        <v>3673</v>
      </c>
      <c r="B74" s="682" t="s">
        <v>3674</v>
      </c>
      <c r="C74" s="685">
        <v>83157.94</v>
      </c>
      <c r="D74" s="685">
        <v>0</v>
      </c>
      <c r="E74" s="685">
        <v>0</v>
      </c>
      <c r="F74" s="685">
        <v>0</v>
      </c>
      <c r="G74" s="685">
        <v>83157.94</v>
      </c>
      <c r="H74" s="685">
        <v>0</v>
      </c>
      <c r="I74" s="685">
        <f t="shared" si="1"/>
        <v>83157.94</v>
      </c>
    </row>
    <row r="75" spans="1:9">
      <c r="A75" s="682" t="s">
        <v>3675</v>
      </c>
      <c r="B75" s="682" t="s">
        <v>3676</v>
      </c>
      <c r="C75" s="685">
        <v>1373.08</v>
      </c>
      <c r="D75" s="685">
        <v>0</v>
      </c>
      <c r="E75" s="685">
        <v>0</v>
      </c>
      <c r="F75" s="685">
        <v>0</v>
      </c>
      <c r="G75" s="685">
        <v>1373.08</v>
      </c>
      <c r="H75" s="685">
        <v>0</v>
      </c>
      <c r="I75" s="685">
        <f t="shared" si="1"/>
        <v>1373.08</v>
      </c>
    </row>
    <row r="76" spans="1:9">
      <c r="A76" s="682" t="s">
        <v>3677</v>
      </c>
      <c r="B76" s="682" t="s">
        <v>3678</v>
      </c>
      <c r="C76" s="685">
        <v>80693.78</v>
      </c>
      <c r="D76" s="685">
        <v>0</v>
      </c>
      <c r="E76" s="685">
        <v>0</v>
      </c>
      <c r="F76" s="685">
        <v>0</v>
      </c>
      <c r="G76" s="685">
        <v>80693.78</v>
      </c>
      <c r="H76" s="685">
        <v>0</v>
      </c>
      <c r="I76" s="685">
        <f t="shared" si="1"/>
        <v>80693.78</v>
      </c>
    </row>
    <row r="77" spans="1:9">
      <c r="A77" s="682" t="s">
        <v>3679</v>
      </c>
      <c r="B77" s="682" t="s">
        <v>3680</v>
      </c>
      <c r="C77" s="685">
        <v>447690.55</v>
      </c>
      <c r="D77" s="685">
        <v>0</v>
      </c>
      <c r="E77" s="685">
        <v>0</v>
      </c>
      <c r="F77" s="685">
        <v>0</v>
      </c>
      <c r="G77" s="685">
        <v>447690.55</v>
      </c>
      <c r="H77" s="685">
        <v>0</v>
      </c>
      <c r="I77" s="685">
        <f t="shared" si="1"/>
        <v>447690.55</v>
      </c>
    </row>
    <row r="78" spans="1:9">
      <c r="A78" s="682" t="s">
        <v>3681</v>
      </c>
      <c r="B78" s="682" t="s">
        <v>3682</v>
      </c>
      <c r="C78" s="685">
        <v>134202.4</v>
      </c>
      <c r="D78" s="685">
        <v>0</v>
      </c>
      <c r="E78" s="685">
        <v>0</v>
      </c>
      <c r="F78" s="685">
        <v>0</v>
      </c>
      <c r="G78" s="685">
        <v>134202.4</v>
      </c>
      <c r="H78" s="685">
        <v>0</v>
      </c>
      <c r="I78" s="685">
        <f t="shared" si="1"/>
        <v>134202.4</v>
      </c>
    </row>
    <row r="79" spans="1:9">
      <c r="A79" s="682" t="s">
        <v>3683</v>
      </c>
      <c r="B79" s="682" t="s">
        <v>3684</v>
      </c>
      <c r="C79" s="685">
        <v>269149.59000000003</v>
      </c>
      <c r="D79" s="685">
        <v>0</v>
      </c>
      <c r="E79" s="685">
        <v>0</v>
      </c>
      <c r="F79" s="685">
        <v>0</v>
      </c>
      <c r="G79" s="685">
        <v>269149.59000000003</v>
      </c>
      <c r="H79" s="685">
        <v>0</v>
      </c>
      <c r="I79" s="685">
        <f t="shared" si="1"/>
        <v>269149.59000000003</v>
      </c>
    </row>
    <row r="80" spans="1:9">
      <c r="A80" s="682" t="s">
        <v>3685</v>
      </c>
      <c r="B80" s="682" t="s">
        <v>3686</v>
      </c>
      <c r="C80" s="685">
        <v>1611.72</v>
      </c>
      <c r="D80" s="685">
        <v>0</v>
      </c>
      <c r="E80" s="685">
        <v>0</v>
      </c>
      <c r="F80" s="685">
        <v>0</v>
      </c>
      <c r="G80" s="685">
        <v>1611.72</v>
      </c>
      <c r="H80" s="685">
        <v>0</v>
      </c>
      <c r="I80" s="685">
        <f t="shared" si="1"/>
        <v>1611.72</v>
      </c>
    </row>
    <row r="81" spans="1:9">
      <c r="A81" s="682" t="s">
        <v>3687</v>
      </c>
      <c r="B81" s="682" t="s">
        <v>3688</v>
      </c>
      <c r="C81" s="685">
        <v>74436.09</v>
      </c>
      <c r="D81" s="685">
        <v>0</v>
      </c>
      <c r="E81" s="685">
        <v>0</v>
      </c>
      <c r="F81" s="685">
        <v>0</v>
      </c>
      <c r="G81" s="685">
        <v>74436.09</v>
      </c>
      <c r="H81" s="685">
        <v>0</v>
      </c>
      <c r="I81" s="685">
        <f t="shared" si="1"/>
        <v>74436.09</v>
      </c>
    </row>
    <row r="82" spans="1:9">
      <c r="A82" s="682" t="s">
        <v>4266</v>
      </c>
      <c r="B82" s="682" t="s">
        <v>4267</v>
      </c>
      <c r="C82" s="685">
        <v>436657.17</v>
      </c>
      <c r="D82" s="685">
        <v>0</v>
      </c>
      <c r="E82" s="685">
        <v>0</v>
      </c>
      <c r="F82" s="685">
        <v>436657.18</v>
      </c>
      <c r="G82" s="685">
        <v>0</v>
      </c>
      <c r="H82" s="685">
        <v>0.01</v>
      </c>
      <c r="I82" s="685">
        <f t="shared" si="1"/>
        <v>-0.01</v>
      </c>
    </row>
    <row r="83" spans="1:9">
      <c r="A83" s="682" t="s">
        <v>3699</v>
      </c>
      <c r="B83" s="682" t="s">
        <v>2016</v>
      </c>
      <c r="C83" s="685">
        <v>2525.71</v>
      </c>
      <c r="D83" s="685">
        <v>0</v>
      </c>
      <c r="E83" s="685">
        <v>18417.21</v>
      </c>
      <c r="F83" s="685">
        <v>2525.6799999999998</v>
      </c>
      <c r="G83" s="685">
        <v>18417.240000000002</v>
      </c>
      <c r="H83" s="685">
        <v>0</v>
      </c>
      <c r="I83" s="685">
        <f t="shared" si="1"/>
        <v>18417.240000000002</v>
      </c>
    </row>
    <row r="84" spans="1:9">
      <c r="A84" s="682" t="s">
        <v>3700</v>
      </c>
      <c r="B84" s="682" t="s">
        <v>3701</v>
      </c>
      <c r="C84" s="685">
        <v>7887.92</v>
      </c>
      <c r="D84" s="685">
        <v>0</v>
      </c>
      <c r="E84" s="685">
        <v>0</v>
      </c>
      <c r="F84" s="685">
        <v>3155.28</v>
      </c>
      <c r="G84" s="685">
        <v>4732.6400000000003</v>
      </c>
      <c r="H84" s="685">
        <v>0</v>
      </c>
      <c r="I84" s="685">
        <f t="shared" si="1"/>
        <v>4732.6400000000003</v>
      </c>
    </row>
    <row r="85" spans="1:9">
      <c r="A85" s="682" t="s">
        <v>3702</v>
      </c>
      <c r="B85" s="682" t="s">
        <v>3703</v>
      </c>
      <c r="C85" s="685">
        <v>25543.19</v>
      </c>
      <c r="D85" s="685">
        <v>0</v>
      </c>
      <c r="E85" s="685">
        <v>0</v>
      </c>
      <c r="F85" s="685">
        <v>10217.26</v>
      </c>
      <c r="G85" s="685">
        <v>15325.93</v>
      </c>
      <c r="H85" s="685">
        <v>0</v>
      </c>
      <c r="I85" s="685">
        <f t="shared" si="1"/>
        <v>15325.93</v>
      </c>
    </row>
    <row r="86" spans="1:9">
      <c r="A86" s="682" t="s">
        <v>3704</v>
      </c>
      <c r="B86" s="682" t="s">
        <v>3705</v>
      </c>
      <c r="C86" s="685">
        <v>697.39</v>
      </c>
      <c r="D86" s="685">
        <v>0</v>
      </c>
      <c r="E86" s="685">
        <v>0</v>
      </c>
      <c r="F86" s="685">
        <v>278.95999999999998</v>
      </c>
      <c r="G86" s="685">
        <v>418.43</v>
      </c>
      <c r="H86" s="685">
        <v>0</v>
      </c>
      <c r="I86" s="685">
        <f t="shared" si="1"/>
        <v>418.43</v>
      </c>
    </row>
    <row r="87" spans="1:9">
      <c r="A87" s="682" t="s">
        <v>3706</v>
      </c>
      <c r="B87" s="682" t="s">
        <v>2019</v>
      </c>
      <c r="C87" s="685">
        <v>2575</v>
      </c>
      <c r="D87" s="685">
        <v>0</v>
      </c>
      <c r="E87" s="685">
        <v>0</v>
      </c>
      <c r="F87" s="685">
        <v>1030</v>
      </c>
      <c r="G87" s="685">
        <v>1545</v>
      </c>
      <c r="H87" s="685">
        <v>0</v>
      </c>
      <c r="I87" s="685">
        <f t="shared" si="1"/>
        <v>1545</v>
      </c>
    </row>
    <row r="88" spans="1:9">
      <c r="A88" s="682" t="s">
        <v>3707</v>
      </c>
      <c r="B88" s="682" t="s">
        <v>2024</v>
      </c>
      <c r="C88" s="685">
        <v>11150</v>
      </c>
      <c r="D88" s="685">
        <v>0</v>
      </c>
      <c r="E88" s="685">
        <v>0</v>
      </c>
      <c r="F88" s="685">
        <v>0</v>
      </c>
      <c r="G88" s="685">
        <v>11150</v>
      </c>
      <c r="H88" s="685">
        <v>0</v>
      </c>
      <c r="I88" s="685">
        <f t="shared" si="1"/>
        <v>11150</v>
      </c>
    </row>
    <row r="89" spans="1:9">
      <c r="A89" s="682" t="s">
        <v>3726</v>
      </c>
      <c r="B89" s="682" t="s">
        <v>2023</v>
      </c>
      <c r="C89" s="685">
        <v>2056064</v>
      </c>
      <c r="D89" s="685">
        <v>0</v>
      </c>
      <c r="E89" s="685">
        <v>0</v>
      </c>
      <c r="F89" s="685">
        <v>0</v>
      </c>
      <c r="G89" s="685">
        <v>2056064</v>
      </c>
      <c r="H89" s="685">
        <v>0</v>
      </c>
      <c r="I89" s="685">
        <f t="shared" si="1"/>
        <v>2056064</v>
      </c>
    </row>
    <row r="90" spans="1:9">
      <c r="A90" s="682" t="s">
        <v>3716</v>
      </c>
      <c r="B90" s="682" t="s">
        <v>3717</v>
      </c>
      <c r="C90" s="685">
        <v>810745.37</v>
      </c>
      <c r="D90" s="685">
        <v>0</v>
      </c>
      <c r="E90" s="685">
        <v>245051.5</v>
      </c>
      <c r="F90" s="685">
        <v>921040.77</v>
      </c>
      <c r="G90" s="685">
        <v>134756.1</v>
      </c>
      <c r="H90" s="685">
        <v>0</v>
      </c>
      <c r="I90" s="685">
        <f t="shared" si="1"/>
        <v>134756.1</v>
      </c>
    </row>
    <row r="91" spans="1:9">
      <c r="A91" s="682" t="s">
        <v>3718</v>
      </c>
      <c r="B91" s="682" t="s">
        <v>2027</v>
      </c>
      <c r="C91" s="685">
        <v>24972</v>
      </c>
      <c r="D91" s="685">
        <v>0</v>
      </c>
      <c r="E91" s="685">
        <v>1138967.05</v>
      </c>
      <c r="F91" s="685">
        <v>1158999.8999999999</v>
      </c>
      <c r="G91" s="685">
        <v>4939.1499999999996</v>
      </c>
      <c r="H91" s="685">
        <v>0</v>
      </c>
      <c r="I91" s="685">
        <f t="shared" si="1"/>
        <v>4939.1499999999996</v>
      </c>
    </row>
    <row r="92" spans="1:9">
      <c r="A92" s="682" t="s">
        <v>3719</v>
      </c>
      <c r="B92" s="682" t="s">
        <v>2028</v>
      </c>
      <c r="C92" s="685">
        <v>0</v>
      </c>
      <c r="D92" s="685">
        <v>0</v>
      </c>
      <c r="E92" s="685">
        <v>20.96</v>
      </c>
      <c r="F92" s="685">
        <v>0</v>
      </c>
      <c r="G92" s="685">
        <v>20.96</v>
      </c>
      <c r="H92" s="685">
        <v>0</v>
      </c>
      <c r="I92" s="685">
        <f t="shared" si="1"/>
        <v>20.96</v>
      </c>
    </row>
    <row r="93" spans="1:9">
      <c r="A93" s="682" t="s">
        <v>3720</v>
      </c>
      <c r="B93" s="682" t="s">
        <v>2029</v>
      </c>
      <c r="C93" s="685">
        <v>93848.56</v>
      </c>
      <c r="D93" s="685">
        <v>0</v>
      </c>
      <c r="E93" s="685">
        <v>19097520.609999999</v>
      </c>
      <c r="F93" s="685">
        <v>19199682.609999999</v>
      </c>
      <c r="G93" s="685">
        <v>0</v>
      </c>
      <c r="H93" s="685">
        <v>8313.44</v>
      </c>
      <c r="I93" s="685">
        <f t="shared" si="1"/>
        <v>-8313.44</v>
      </c>
    </row>
    <row r="94" spans="1:9">
      <c r="A94" s="682" t="s">
        <v>3721</v>
      </c>
      <c r="B94" s="682" t="s">
        <v>2030</v>
      </c>
      <c r="C94" s="685">
        <v>984</v>
      </c>
      <c r="D94" s="685">
        <v>0</v>
      </c>
      <c r="E94" s="685">
        <v>132875</v>
      </c>
      <c r="F94" s="685">
        <v>83859</v>
      </c>
      <c r="G94" s="685">
        <v>50000</v>
      </c>
      <c r="H94" s="685">
        <v>0</v>
      </c>
      <c r="I94" s="685">
        <f t="shared" si="1"/>
        <v>50000</v>
      </c>
    </row>
    <row r="95" spans="1:9">
      <c r="A95" s="682" t="s">
        <v>4268</v>
      </c>
      <c r="B95" s="682" t="s">
        <v>2045</v>
      </c>
      <c r="C95" s="685">
        <v>430134</v>
      </c>
      <c r="D95" s="685">
        <v>0</v>
      </c>
      <c r="E95" s="685">
        <v>659373664.86000001</v>
      </c>
      <c r="F95" s="685">
        <v>659803798.86000001</v>
      </c>
      <c r="G95" s="685">
        <v>0</v>
      </c>
      <c r="H95" s="685">
        <v>0</v>
      </c>
      <c r="I95" s="685">
        <f t="shared" si="1"/>
        <v>0</v>
      </c>
    </row>
    <row r="96" spans="1:9">
      <c r="A96" s="682" t="s">
        <v>3727</v>
      </c>
      <c r="B96" s="682" t="s">
        <v>3728</v>
      </c>
      <c r="C96" s="685">
        <v>3041624.4</v>
      </c>
      <c r="D96" s="685">
        <v>0</v>
      </c>
      <c r="E96" s="685">
        <v>69295.22</v>
      </c>
      <c r="F96" s="685">
        <v>0</v>
      </c>
      <c r="G96" s="685">
        <v>3110919.62</v>
      </c>
      <c r="H96" s="685">
        <v>0</v>
      </c>
      <c r="I96" s="685">
        <f t="shared" si="1"/>
        <v>3110919.62</v>
      </c>
    </row>
    <row r="97" spans="1:11">
      <c r="A97" s="682" t="s">
        <v>3729</v>
      </c>
      <c r="B97" s="682" t="s">
        <v>3730</v>
      </c>
      <c r="C97" s="685">
        <v>7553607.2999999998</v>
      </c>
      <c r="D97" s="685">
        <v>0</v>
      </c>
      <c r="E97" s="685">
        <v>39117.980000000003</v>
      </c>
      <c r="F97" s="685">
        <v>0</v>
      </c>
      <c r="G97" s="685">
        <v>7592725.2800000003</v>
      </c>
      <c r="H97" s="685">
        <v>0</v>
      </c>
      <c r="I97" s="685">
        <f t="shared" si="1"/>
        <v>7592725.2800000003</v>
      </c>
    </row>
    <row r="98" spans="1:11">
      <c r="A98" s="682" t="s">
        <v>3731</v>
      </c>
      <c r="B98" s="682" t="s">
        <v>3732</v>
      </c>
      <c r="C98" s="685">
        <v>459143.1</v>
      </c>
      <c r="D98" s="685">
        <v>0</v>
      </c>
      <c r="E98" s="685">
        <v>0</v>
      </c>
      <c r="F98" s="685">
        <v>0</v>
      </c>
      <c r="G98" s="685">
        <v>459143.1</v>
      </c>
      <c r="H98" s="685">
        <v>0</v>
      </c>
      <c r="I98" s="685">
        <f t="shared" si="1"/>
        <v>459143.1</v>
      </c>
    </row>
    <row r="99" spans="1:11">
      <c r="A99" s="682" t="s">
        <v>3733</v>
      </c>
      <c r="B99" s="682" t="s">
        <v>2057</v>
      </c>
      <c r="C99" s="685">
        <v>6020788.96</v>
      </c>
      <c r="D99" s="685">
        <v>0</v>
      </c>
      <c r="E99" s="685">
        <v>0</v>
      </c>
      <c r="F99" s="685">
        <v>0</v>
      </c>
      <c r="G99" s="685">
        <v>6020788.96</v>
      </c>
      <c r="H99" s="685">
        <v>0</v>
      </c>
      <c r="I99" s="685">
        <f t="shared" si="1"/>
        <v>6020788.96</v>
      </c>
    </row>
    <row r="100" spans="1:11">
      <c r="A100" s="682" t="s">
        <v>3734</v>
      </c>
      <c r="B100" s="682" t="s">
        <v>3735</v>
      </c>
      <c r="C100" s="685">
        <v>2185639.39</v>
      </c>
      <c r="D100" s="685">
        <v>0</v>
      </c>
      <c r="E100" s="685">
        <v>715608.17</v>
      </c>
      <c r="F100" s="685">
        <v>0</v>
      </c>
      <c r="G100" s="685">
        <v>2901247.56</v>
      </c>
      <c r="H100" s="685">
        <v>0</v>
      </c>
      <c r="I100" s="685">
        <f t="shared" si="1"/>
        <v>2901247.56</v>
      </c>
    </row>
    <row r="101" spans="1:11">
      <c r="A101" s="682" t="s">
        <v>3736</v>
      </c>
      <c r="B101" s="682" t="s">
        <v>2051</v>
      </c>
      <c r="C101" s="685">
        <v>201625.56</v>
      </c>
      <c r="D101" s="685">
        <v>0</v>
      </c>
      <c r="E101" s="685">
        <v>9051.7199999999993</v>
      </c>
      <c r="F101" s="685">
        <v>0</v>
      </c>
      <c r="G101" s="685">
        <v>210677.28</v>
      </c>
      <c r="H101" s="685">
        <v>0</v>
      </c>
      <c r="I101" s="685">
        <f t="shared" si="1"/>
        <v>210677.28</v>
      </c>
    </row>
    <row r="102" spans="1:11">
      <c r="A102" s="696" t="s">
        <v>3737</v>
      </c>
      <c r="B102" s="696" t="s">
        <v>3738</v>
      </c>
      <c r="C102" s="699">
        <v>4358967.97</v>
      </c>
      <c r="D102" s="699">
        <v>0</v>
      </c>
      <c r="E102" s="699">
        <v>809197.7</v>
      </c>
      <c r="F102" s="699">
        <v>7696.63</v>
      </c>
      <c r="G102" s="699">
        <f>5160469.04+5001781.49</f>
        <v>10162250.530000001</v>
      </c>
      <c r="H102" s="699">
        <f>10162250.53</f>
        <v>10162250.529999999</v>
      </c>
      <c r="I102" s="699">
        <f t="shared" si="1"/>
        <v>0</v>
      </c>
    </row>
    <row r="103" spans="1:11">
      <c r="A103" s="682" t="s">
        <v>3722</v>
      </c>
      <c r="B103" s="682" t="s">
        <v>3437</v>
      </c>
      <c r="C103" s="685">
        <v>34707.42</v>
      </c>
      <c r="D103" s="685">
        <v>0</v>
      </c>
      <c r="E103" s="685">
        <v>0</v>
      </c>
      <c r="F103" s="685">
        <v>0</v>
      </c>
      <c r="G103" s="685">
        <v>34707.42</v>
      </c>
      <c r="H103" s="685">
        <v>0</v>
      </c>
      <c r="I103" s="685">
        <f t="shared" si="1"/>
        <v>34707.42</v>
      </c>
    </row>
    <row r="104" spans="1:11">
      <c r="A104" s="696" t="s">
        <v>3749</v>
      </c>
      <c r="B104" s="696" t="s">
        <v>3750</v>
      </c>
      <c r="C104" s="699">
        <v>6632396.5999999996</v>
      </c>
      <c r="D104" s="699">
        <v>0</v>
      </c>
      <c r="E104" s="699">
        <v>0</v>
      </c>
      <c r="F104" s="699">
        <v>0</v>
      </c>
      <c r="G104" s="699">
        <v>6632396.5999999996</v>
      </c>
      <c r="H104" s="699">
        <v>0</v>
      </c>
      <c r="I104" s="699">
        <f>G104-H104+10162250.53</f>
        <v>16794647.129999999</v>
      </c>
    </row>
    <row r="105" spans="1:11">
      <c r="A105" s="682" t="s">
        <v>3751</v>
      </c>
      <c r="B105" s="682" t="s">
        <v>3752</v>
      </c>
      <c r="C105" s="685">
        <v>47936</v>
      </c>
      <c r="D105" s="685">
        <v>0</v>
      </c>
      <c r="E105" s="685">
        <v>0</v>
      </c>
      <c r="F105" s="685">
        <v>0</v>
      </c>
      <c r="G105" s="685">
        <v>47936</v>
      </c>
      <c r="H105" s="685">
        <v>0</v>
      </c>
      <c r="I105" s="685">
        <f t="shared" si="1"/>
        <v>47936</v>
      </c>
    </row>
    <row r="106" spans="1:11">
      <c r="A106" s="682" t="s">
        <v>3753</v>
      </c>
      <c r="B106" s="682" t="s">
        <v>3754</v>
      </c>
      <c r="C106" s="685">
        <v>2990571.85</v>
      </c>
      <c r="D106" s="685">
        <v>0</v>
      </c>
      <c r="E106" s="685">
        <v>0</v>
      </c>
      <c r="F106" s="685">
        <v>0</v>
      </c>
      <c r="G106" s="685">
        <v>2990571.85</v>
      </c>
      <c r="H106" s="685">
        <v>0</v>
      </c>
      <c r="I106" s="685">
        <f t="shared" si="1"/>
        <v>2990571.85</v>
      </c>
    </row>
    <row r="107" spans="1:11">
      <c r="A107" s="682" t="s">
        <v>3739</v>
      </c>
      <c r="B107" s="682" t="s">
        <v>3740</v>
      </c>
      <c r="C107" s="685">
        <v>0</v>
      </c>
      <c r="D107" s="685">
        <v>1729344.78</v>
      </c>
      <c r="E107" s="685">
        <v>0</v>
      </c>
      <c r="F107" s="685">
        <v>94345.61</v>
      </c>
      <c r="G107" s="685">
        <v>0</v>
      </c>
      <c r="H107" s="685">
        <v>1823690.39</v>
      </c>
      <c r="I107" s="685">
        <f t="shared" si="1"/>
        <v>-1823690.39</v>
      </c>
      <c r="J107" s="685"/>
      <c r="K107" s="685">
        <f>I107+J107</f>
        <v>-1823690.39</v>
      </c>
    </row>
    <row r="108" spans="1:11">
      <c r="A108" s="682" t="s">
        <v>3741</v>
      </c>
      <c r="B108" s="682" t="s">
        <v>3742</v>
      </c>
      <c r="C108" s="685">
        <v>0</v>
      </c>
      <c r="D108" s="685">
        <v>3909214.46</v>
      </c>
      <c r="E108" s="685">
        <v>0</v>
      </c>
      <c r="F108" s="685">
        <v>288048.69</v>
      </c>
      <c r="G108" s="685">
        <v>0</v>
      </c>
      <c r="H108" s="685">
        <v>4197263.1500000004</v>
      </c>
      <c r="I108" s="685">
        <f t="shared" si="1"/>
        <v>-4197263.1500000004</v>
      </c>
      <c r="J108" s="685"/>
      <c r="K108" s="685">
        <f t="shared" ref="K108:K113" si="2">I108+J108</f>
        <v>-4197263.1500000004</v>
      </c>
    </row>
    <row r="109" spans="1:11">
      <c r="A109" s="682" t="s">
        <v>3743</v>
      </c>
      <c r="B109" s="682" t="s">
        <v>3744</v>
      </c>
      <c r="C109" s="685">
        <v>0</v>
      </c>
      <c r="D109" s="685">
        <v>171117.72</v>
      </c>
      <c r="E109" s="685">
        <v>0</v>
      </c>
      <c r="F109" s="685">
        <v>10106.120000000001</v>
      </c>
      <c r="G109" s="685">
        <v>0</v>
      </c>
      <c r="H109" s="685">
        <v>181223.84</v>
      </c>
      <c r="I109" s="685">
        <f t="shared" si="1"/>
        <v>-181223.84</v>
      </c>
      <c r="J109" s="685"/>
      <c r="K109" s="685">
        <f>I109+J109-101227</f>
        <v>-282450.83999999997</v>
      </c>
    </row>
    <row r="110" spans="1:11">
      <c r="A110" s="682" t="s">
        <v>3745</v>
      </c>
      <c r="B110" s="682" t="s">
        <v>3746</v>
      </c>
      <c r="C110" s="685">
        <v>0</v>
      </c>
      <c r="D110" s="685">
        <v>2083178.35</v>
      </c>
      <c r="E110" s="685">
        <v>0</v>
      </c>
      <c r="F110" s="685">
        <v>107960.94</v>
      </c>
      <c r="G110" s="685">
        <v>0</v>
      </c>
      <c r="H110" s="685">
        <v>2191139.29</v>
      </c>
      <c r="I110" s="685">
        <f t="shared" si="1"/>
        <v>-2191139.29</v>
      </c>
      <c r="J110" s="685"/>
      <c r="K110" s="685">
        <f t="shared" si="2"/>
        <v>-2191139.29</v>
      </c>
    </row>
    <row r="111" spans="1:11">
      <c r="A111" s="682" t="s">
        <v>3747</v>
      </c>
      <c r="B111" s="682" t="s">
        <v>3748</v>
      </c>
      <c r="C111" s="685">
        <v>0</v>
      </c>
      <c r="D111" s="685">
        <v>164759.38</v>
      </c>
      <c r="E111" s="685">
        <v>0</v>
      </c>
      <c r="F111" s="685">
        <v>6204.11</v>
      </c>
      <c r="G111" s="685">
        <v>0</v>
      </c>
      <c r="H111" s="685">
        <v>170963.49</v>
      </c>
      <c r="I111" s="685">
        <f t="shared" si="1"/>
        <v>-170963.49</v>
      </c>
      <c r="J111" s="685"/>
      <c r="K111" s="685">
        <f t="shared" si="2"/>
        <v>-170963.49</v>
      </c>
    </row>
    <row r="112" spans="1:11">
      <c r="A112" s="696" t="s">
        <v>3755</v>
      </c>
      <c r="B112" s="696" t="s">
        <v>3756</v>
      </c>
      <c r="C112" s="699">
        <v>0</v>
      </c>
      <c r="D112" s="699">
        <v>6412996.8200000003</v>
      </c>
      <c r="E112" s="699">
        <v>1680</v>
      </c>
      <c r="F112" s="699">
        <v>221079.78</v>
      </c>
      <c r="G112" s="699">
        <v>0</v>
      </c>
      <c r="H112" s="699">
        <f>6632396.6+105856.78</f>
        <v>6738253.3799999999</v>
      </c>
      <c r="I112" s="699">
        <f>G112-H112</f>
        <v>-6738253.3799999999</v>
      </c>
      <c r="J112" s="685"/>
      <c r="K112" s="685">
        <f t="shared" si="2"/>
        <v>-6738253.3799999999</v>
      </c>
    </row>
    <row r="113" spans="1:11">
      <c r="A113" s="682" t="s">
        <v>3757</v>
      </c>
      <c r="B113" s="682" t="s">
        <v>3758</v>
      </c>
      <c r="C113" s="685">
        <v>0</v>
      </c>
      <c r="D113" s="685">
        <v>1663356.03</v>
      </c>
      <c r="E113" s="685">
        <v>0</v>
      </c>
      <c r="F113" s="685">
        <v>123463.81</v>
      </c>
      <c r="G113" s="685">
        <v>0</v>
      </c>
      <c r="H113" s="685">
        <v>1786819.84</v>
      </c>
      <c r="I113" s="685">
        <f t="shared" si="1"/>
        <v>-1786819.84</v>
      </c>
      <c r="J113" s="685"/>
      <c r="K113" s="685">
        <f t="shared" si="2"/>
        <v>-1786819.84</v>
      </c>
    </row>
    <row r="114" spans="1:11">
      <c r="B114" s="682" t="s">
        <v>4269</v>
      </c>
      <c r="C114" s="685">
        <f t="shared" ref="C114:I114" si="3">SUM(C3:C113)</f>
        <v>209477847.51999998</v>
      </c>
      <c r="D114" s="685">
        <f t="shared" si="3"/>
        <v>16133970.040000001</v>
      </c>
      <c r="E114" s="685">
        <f t="shared" si="3"/>
        <v>5841790248.0100012</v>
      </c>
      <c r="F114" s="685">
        <f t="shared" si="3"/>
        <v>5836361683.7299967</v>
      </c>
      <c r="G114" s="685">
        <f t="shared" si="3"/>
        <v>221233260.44999996</v>
      </c>
      <c r="H114" s="685">
        <f t="shared" si="3"/>
        <v>28364404.779999994</v>
      </c>
      <c r="I114" s="685">
        <f t="shared" si="3"/>
        <v>203031106.19999999</v>
      </c>
      <c r="K114" s="685">
        <f>SUM(K107:K113)</f>
        <v>-17190580.379999999</v>
      </c>
    </row>
    <row r="115" spans="1:11">
      <c r="A115" s="682" t="s">
        <v>4270</v>
      </c>
    </row>
    <row r="116" spans="1:11">
      <c r="A116" s="682" t="s">
        <v>3764</v>
      </c>
      <c r="B116" s="682" t="s">
        <v>1967</v>
      </c>
      <c r="C116" s="685">
        <v>0</v>
      </c>
      <c r="D116" s="685">
        <v>4065590.5</v>
      </c>
      <c r="E116" s="685">
        <v>49165942.729999997</v>
      </c>
      <c r="F116" s="685">
        <v>49170006.479999997</v>
      </c>
      <c r="G116" s="685">
        <v>0</v>
      </c>
      <c r="H116" s="685">
        <v>4069654.25</v>
      </c>
      <c r="I116" s="685">
        <f t="shared" si="1"/>
        <v>-4069654.25</v>
      </c>
    </row>
    <row r="117" spans="1:11">
      <c r="A117" s="682" t="s">
        <v>3765</v>
      </c>
      <c r="B117" s="682" t="s">
        <v>2060</v>
      </c>
      <c r="C117" s="685">
        <v>0</v>
      </c>
      <c r="D117" s="685">
        <v>13197147.859999999</v>
      </c>
      <c r="E117" s="685">
        <v>13735275.949999999</v>
      </c>
      <c r="F117" s="685">
        <v>12530969.18</v>
      </c>
      <c r="G117" s="685">
        <v>0</v>
      </c>
      <c r="H117" s="685">
        <v>11992841.09</v>
      </c>
      <c r="I117" s="685">
        <f t="shared" si="1"/>
        <v>-11992841.09</v>
      </c>
    </row>
    <row r="118" spans="1:11">
      <c r="A118" s="682" t="s">
        <v>3766</v>
      </c>
      <c r="B118" s="682" t="s">
        <v>3767</v>
      </c>
      <c r="C118" s="685">
        <v>0</v>
      </c>
      <c r="D118" s="685">
        <v>11.86</v>
      </c>
      <c r="E118" s="685">
        <v>11.86</v>
      </c>
      <c r="F118" s="685">
        <v>0</v>
      </c>
      <c r="G118" s="685">
        <v>0</v>
      </c>
      <c r="H118" s="685">
        <v>0</v>
      </c>
      <c r="I118" s="685">
        <f t="shared" si="1"/>
        <v>0</v>
      </c>
    </row>
    <row r="119" spans="1:11">
      <c r="A119" s="682" t="s">
        <v>3768</v>
      </c>
      <c r="B119" s="682" t="s">
        <v>3769</v>
      </c>
      <c r="C119" s="685">
        <v>0</v>
      </c>
      <c r="D119" s="685">
        <v>334795.55</v>
      </c>
      <c r="E119" s="685">
        <v>26773742.989999998</v>
      </c>
      <c r="F119" s="685">
        <v>26695959.629999999</v>
      </c>
      <c r="G119" s="685">
        <v>0</v>
      </c>
      <c r="H119" s="685">
        <v>257012.19</v>
      </c>
      <c r="I119" s="685">
        <f t="shared" si="1"/>
        <v>-257012.19</v>
      </c>
    </row>
    <row r="120" spans="1:11">
      <c r="A120" s="682" t="s">
        <v>3770</v>
      </c>
      <c r="B120" s="682" t="s">
        <v>2062</v>
      </c>
      <c r="C120" s="685">
        <v>0</v>
      </c>
      <c r="D120" s="685">
        <v>492288.37</v>
      </c>
      <c r="E120" s="685">
        <v>3406050.13</v>
      </c>
      <c r="F120" s="685">
        <v>3489177.33</v>
      </c>
      <c r="G120" s="685">
        <v>0</v>
      </c>
      <c r="H120" s="685">
        <v>575415.56999999995</v>
      </c>
      <c r="I120" s="685">
        <f t="shared" si="1"/>
        <v>-575415.56999999995</v>
      </c>
    </row>
    <row r="121" spans="1:11">
      <c r="A121" s="682" t="s">
        <v>3771</v>
      </c>
      <c r="B121" s="682" t="s">
        <v>2063</v>
      </c>
      <c r="C121" s="685">
        <v>0</v>
      </c>
      <c r="D121" s="685">
        <v>2733929.45</v>
      </c>
      <c r="E121" s="685">
        <v>24933885.260000002</v>
      </c>
      <c r="F121" s="685">
        <v>29932356.59</v>
      </c>
      <c r="G121" s="685">
        <v>0</v>
      </c>
      <c r="H121" s="685">
        <v>7732400.7800000003</v>
      </c>
      <c r="I121" s="685">
        <f t="shared" si="1"/>
        <v>-7732400.7800000003</v>
      </c>
    </row>
    <row r="122" spans="1:11">
      <c r="A122" s="682" t="s">
        <v>3772</v>
      </c>
      <c r="B122" s="682" t="s">
        <v>3441</v>
      </c>
      <c r="C122" s="685">
        <v>0</v>
      </c>
      <c r="D122" s="685">
        <v>10811.9</v>
      </c>
      <c r="E122" s="685">
        <v>87306.9</v>
      </c>
      <c r="F122" s="685">
        <v>79810</v>
      </c>
      <c r="G122" s="685">
        <v>0</v>
      </c>
      <c r="H122" s="685">
        <v>3315</v>
      </c>
      <c r="I122" s="685">
        <f t="shared" si="1"/>
        <v>-3315</v>
      </c>
    </row>
    <row r="123" spans="1:11">
      <c r="A123" s="682" t="s">
        <v>3773</v>
      </c>
      <c r="B123" s="682" t="s">
        <v>3443</v>
      </c>
      <c r="C123" s="685">
        <v>0</v>
      </c>
      <c r="D123" s="685">
        <v>114763.68</v>
      </c>
      <c r="E123" s="685">
        <v>3743</v>
      </c>
      <c r="F123" s="685">
        <v>13378</v>
      </c>
      <c r="G123" s="685">
        <v>0</v>
      </c>
      <c r="H123" s="685">
        <v>124398.68</v>
      </c>
      <c r="I123" s="685">
        <f t="shared" si="1"/>
        <v>-124398.68</v>
      </c>
    </row>
    <row r="124" spans="1:11">
      <c r="A124" s="682" t="s">
        <v>3774</v>
      </c>
      <c r="B124" s="682" t="s">
        <v>3775</v>
      </c>
      <c r="C124" s="685">
        <v>0</v>
      </c>
      <c r="D124" s="685">
        <v>0</v>
      </c>
      <c r="E124" s="685">
        <v>40000</v>
      </c>
      <c r="F124" s="685">
        <v>940000</v>
      </c>
      <c r="G124" s="685">
        <v>0</v>
      </c>
      <c r="H124" s="685">
        <v>900000</v>
      </c>
      <c r="I124" s="685">
        <f t="shared" si="1"/>
        <v>-900000</v>
      </c>
    </row>
    <row r="125" spans="1:11">
      <c r="A125" s="682" t="s">
        <v>3776</v>
      </c>
      <c r="B125" s="682" t="s">
        <v>3777</v>
      </c>
      <c r="C125" s="685">
        <v>0</v>
      </c>
      <c r="D125" s="685">
        <v>7675025.1699999999</v>
      </c>
      <c r="E125" s="685">
        <v>3084167.12</v>
      </c>
      <c r="F125" s="685">
        <v>3292342.65</v>
      </c>
      <c r="G125" s="685">
        <v>0</v>
      </c>
      <c r="H125" s="685">
        <v>7883200.7000000002</v>
      </c>
      <c r="I125" s="685">
        <f t="shared" si="1"/>
        <v>-7883200.7000000002</v>
      </c>
    </row>
    <row r="126" spans="1:11">
      <c r="A126" s="682" t="s">
        <v>3778</v>
      </c>
      <c r="B126" s="682" t="s">
        <v>3779</v>
      </c>
      <c r="C126" s="685">
        <v>0</v>
      </c>
      <c r="D126" s="685">
        <v>40357996</v>
      </c>
      <c r="E126" s="685">
        <f>5344439.73+500000</f>
        <v>5844439.7300000004</v>
      </c>
      <c r="F126" s="685">
        <v>5283577.74</v>
      </c>
      <c r="G126" s="685">
        <v>0</v>
      </c>
      <c r="H126" s="685">
        <f>D126-E126+F126</f>
        <v>39797134.009999998</v>
      </c>
      <c r="I126" s="685">
        <f t="shared" si="1"/>
        <v>-39797134.009999998</v>
      </c>
    </row>
    <row r="127" spans="1:11">
      <c r="A127" s="682" t="s">
        <v>3780</v>
      </c>
      <c r="B127" s="682" t="s">
        <v>2066</v>
      </c>
      <c r="C127" s="685">
        <v>0</v>
      </c>
      <c r="D127" s="685">
        <v>338905.79</v>
      </c>
      <c r="E127" s="685">
        <v>0</v>
      </c>
      <c r="F127" s="685">
        <v>0</v>
      </c>
      <c r="G127" s="685">
        <v>0</v>
      </c>
      <c r="H127" s="685">
        <v>338905.79</v>
      </c>
      <c r="I127" s="685">
        <f t="shared" si="1"/>
        <v>-338905.79</v>
      </c>
    </row>
    <row r="128" spans="1:11">
      <c r="A128" s="682" t="s">
        <v>3781</v>
      </c>
      <c r="B128" s="682" t="s">
        <v>3782</v>
      </c>
      <c r="C128" s="685">
        <v>0</v>
      </c>
      <c r="D128" s="685">
        <v>305673.28999999998</v>
      </c>
      <c r="E128" s="685">
        <v>0</v>
      </c>
      <c r="F128" s="685">
        <v>0</v>
      </c>
      <c r="G128" s="685">
        <v>0</v>
      </c>
      <c r="H128" s="685">
        <v>305673.28999999998</v>
      </c>
      <c r="I128" s="685">
        <f t="shared" si="1"/>
        <v>-305673.28999999998</v>
      </c>
    </row>
    <row r="129" spans="1:9">
      <c r="A129" s="682" t="s">
        <v>3783</v>
      </c>
      <c r="B129" s="682" t="s">
        <v>3784</v>
      </c>
      <c r="C129" s="685">
        <v>0</v>
      </c>
      <c r="D129" s="685">
        <v>2265846.0499999998</v>
      </c>
      <c r="E129" s="685">
        <v>22894.560000000001</v>
      </c>
      <c r="F129" s="685">
        <v>0</v>
      </c>
      <c r="G129" s="685">
        <v>0</v>
      </c>
      <c r="H129" s="685">
        <v>2242951.4900000002</v>
      </c>
      <c r="I129" s="685">
        <f t="shared" si="1"/>
        <v>-2242951.4900000002</v>
      </c>
    </row>
    <row r="130" spans="1:9">
      <c r="A130" s="682" t="s">
        <v>3785</v>
      </c>
      <c r="B130" s="682" t="s">
        <v>3448</v>
      </c>
      <c r="C130" s="685">
        <v>0</v>
      </c>
      <c r="D130" s="685">
        <v>865421.12</v>
      </c>
      <c r="E130" s="685">
        <v>0</v>
      </c>
      <c r="F130" s="685">
        <v>0</v>
      </c>
      <c r="G130" s="685">
        <v>0</v>
      </c>
      <c r="H130" s="685">
        <v>865421.12</v>
      </c>
      <c r="I130" s="685">
        <f t="shared" si="1"/>
        <v>-865421.12</v>
      </c>
    </row>
    <row r="131" spans="1:9">
      <c r="A131" s="682" t="s">
        <v>3786</v>
      </c>
      <c r="B131" s="682" t="s">
        <v>2068</v>
      </c>
      <c r="C131" s="685">
        <v>0</v>
      </c>
      <c r="D131" s="685">
        <v>1592.73</v>
      </c>
      <c r="E131" s="685">
        <v>0</v>
      </c>
      <c r="F131" s="685">
        <v>0</v>
      </c>
      <c r="G131" s="685">
        <v>0</v>
      </c>
      <c r="H131" s="685">
        <v>1592.73</v>
      </c>
      <c r="I131" s="685">
        <f t="shared" si="1"/>
        <v>-1592.73</v>
      </c>
    </row>
    <row r="132" spans="1:9">
      <c r="A132" s="682" t="s">
        <v>3787</v>
      </c>
      <c r="B132" s="682" t="s">
        <v>3788</v>
      </c>
      <c r="C132" s="685">
        <v>0</v>
      </c>
      <c r="D132" s="685">
        <v>60249.39</v>
      </c>
      <c r="E132" s="685">
        <v>0</v>
      </c>
      <c r="F132" s="685">
        <v>0</v>
      </c>
      <c r="G132" s="685">
        <v>0</v>
      </c>
      <c r="H132" s="685">
        <v>60249.39</v>
      </c>
      <c r="I132" s="685">
        <f t="shared" ref="I132:I195" si="4">G132-H132</f>
        <v>-60249.39</v>
      </c>
    </row>
    <row r="133" spans="1:9">
      <c r="A133" s="682" t="s">
        <v>3789</v>
      </c>
      <c r="B133" s="682" t="s">
        <v>3790</v>
      </c>
      <c r="C133" s="685">
        <v>0</v>
      </c>
      <c r="D133" s="685">
        <v>2499.39</v>
      </c>
      <c r="E133" s="685">
        <v>0</v>
      </c>
      <c r="F133" s="685">
        <v>0</v>
      </c>
      <c r="G133" s="685">
        <v>0</v>
      </c>
      <c r="H133" s="685">
        <v>2499.39</v>
      </c>
      <c r="I133" s="685">
        <f t="shared" si="4"/>
        <v>-2499.39</v>
      </c>
    </row>
    <row r="134" spans="1:9">
      <c r="A134" s="682" t="s">
        <v>3791</v>
      </c>
      <c r="B134" s="682" t="s">
        <v>3792</v>
      </c>
      <c r="C134" s="685">
        <v>0</v>
      </c>
      <c r="D134" s="685">
        <v>0</v>
      </c>
      <c r="E134" s="685">
        <v>352985.61</v>
      </c>
      <c r="F134" s="685">
        <v>332263.84000000003</v>
      </c>
      <c r="G134" s="685">
        <v>20721.77</v>
      </c>
      <c r="H134" s="685">
        <v>0</v>
      </c>
      <c r="I134" s="685">
        <f t="shared" si="4"/>
        <v>20721.77</v>
      </c>
    </row>
    <row r="135" spans="1:9">
      <c r="A135" s="682" t="s">
        <v>3793</v>
      </c>
      <c r="B135" s="682" t="s">
        <v>3794</v>
      </c>
      <c r="C135" s="685">
        <v>0</v>
      </c>
      <c r="D135" s="685">
        <v>0</v>
      </c>
      <c r="E135" s="685">
        <v>823356.98</v>
      </c>
      <c r="F135" s="685">
        <v>2730868.11</v>
      </c>
      <c r="G135" s="685">
        <v>0</v>
      </c>
      <c r="H135" s="685">
        <v>1907511.13</v>
      </c>
      <c r="I135" s="685">
        <f t="shared" si="4"/>
        <v>-1907511.13</v>
      </c>
    </row>
    <row r="136" spans="1:9">
      <c r="A136" s="682" t="s">
        <v>4271</v>
      </c>
      <c r="B136" s="682" t="s">
        <v>3767</v>
      </c>
      <c r="C136" s="685">
        <v>0</v>
      </c>
      <c r="D136" s="685">
        <v>0</v>
      </c>
      <c r="E136" s="685">
        <v>11.59</v>
      </c>
      <c r="F136" s="685">
        <v>11.86</v>
      </c>
      <c r="G136" s="685">
        <v>0</v>
      </c>
      <c r="H136" s="685">
        <v>0.27</v>
      </c>
      <c r="I136" s="685">
        <f t="shared" si="4"/>
        <v>-0.27</v>
      </c>
    </row>
    <row r="137" spans="1:9">
      <c r="A137" s="682" t="s">
        <v>3795</v>
      </c>
      <c r="B137" s="682" t="s">
        <v>3796</v>
      </c>
      <c r="C137" s="685">
        <v>0</v>
      </c>
      <c r="D137" s="685">
        <v>0</v>
      </c>
      <c r="E137" s="685">
        <v>0</v>
      </c>
      <c r="F137" s="685">
        <v>2074.14</v>
      </c>
      <c r="G137" s="685">
        <v>0</v>
      </c>
      <c r="H137" s="685">
        <v>2074.14</v>
      </c>
      <c r="I137" s="685">
        <f t="shared" si="4"/>
        <v>-2074.14</v>
      </c>
    </row>
    <row r="138" spans="1:9">
      <c r="A138" s="682" t="s">
        <v>3797</v>
      </c>
      <c r="B138" s="682" t="s">
        <v>3798</v>
      </c>
      <c r="C138" s="685">
        <v>0</v>
      </c>
      <c r="D138" s="685">
        <v>0</v>
      </c>
      <c r="E138" s="685">
        <v>173.32</v>
      </c>
      <c r="F138" s="685">
        <v>1073.29</v>
      </c>
      <c r="G138" s="685">
        <v>0</v>
      </c>
      <c r="H138" s="685">
        <v>899.97</v>
      </c>
      <c r="I138" s="685">
        <f t="shared" si="4"/>
        <v>-899.97</v>
      </c>
    </row>
    <row r="139" spans="1:9">
      <c r="A139" s="682" t="s">
        <v>3799</v>
      </c>
      <c r="B139" s="682" t="s">
        <v>3800</v>
      </c>
      <c r="C139" s="685">
        <v>0</v>
      </c>
      <c r="D139" s="685">
        <v>0</v>
      </c>
      <c r="E139" s="685">
        <v>44599.76</v>
      </c>
      <c r="F139" s="685">
        <v>57767.7</v>
      </c>
      <c r="G139" s="685">
        <v>0</v>
      </c>
      <c r="H139" s="685">
        <v>13167.94</v>
      </c>
      <c r="I139" s="685">
        <f t="shared" si="4"/>
        <v>-13167.94</v>
      </c>
    </row>
    <row r="140" spans="1:9">
      <c r="A140" s="682" t="s">
        <v>3801</v>
      </c>
      <c r="B140" s="682" t="s">
        <v>3802</v>
      </c>
      <c r="C140" s="685">
        <v>0</v>
      </c>
      <c r="D140" s="685">
        <v>0</v>
      </c>
      <c r="E140" s="685">
        <v>0</v>
      </c>
      <c r="F140" s="685">
        <v>5456</v>
      </c>
      <c r="G140" s="685">
        <v>0</v>
      </c>
      <c r="H140" s="685">
        <v>5456</v>
      </c>
      <c r="I140" s="685">
        <f t="shared" si="4"/>
        <v>-5456</v>
      </c>
    </row>
    <row r="141" spans="1:9">
      <c r="A141" s="682" t="s">
        <v>3803</v>
      </c>
      <c r="B141" s="682" t="s">
        <v>3804</v>
      </c>
      <c r="C141" s="685">
        <v>0</v>
      </c>
      <c r="D141" s="685">
        <v>0</v>
      </c>
      <c r="E141" s="685">
        <v>31248.52</v>
      </c>
      <c r="F141" s="685">
        <v>189944.82</v>
      </c>
      <c r="G141" s="685">
        <v>0</v>
      </c>
      <c r="H141" s="685">
        <v>158696.29999999999</v>
      </c>
      <c r="I141" s="685">
        <f t="shared" si="4"/>
        <v>-158696.29999999999</v>
      </c>
    </row>
    <row r="142" spans="1:9">
      <c r="A142" s="682" t="s">
        <v>3805</v>
      </c>
      <c r="B142" s="682" t="s">
        <v>3806</v>
      </c>
      <c r="C142" s="685">
        <v>0</v>
      </c>
      <c r="D142" s="685">
        <v>0</v>
      </c>
      <c r="E142" s="685">
        <v>29905</v>
      </c>
      <c r="F142" s="685">
        <v>158574.21</v>
      </c>
      <c r="G142" s="685">
        <v>0</v>
      </c>
      <c r="H142" s="685">
        <v>128669.21</v>
      </c>
      <c r="I142" s="685">
        <f t="shared" si="4"/>
        <v>-128669.21</v>
      </c>
    </row>
    <row r="143" spans="1:9">
      <c r="A143" s="682" t="s">
        <v>3807</v>
      </c>
      <c r="B143" s="682" t="s">
        <v>3808</v>
      </c>
      <c r="C143" s="685">
        <v>0</v>
      </c>
      <c r="D143" s="685">
        <v>0</v>
      </c>
      <c r="E143" s="685">
        <v>0</v>
      </c>
      <c r="F143" s="685">
        <v>11.59</v>
      </c>
      <c r="G143" s="685">
        <v>0</v>
      </c>
      <c r="H143" s="685">
        <v>11.59</v>
      </c>
      <c r="I143" s="685">
        <f t="shared" si="4"/>
        <v>-11.59</v>
      </c>
    </row>
    <row r="144" spans="1:9">
      <c r="A144" s="682" t="s">
        <v>3809</v>
      </c>
      <c r="B144" s="682" t="s">
        <v>3810</v>
      </c>
      <c r="C144" s="685">
        <v>0</v>
      </c>
      <c r="D144" s="685">
        <v>0</v>
      </c>
      <c r="E144" s="685">
        <v>0</v>
      </c>
      <c r="F144" s="685">
        <v>176.6</v>
      </c>
      <c r="G144" s="685">
        <v>0</v>
      </c>
      <c r="H144" s="685">
        <v>176.6</v>
      </c>
      <c r="I144" s="685">
        <f t="shared" si="4"/>
        <v>-176.6</v>
      </c>
    </row>
    <row r="145" spans="1:9">
      <c r="A145" s="682" t="s">
        <v>3811</v>
      </c>
      <c r="B145" s="682" t="s">
        <v>3812</v>
      </c>
      <c r="C145" s="685">
        <v>0</v>
      </c>
      <c r="D145" s="685">
        <v>0</v>
      </c>
      <c r="E145" s="685">
        <v>300</v>
      </c>
      <c r="F145" s="685">
        <v>43393.78</v>
      </c>
      <c r="G145" s="685">
        <v>0</v>
      </c>
      <c r="H145" s="685">
        <v>43093.78</v>
      </c>
      <c r="I145" s="685">
        <f t="shared" si="4"/>
        <v>-43093.78</v>
      </c>
    </row>
    <row r="146" spans="1:9">
      <c r="A146" s="682" t="s">
        <v>3823</v>
      </c>
      <c r="B146" s="682" t="s">
        <v>2071</v>
      </c>
      <c r="C146" s="685">
        <v>0</v>
      </c>
      <c r="D146" s="685">
        <v>108475.47</v>
      </c>
      <c r="E146" s="685">
        <v>3471.19</v>
      </c>
      <c r="F146" s="685">
        <v>1193.8800000000001</v>
      </c>
      <c r="G146" s="685">
        <v>0</v>
      </c>
      <c r="H146" s="685">
        <v>106198.16</v>
      </c>
      <c r="I146" s="685">
        <f t="shared" si="4"/>
        <v>-106198.16</v>
      </c>
    </row>
    <row r="147" spans="1:9">
      <c r="A147" s="682" t="s">
        <v>3909</v>
      </c>
      <c r="B147" s="682" t="s">
        <v>2107</v>
      </c>
      <c r="C147" s="685">
        <v>0</v>
      </c>
      <c r="D147" s="685">
        <v>0.01</v>
      </c>
      <c r="E147" s="685">
        <v>0</v>
      </c>
      <c r="F147" s="685">
        <v>0</v>
      </c>
      <c r="G147" s="685">
        <v>0</v>
      </c>
      <c r="H147" s="685">
        <v>0.01</v>
      </c>
      <c r="I147" s="685">
        <f t="shared" si="4"/>
        <v>-0.01</v>
      </c>
    </row>
    <row r="148" spans="1:9">
      <c r="A148" s="682" t="s">
        <v>3910</v>
      </c>
      <c r="B148" s="682" t="s">
        <v>2108</v>
      </c>
      <c r="C148" s="685">
        <v>0</v>
      </c>
      <c r="D148" s="685">
        <v>503270.25</v>
      </c>
      <c r="E148" s="685">
        <v>594183.46</v>
      </c>
      <c r="F148" s="685">
        <v>191243.32</v>
      </c>
      <c r="G148" s="685">
        <v>0</v>
      </c>
      <c r="H148" s="685">
        <v>100330.11</v>
      </c>
      <c r="I148" s="685">
        <f t="shared" si="4"/>
        <v>-100330.11</v>
      </c>
    </row>
    <row r="149" spans="1:9">
      <c r="A149" s="682" t="s">
        <v>3911</v>
      </c>
      <c r="B149" s="682" t="s">
        <v>3134</v>
      </c>
      <c r="C149" s="685">
        <v>0</v>
      </c>
      <c r="D149" s="685">
        <v>117902.85</v>
      </c>
      <c r="E149" s="685">
        <v>0</v>
      </c>
      <c r="F149" s="685">
        <v>167257.43</v>
      </c>
      <c r="G149" s="685">
        <v>0</v>
      </c>
      <c r="H149" s="685">
        <v>285160.28000000003</v>
      </c>
      <c r="I149" s="685">
        <f t="shared" si="4"/>
        <v>-285160.28000000003</v>
      </c>
    </row>
    <row r="150" spans="1:9">
      <c r="A150" s="682" t="s">
        <v>3912</v>
      </c>
      <c r="B150" s="682" t="s">
        <v>3139</v>
      </c>
      <c r="C150" s="685">
        <v>0</v>
      </c>
      <c r="D150" s="685">
        <v>401872.34</v>
      </c>
      <c r="E150" s="685">
        <v>436130.28</v>
      </c>
      <c r="F150" s="685">
        <v>34257.94</v>
      </c>
      <c r="G150" s="685">
        <v>0</v>
      </c>
      <c r="H150" s="685">
        <v>0</v>
      </c>
      <c r="I150" s="685">
        <f t="shared" si="4"/>
        <v>0</v>
      </c>
    </row>
    <row r="151" spans="1:9">
      <c r="A151" s="682" t="s">
        <v>3913</v>
      </c>
      <c r="B151" s="682" t="s">
        <v>3141</v>
      </c>
      <c r="C151" s="685">
        <v>0</v>
      </c>
      <c r="D151" s="685">
        <v>245010.17</v>
      </c>
      <c r="E151" s="685">
        <v>447091.69</v>
      </c>
      <c r="F151" s="685">
        <v>300012.48</v>
      </c>
      <c r="G151" s="685">
        <v>0</v>
      </c>
      <c r="H151" s="685">
        <v>97930.96</v>
      </c>
      <c r="I151" s="685">
        <f t="shared" si="4"/>
        <v>-97930.96</v>
      </c>
    </row>
    <row r="152" spans="1:9">
      <c r="A152" s="682" t="s">
        <v>3914</v>
      </c>
      <c r="B152" s="682" t="s">
        <v>3143</v>
      </c>
      <c r="C152" s="685">
        <v>0</v>
      </c>
      <c r="D152" s="685">
        <v>610143.12</v>
      </c>
      <c r="E152" s="685">
        <v>0</v>
      </c>
      <c r="F152" s="685">
        <v>418188</v>
      </c>
      <c r="G152" s="685">
        <v>0</v>
      </c>
      <c r="H152" s="685">
        <v>1028331.12</v>
      </c>
      <c r="I152" s="685">
        <f t="shared" si="4"/>
        <v>-1028331.12</v>
      </c>
    </row>
    <row r="153" spans="1:9">
      <c r="A153" s="682" t="s">
        <v>3915</v>
      </c>
      <c r="B153" s="682" t="s">
        <v>3145</v>
      </c>
      <c r="C153" s="685">
        <v>0.01</v>
      </c>
      <c r="D153" s="685">
        <v>0</v>
      </c>
      <c r="E153" s="685">
        <v>0</v>
      </c>
      <c r="F153" s="685">
        <v>128445.32</v>
      </c>
      <c r="G153" s="685">
        <v>0</v>
      </c>
      <c r="H153" s="685">
        <v>128445.31</v>
      </c>
      <c r="I153" s="685">
        <f t="shared" si="4"/>
        <v>-128445.31</v>
      </c>
    </row>
    <row r="154" spans="1:9">
      <c r="A154" s="682" t="s">
        <v>3916</v>
      </c>
      <c r="B154" s="682" t="s">
        <v>3438</v>
      </c>
      <c r="C154" s="685">
        <v>0</v>
      </c>
      <c r="D154" s="685">
        <v>391300.21</v>
      </c>
      <c r="E154" s="685">
        <v>399171.1</v>
      </c>
      <c r="F154" s="685">
        <v>254701.39</v>
      </c>
      <c r="G154" s="685">
        <v>0</v>
      </c>
      <c r="H154" s="685">
        <v>246830.5</v>
      </c>
      <c r="I154" s="685">
        <f t="shared" si="4"/>
        <v>-246830.5</v>
      </c>
    </row>
    <row r="155" spans="1:9">
      <c r="A155" s="682" t="s">
        <v>3824</v>
      </c>
      <c r="B155" s="682" t="s">
        <v>3825</v>
      </c>
      <c r="C155" s="685">
        <v>0</v>
      </c>
      <c r="D155" s="685">
        <v>559.36</v>
      </c>
      <c r="E155" s="685">
        <v>559.36</v>
      </c>
      <c r="F155" s="685">
        <v>0</v>
      </c>
      <c r="G155" s="685">
        <v>0</v>
      </c>
      <c r="H155" s="685">
        <v>0</v>
      </c>
      <c r="I155" s="685">
        <f t="shared" si="4"/>
        <v>0</v>
      </c>
    </row>
    <row r="156" spans="1:9">
      <c r="A156" s="682" t="s">
        <v>3813</v>
      </c>
      <c r="B156" s="682" t="s">
        <v>3814</v>
      </c>
      <c r="C156" s="685">
        <v>0</v>
      </c>
      <c r="D156" s="685">
        <v>13379.31</v>
      </c>
      <c r="E156" s="685">
        <v>16814.689999999999</v>
      </c>
      <c r="F156" s="685">
        <v>3435.38</v>
      </c>
      <c r="G156" s="685">
        <v>0</v>
      </c>
      <c r="H156" s="685">
        <v>0</v>
      </c>
      <c r="I156" s="685">
        <f t="shared" si="4"/>
        <v>0</v>
      </c>
    </row>
    <row r="157" spans="1:9">
      <c r="A157" s="682" t="s">
        <v>4272</v>
      </c>
      <c r="B157" s="682" t="s">
        <v>4273</v>
      </c>
      <c r="C157" s="685">
        <v>0</v>
      </c>
      <c r="D157" s="685">
        <v>78710.78</v>
      </c>
      <c r="E157" s="685">
        <v>116843.89</v>
      </c>
      <c r="F157" s="685">
        <v>38133.11</v>
      </c>
      <c r="G157" s="685">
        <v>0</v>
      </c>
      <c r="H157" s="685">
        <v>0</v>
      </c>
      <c r="I157" s="685">
        <f t="shared" si="4"/>
        <v>0</v>
      </c>
    </row>
    <row r="158" spans="1:9">
      <c r="A158" s="682" t="s">
        <v>3917</v>
      </c>
      <c r="B158" s="682" t="s">
        <v>3918</v>
      </c>
      <c r="C158" s="685">
        <v>0</v>
      </c>
      <c r="D158" s="685">
        <v>165913.16</v>
      </c>
      <c r="E158" s="685">
        <v>118729.74</v>
      </c>
      <c r="F158" s="685">
        <v>198543.21</v>
      </c>
      <c r="G158" s="685">
        <v>0</v>
      </c>
      <c r="H158" s="685">
        <v>245726.63</v>
      </c>
      <c r="I158" s="685">
        <f t="shared" si="4"/>
        <v>-245726.63</v>
      </c>
    </row>
    <row r="159" spans="1:9">
      <c r="A159" s="682" t="s">
        <v>3919</v>
      </c>
      <c r="B159" s="682" t="s">
        <v>3920</v>
      </c>
      <c r="C159" s="685">
        <v>0</v>
      </c>
      <c r="D159" s="685">
        <v>6539709.79</v>
      </c>
      <c r="E159" s="685">
        <f>1535681.69+137260.27</f>
        <v>1672941.96</v>
      </c>
      <c r="F159" s="685">
        <v>1418293.08</v>
      </c>
      <c r="G159" s="685">
        <v>0</v>
      </c>
      <c r="H159" s="685">
        <f>D159-E159+F159</f>
        <v>6285060.9100000001</v>
      </c>
      <c r="I159" s="685">
        <f t="shared" si="4"/>
        <v>-6285060.9100000001</v>
      </c>
    </row>
    <row r="160" spans="1:9">
      <c r="A160" s="682" t="s">
        <v>3826</v>
      </c>
      <c r="B160" s="682" t="s">
        <v>3827</v>
      </c>
      <c r="C160" s="685">
        <v>0</v>
      </c>
      <c r="D160" s="685">
        <v>304.2</v>
      </c>
      <c r="E160" s="685">
        <v>0</v>
      </c>
      <c r="F160" s="685">
        <v>9.2100000000000009</v>
      </c>
      <c r="G160" s="685">
        <v>0</v>
      </c>
      <c r="H160" s="685">
        <v>313.41000000000003</v>
      </c>
      <c r="I160" s="685">
        <f t="shared" si="4"/>
        <v>-313.41000000000003</v>
      </c>
    </row>
    <row r="161" spans="1:9">
      <c r="A161" s="682" t="s">
        <v>3828</v>
      </c>
      <c r="B161" s="682" t="s">
        <v>2111</v>
      </c>
      <c r="C161" s="685">
        <v>0</v>
      </c>
      <c r="D161" s="685">
        <v>92069.15</v>
      </c>
      <c r="E161" s="685">
        <v>169171.55</v>
      </c>
      <c r="F161" s="685">
        <v>101892.21</v>
      </c>
      <c r="G161" s="685">
        <v>0</v>
      </c>
      <c r="H161" s="685">
        <v>24789.81</v>
      </c>
      <c r="I161" s="685">
        <f t="shared" si="4"/>
        <v>-24789.81</v>
      </c>
    </row>
    <row r="162" spans="1:9">
      <c r="A162" s="682" t="s">
        <v>3829</v>
      </c>
      <c r="B162" s="682" t="s">
        <v>2112</v>
      </c>
      <c r="C162" s="685">
        <v>0</v>
      </c>
      <c r="D162" s="685">
        <v>152027.68</v>
      </c>
      <c r="E162" s="685">
        <v>277582.39</v>
      </c>
      <c r="F162" s="685">
        <v>166700.35999999999</v>
      </c>
      <c r="G162" s="685">
        <v>0</v>
      </c>
      <c r="H162" s="685">
        <v>41145.65</v>
      </c>
      <c r="I162" s="685">
        <f t="shared" si="4"/>
        <v>-41145.65</v>
      </c>
    </row>
    <row r="163" spans="1:9">
      <c r="A163" s="682" t="s">
        <v>3830</v>
      </c>
      <c r="B163" s="682" t="s">
        <v>3831</v>
      </c>
      <c r="C163" s="685">
        <v>0</v>
      </c>
      <c r="D163" s="685">
        <v>681269.14</v>
      </c>
      <c r="E163" s="685">
        <v>2477790.61</v>
      </c>
      <c r="F163" s="685">
        <v>2395235.31</v>
      </c>
      <c r="G163" s="685">
        <v>0</v>
      </c>
      <c r="H163" s="685">
        <v>598713.84</v>
      </c>
      <c r="I163" s="685">
        <f t="shared" si="4"/>
        <v>-598713.84</v>
      </c>
    </row>
    <row r="164" spans="1:9">
      <c r="A164" s="682" t="s">
        <v>3832</v>
      </c>
      <c r="B164" s="682" t="s">
        <v>2113</v>
      </c>
      <c r="C164" s="685">
        <v>0</v>
      </c>
      <c r="D164" s="685">
        <v>331948.74</v>
      </c>
      <c r="E164" s="685">
        <v>1202140.97</v>
      </c>
      <c r="F164" s="685">
        <v>1094283.96</v>
      </c>
      <c r="G164" s="685">
        <v>0</v>
      </c>
      <c r="H164" s="685">
        <v>224091.73</v>
      </c>
      <c r="I164" s="685">
        <f t="shared" si="4"/>
        <v>-224091.73</v>
      </c>
    </row>
    <row r="165" spans="1:9">
      <c r="A165" s="682" t="s">
        <v>3833</v>
      </c>
      <c r="B165" s="682" t="s">
        <v>2114</v>
      </c>
      <c r="C165" s="685">
        <v>0</v>
      </c>
      <c r="D165" s="685">
        <v>1124580.24</v>
      </c>
      <c r="E165" s="685">
        <v>5574870.4000000004</v>
      </c>
      <c r="F165" s="685">
        <v>5442794.8399999999</v>
      </c>
      <c r="G165" s="685">
        <v>0</v>
      </c>
      <c r="H165" s="685">
        <v>992504.68</v>
      </c>
      <c r="I165" s="685">
        <f t="shared" si="4"/>
        <v>-992504.68</v>
      </c>
    </row>
    <row r="166" spans="1:9">
      <c r="A166" s="682" t="s">
        <v>3833</v>
      </c>
      <c r="B166" s="682" t="s">
        <v>4274</v>
      </c>
      <c r="C166" s="685">
        <v>740.4</v>
      </c>
      <c r="D166" s="685">
        <v>0</v>
      </c>
      <c r="E166" s="685">
        <v>0</v>
      </c>
      <c r="F166" s="685">
        <v>1480.8</v>
      </c>
      <c r="G166" s="685">
        <v>0</v>
      </c>
      <c r="H166" s="685">
        <v>740.4</v>
      </c>
      <c r="I166" s="685">
        <f t="shared" si="4"/>
        <v>-740.4</v>
      </c>
    </row>
    <row r="167" spans="1:9">
      <c r="A167" s="682" t="s">
        <v>3834</v>
      </c>
      <c r="B167" s="682" t="s">
        <v>2116</v>
      </c>
      <c r="C167" s="685">
        <v>0</v>
      </c>
      <c r="D167" s="685">
        <v>183487.54</v>
      </c>
      <c r="E167" s="685">
        <v>22464476.91</v>
      </c>
      <c r="F167" s="685">
        <v>21920004.579999998</v>
      </c>
      <c r="G167" s="685">
        <v>360984.79</v>
      </c>
      <c r="H167" s="685">
        <v>0</v>
      </c>
      <c r="I167" s="685">
        <f t="shared" si="4"/>
        <v>360984.79</v>
      </c>
    </row>
    <row r="168" spans="1:9">
      <c r="A168" s="682" t="s">
        <v>3835</v>
      </c>
      <c r="B168" s="682" t="s">
        <v>2115</v>
      </c>
      <c r="C168" s="685">
        <v>0</v>
      </c>
      <c r="D168" s="685">
        <v>9192</v>
      </c>
      <c r="E168" s="685">
        <v>64880.11</v>
      </c>
      <c r="F168" s="685">
        <v>73026.880000000005</v>
      </c>
      <c r="G168" s="685">
        <v>0</v>
      </c>
      <c r="H168" s="685">
        <v>17338.77</v>
      </c>
      <c r="I168" s="685">
        <f t="shared" si="4"/>
        <v>-17338.77</v>
      </c>
    </row>
    <row r="169" spans="1:9">
      <c r="A169" s="682" t="s">
        <v>3836</v>
      </c>
      <c r="B169" s="682" t="s">
        <v>3837</v>
      </c>
      <c r="C169" s="685">
        <v>0</v>
      </c>
      <c r="D169" s="685">
        <v>451.58</v>
      </c>
      <c r="E169" s="685">
        <v>453.06</v>
      </c>
      <c r="F169" s="685">
        <v>451.58</v>
      </c>
      <c r="G169" s="685">
        <v>0</v>
      </c>
      <c r="H169" s="685">
        <v>450.1</v>
      </c>
      <c r="I169" s="685">
        <f t="shared" si="4"/>
        <v>-450.1</v>
      </c>
    </row>
    <row r="170" spans="1:9">
      <c r="A170" s="682" t="s">
        <v>3838</v>
      </c>
      <c r="B170" s="682" t="s">
        <v>3455</v>
      </c>
      <c r="C170" s="685">
        <v>0</v>
      </c>
      <c r="D170" s="685">
        <v>3282</v>
      </c>
      <c r="E170" s="685">
        <v>0</v>
      </c>
      <c r="F170" s="685">
        <v>0</v>
      </c>
      <c r="G170" s="685">
        <v>0</v>
      </c>
      <c r="H170" s="685">
        <v>3282</v>
      </c>
      <c r="I170" s="685">
        <f t="shared" si="4"/>
        <v>-3282</v>
      </c>
    </row>
    <row r="171" spans="1:9">
      <c r="A171" s="682" t="s">
        <v>3839</v>
      </c>
      <c r="B171" s="682" t="s">
        <v>2120</v>
      </c>
      <c r="C171" s="685">
        <v>0</v>
      </c>
      <c r="D171" s="685">
        <v>1885</v>
      </c>
      <c r="E171" s="685">
        <v>0</v>
      </c>
      <c r="F171" s="685">
        <v>0</v>
      </c>
      <c r="G171" s="685">
        <v>0</v>
      </c>
      <c r="H171" s="685">
        <v>1885</v>
      </c>
      <c r="I171" s="685">
        <f t="shared" si="4"/>
        <v>-1885</v>
      </c>
    </row>
    <row r="172" spans="1:9">
      <c r="A172" s="682" t="s">
        <v>3840</v>
      </c>
      <c r="B172" s="682" t="s">
        <v>2121</v>
      </c>
      <c r="C172" s="685">
        <v>0</v>
      </c>
      <c r="D172" s="685">
        <v>7420</v>
      </c>
      <c r="E172" s="685">
        <v>0</v>
      </c>
      <c r="F172" s="685">
        <v>0</v>
      </c>
      <c r="G172" s="685">
        <v>0</v>
      </c>
      <c r="H172" s="685">
        <v>7420</v>
      </c>
      <c r="I172" s="685">
        <f t="shared" si="4"/>
        <v>-7420</v>
      </c>
    </row>
    <row r="173" spans="1:9">
      <c r="A173" s="682" t="s">
        <v>3841</v>
      </c>
      <c r="B173" s="682" t="s">
        <v>2122</v>
      </c>
      <c r="C173" s="685">
        <v>0</v>
      </c>
      <c r="D173" s="685">
        <v>1800</v>
      </c>
      <c r="E173" s="685">
        <v>0</v>
      </c>
      <c r="F173" s="685">
        <v>0</v>
      </c>
      <c r="G173" s="685">
        <v>0</v>
      </c>
      <c r="H173" s="685">
        <v>1800</v>
      </c>
      <c r="I173" s="685">
        <f t="shared" si="4"/>
        <v>-1800</v>
      </c>
    </row>
    <row r="174" spans="1:9">
      <c r="A174" s="682" t="s">
        <v>3842</v>
      </c>
      <c r="B174" s="682" t="s">
        <v>2123</v>
      </c>
      <c r="C174" s="685">
        <v>0</v>
      </c>
      <c r="D174" s="685">
        <v>885</v>
      </c>
      <c r="E174" s="685">
        <v>0</v>
      </c>
      <c r="F174" s="685">
        <v>0</v>
      </c>
      <c r="G174" s="685">
        <v>0</v>
      </c>
      <c r="H174" s="685">
        <v>885</v>
      </c>
      <c r="I174" s="685">
        <f t="shared" si="4"/>
        <v>-885</v>
      </c>
    </row>
    <row r="175" spans="1:9">
      <c r="A175" s="682" t="s">
        <v>3632</v>
      </c>
      <c r="B175" s="682" t="s">
        <v>2124</v>
      </c>
      <c r="C175" s="685">
        <v>1735940.11</v>
      </c>
      <c r="D175" s="685">
        <v>0</v>
      </c>
      <c r="E175" s="685">
        <v>234977.23</v>
      </c>
      <c r="F175" s="685">
        <v>1987138.81</v>
      </c>
      <c r="G175" s="685">
        <v>0</v>
      </c>
      <c r="H175" s="685">
        <v>16221.47</v>
      </c>
      <c r="I175" s="685">
        <f t="shared" si="4"/>
        <v>-16221.47</v>
      </c>
    </row>
    <row r="176" spans="1:9">
      <c r="A176" s="682" t="s">
        <v>3633</v>
      </c>
      <c r="B176" s="682" t="s">
        <v>2125</v>
      </c>
      <c r="C176" s="685">
        <v>236733.25</v>
      </c>
      <c r="D176" s="685">
        <v>0</v>
      </c>
      <c r="E176" s="685">
        <v>2340.81</v>
      </c>
      <c r="F176" s="685">
        <v>239074.06</v>
      </c>
      <c r="G176" s="685">
        <v>0</v>
      </c>
      <c r="H176" s="685">
        <v>0</v>
      </c>
      <c r="I176" s="685">
        <f t="shared" si="4"/>
        <v>0</v>
      </c>
    </row>
    <row r="177" spans="1:9">
      <c r="A177" s="682" t="s">
        <v>3634</v>
      </c>
      <c r="B177" s="682" t="s">
        <v>2126</v>
      </c>
      <c r="C177" s="685">
        <v>1407851.02</v>
      </c>
      <c r="D177" s="685">
        <v>0</v>
      </c>
      <c r="E177" s="685">
        <v>467611.81</v>
      </c>
      <c r="F177" s="685">
        <v>1923785.78</v>
      </c>
      <c r="G177" s="685">
        <v>0</v>
      </c>
      <c r="H177" s="685">
        <v>48322.95</v>
      </c>
      <c r="I177" s="685">
        <f t="shared" si="4"/>
        <v>-48322.95</v>
      </c>
    </row>
    <row r="178" spans="1:9">
      <c r="A178" s="682" t="s">
        <v>3635</v>
      </c>
      <c r="B178" s="682" t="s">
        <v>3457</v>
      </c>
      <c r="C178" s="685">
        <v>0</v>
      </c>
      <c r="D178" s="685">
        <v>2369392.6800000002</v>
      </c>
      <c r="E178" s="685">
        <v>5411290.6900000004</v>
      </c>
      <c r="F178" s="685">
        <v>5060596.16</v>
      </c>
      <c r="G178" s="685">
        <v>0</v>
      </c>
      <c r="H178" s="685">
        <v>2018698.15</v>
      </c>
      <c r="I178" s="685">
        <f t="shared" si="4"/>
        <v>-2018698.15</v>
      </c>
    </row>
    <row r="179" spans="1:9">
      <c r="A179" s="682" t="s">
        <v>3636</v>
      </c>
      <c r="B179" s="682" t="s">
        <v>2127</v>
      </c>
      <c r="C179" s="685">
        <v>202943.27</v>
      </c>
      <c r="D179" s="685">
        <v>0</v>
      </c>
      <c r="E179" s="685">
        <v>2384548.44</v>
      </c>
      <c r="F179" s="685">
        <v>3483376.8</v>
      </c>
      <c r="G179" s="685">
        <v>0</v>
      </c>
      <c r="H179" s="685">
        <v>895885.09</v>
      </c>
      <c r="I179" s="685">
        <f t="shared" si="4"/>
        <v>-895885.09</v>
      </c>
    </row>
    <row r="180" spans="1:9">
      <c r="A180" s="682" t="s">
        <v>3637</v>
      </c>
      <c r="B180" s="682" t="s">
        <v>3638</v>
      </c>
      <c r="C180" s="685">
        <v>0</v>
      </c>
      <c r="D180" s="685">
        <v>11188341.800000001</v>
      </c>
      <c r="E180" s="685">
        <v>20376154.789999999</v>
      </c>
      <c r="F180" s="685">
        <v>13068199.24</v>
      </c>
      <c r="G180" s="685">
        <v>0</v>
      </c>
      <c r="H180" s="685">
        <v>3880386.25</v>
      </c>
      <c r="I180" s="685">
        <f t="shared" si="4"/>
        <v>-3880386.25</v>
      </c>
    </row>
    <row r="181" spans="1:9">
      <c r="A181" s="682" t="s">
        <v>3639</v>
      </c>
      <c r="B181" s="682" t="s">
        <v>2129</v>
      </c>
      <c r="C181" s="685">
        <v>58642.1</v>
      </c>
      <c r="D181" s="685">
        <v>0</v>
      </c>
      <c r="E181" s="685">
        <v>824749.82</v>
      </c>
      <c r="F181" s="685">
        <v>1123994.3799999999</v>
      </c>
      <c r="G181" s="685">
        <v>0</v>
      </c>
      <c r="H181" s="685">
        <v>240602.46</v>
      </c>
      <c r="I181" s="685">
        <f t="shared" si="4"/>
        <v>-240602.46</v>
      </c>
    </row>
    <row r="182" spans="1:9">
      <c r="A182" s="682" t="s">
        <v>3640</v>
      </c>
      <c r="B182" s="682" t="s">
        <v>2130</v>
      </c>
      <c r="C182" s="685">
        <v>625874.22</v>
      </c>
      <c r="D182" s="685">
        <v>0</v>
      </c>
      <c r="E182" s="685">
        <v>117797759.34</v>
      </c>
      <c r="F182" s="685">
        <v>120165237.87</v>
      </c>
      <c r="G182" s="685">
        <v>0</v>
      </c>
      <c r="H182" s="685">
        <v>1741604.31</v>
      </c>
      <c r="I182" s="685">
        <f t="shared" si="4"/>
        <v>-1741604.31</v>
      </c>
    </row>
    <row r="183" spans="1:9">
      <c r="A183" s="682" t="s">
        <v>3641</v>
      </c>
      <c r="B183" s="682" t="s">
        <v>3459</v>
      </c>
      <c r="C183" s="685">
        <v>0</v>
      </c>
      <c r="D183" s="685">
        <v>0</v>
      </c>
      <c r="E183" s="685">
        <v>34.630000000000003</v>
      </c>
      <c r="F183" s="685">
        <v>0</v>
      </c>
      <c r="G183" s="685">
        <v>34.630000000000003</v>
      </c>
      <c r="H183" s="685">
        <v>0</v>
      </c>
      <c r="I183" s="685">
        <f t="shared" si="4"/>
        <v>34.630000000000003</v>
      </c>
    </row>
    <row r="184" spans="1:9">
      <c r="A184" s="682" t="s">
        <v>3642</v>
      </c>
      <c r="B184" s="682" t="s">
        <v>3472</v>
      </c>
      <c r="C184" s="685">
        <v>0</v>
      </c>
      <c r="D184" s="685">
        <v>0</v>
      </c>
      <c r="E184" s="685">
        <v>158855</v>
      </c>
      <c r="F184" s="685">
        <v>0</v>
      </c>
      <c r="G184" s="685">
        <v>158855</v>
      </c>
      <c r="H184" s="685">
        <v>0</v>
      </c>
      <c r="I184" s="685">
        <f t="shared" si="4"/>
        <v>158855</v>
      </c>
    </row>
    <row r="185" spans="1:9">
      <c r="A185" s="682" t="s">
        <v>3843</v>
      </c>
      <c r="B185" s="682" t="s">
        <v>3844</v>
      </c>
      <c r="C185" s="685">
        <v>0</v>
      </c>
      <c r="D185" s="685">
        <v>83157.94</v>
      </c>
      <c r="E185" s="685">
        <v>0</v>
      </c>
      <c r="F185" s="685">
        <v>0</v>
      </c>
      <c r="G185" s="685">
        <v>0</v>
      </c>
      <c r="H185" s="685">
        <v>83157.94</v>
      </c>
      <c r="I185" s="685">
        <f t="shared" si="4"/>
        <v>-83157.94</v>
      </c>
    </row>
    <row r="186" spans="1:9">
      <c r="A186" s="682" t="s">
        <v>3845</v>
      </c>
      <c r="B186" s="682" t="s">
        <v>3846</v>
      </c>
      <c r="C186" s="685">
        <v>0</v>
      </c>
      <c r="D186" s="685">
        <v>1373.08</v>
      </c>
      <c r="E186" s="685">
        <v>0</v>
      </c>
      <c r="F186" s="685">
        <v>0</v>
      </c>
      <c r="G186" s="685">
        <v>0</v>
      </c>
      <c r="H186" s="685">
        <v>1373.08</v>
      </c>
      <c r="I186" s="685">
        <f t="shared" si="4"/>
        <v>-1373.08</v>
      </c>
    </row>
    <row r="187" spans="1:9">
      <c r="A187" s="682" t="s">
        <v>3847</v>
      </c>
      <c r="B187" s="682" t="s">
        <v>3848</v>
      </c>
      <c r="C187" s="685">
        <v>0</v>
      </c>
      <c r="D187" s="685">
        <v>80693.78</v>
      </c>
      <c r="E187" s="685">
        <v>0</v>
      </c>
      <c r="F187" s="685">
        <v>0</v>
      </c>
      <c r="G187" s="685">
        <v>0</v>
      </c>
      <c r="H187" s="685">
        <v>80693.78</v>
      </c>
      <c r="I187" s="685">
        <f t="shared" si="4"/>
        <v>-80693.78</v>
      </c>
    </row>
    <row r="188" spans="1:9">
      <c r="A188" s="682" t="s">
        <v>3849</v>
      </c>
      <c r="B188" s="682" t="s">
        <v>3850</v>
      </c>
      <c r="C188" s="685">
        <v>0</v>
      </c>
      <c r="D188" s="685">
        <v>447690.55</v>
      </c>
      <c r="E188" s="685">
        <v>0</v>
      </c>
      <c r="F188" s="685">
        <v>0</v>
      </c>
      <c r="G188" s="685">
        <v>0</v>
      </c>
      <c r="H188" s="685">
        <v>447690.55</v>
      </c>
      <c r="I188" s="685">
        <f t="shared" si="4"/>
        <v>-447690.55</v>
      </c>
    </row>
    <row r="189" spans="1:9">
      <c r="A189" s="682" t="s">
        <v>3851</v>
      </c>
      <c r="B189" s="682" t="s">
        <v>3852</v>
      </c>
      <c r="C189" s="685">
        <v>0</v>
      </c>
      <c r="D189" s="685">
        <v>134202.4</v>
      </c>
      <c r="E189" s="685">
        <v>0</v>
      </c>
      <c r="F189" s="685">
        <v>0</v>
      </c>
      <c r="G189" s="685">
        <v>0</v>
      </c>
      <c r="H189" s="685">
        <v>134202.4</v>
      </c>
      <c r="I189" s="685">
        <f t="shared" si="4"/>
        <v>-134202.4</v>
      </c>
    </row>
    <row r="190" spans="1:9">
      <c r="A190" s="682" t="s">
        <v>3853</v>
      </c>
      <c r="B190" s="682" t="s">
        <v>3854</v>
      </c>
      <c r="C190" s="685">
        <v>0</v>
      </c>
      <c r="D190" s="685">
        <v>269149.59000000003</v>
      </c>
      <c r="E190" s="685">
        <v>0</v>
      </c>
      <c r="F190" s="685">
        <v>0</v>
      </c>
      <c r="G190" s="685">
        <v>0</v>
      </c>
      <c r="H190" s="685">
        <v>269149.59000000003</v>
      </c>
      <c r="I190" s="685">
        <f t="shared" si="4"/>
        <v>-269149.59000000003</v>
      </c>
    </row>
    <row r="191" spans="1:9">
      <c r="A191" s="682" t="s">
        <v>3855</v>
      </c>
      <c r="B191" s="682" t="s">
        <v>3856</v>
      </c>
      <c r="C191" s="685">
        <v>0</v>
      </c>
      <c r="D191" s="685">
        <v>1611.72</v>
      </c>
      <c r="E191" s="685">
        <v>0</v>
      </c>
      <c r="F191" s="685">
        <v>0</v>
      </c>
      <c r="G191" s="685">
        <v>0</v>
      </c>
      <c r="H191" s="685">
        <v>1611.72</v>
      </c>
      <c r="I191" s="685">
        <f t="shared" si="4"/>
        <v>-1611.72</v>
      </c>
    </row>
    <row r="192" spans="1:9">
      <c r="A192" s="682" t="s">
        <v>3857</v>
      </c>
      <c r="B192" s="682" t="s">
        <v>3858</v>
      </c>
      <c r="C192" s="685">
        <v>0</v>
      </c>
      <c r="D192" s="685">
        <v>72287.210000000006</v>
      </c>
      <c r="E192" s="685">
        <v>0</v>
      </c>
      <c r="F192" s="685">
        <v>0</v>
      </c>
      <c r="G192" s="685">
        <v>0</v>
      </c>
      <c r="H192" s="685">
        <v>72287.210000000006</v>
      </c>
      <c r="I192" s="685">
        <f t="shared" si="4"/>
        <v>-72287.210000000006</v>
      </c>
    </row>
    <row r="193" spans="1:9">
      <c r="A193" s="682" t="s">
        <v>3815</v>
      </c>
      <c r="B193" s="682" t="s">
        <v>2090</v>
      </c>
      <c r="C193" s="685">
        <v>0</v>
      </c>
      <c r="D193" s="685">
        <v>6318300</v>
      </c>
      <c r="E193" s="685">
        <v>6318300</v>
      </c>
      <c r="F193" s="685">
        <v>10033000</v>
      </c>
      <c r="G193" s="685">
        <v>0</v>
      </c>
      <c r="H193" s="685">
        <v>10033000</v>
      </c>
      <c r="I193" s="685">
        <f t="shared" si="4"/>
        <v>-10033000</v>
      </c>
    </row>
    <row r="194" spans="1:9">
      <c r="A194" s="682" t="s">
        <v>3816</v>
      </c>
      <c r="B194" s="682" t="s">
        <v>3118</v>
      </c>
      <c r="C194" s="685">
        <v>0</v>
      </c>
      <c r="D194" s="685">
        <v>4387080</v>
      </c>
      <c r="E194" s="685">
        <v>0</v>
      </c>
      <c r="F194" s="685">
        <v>0</v>
      </c>
      <c r="G194" s="685">
        <v>0</v>
      </c>
      <c r="H194" s="685">
        <v>4387080</v>
      </c>
      <c r="I194" s="685">
        <f t="shared" si="4"/>
        <v>-4387080</v>
      </c>
    </row>
    <row r="195" spans="1:9">
      <c r="A195" s="682" t="s">
        <v>3817</v>
      </c>
      <c r="B195" s="682" t="s">
        <v>3124</v>
      </c>
      <c r="C195" s="685">
        <v>0</v>
      </c>
      <c r="D195" s="685">
        <v>7530000</v>
      </c>
      <c r="E195" s="685">
        <v>7612875</v>
      </c>
      <c r="F195" s="685">
        <v>82875</v>
      </c>
      <c r="G195" s="685">
        <v>0</v>
      </c>
      <c r="H195" s="685">
        <v>0</v>
      </c>
      <c r="I195" s="685">
        <f t="shared" si="4"/>
        <v>0</v>
      </c>
    </row>
    <row r="196" spans="1:9">
      <c r="A196" s="682" t="s">
        <v>3818</v>
      </c>
      <c r="B196" s="682" t="s">
        <v>3126</v>
      </c>
      <c r="C196" s="685">
        <v>0</v>
      </c>
      <c r="D196" s="685">
        <v>10040000</v>
      </c>
      <c r="E196" s="685">
        <v>132700</v>
      </c>
      <c r="F196" s="685">
        <v>110500</v>
      </c>
      <c r="G196" s="685">
        <v>0</v>
      </c>
      <c r="H196" s="685">
        <v>10017800</v>
      </c>
      <c r="I196" s="685">
        <f t="shared" ref="I196:I259" si="5">G196-H196</f>
        <v>-10017800</v>
      </c>
    </row>
    <row r="197" spans="1:9">
      <c r="A197" s="682" t="s">
        <v>3819</v>
      </c>
      <c r="B197" s="682" t="s">
        <v>3128</v>
      </c>
      <c r="C197" s="685">
        <v>0</v>
      </c>
      <c r="D197" s="685">
        <v>10683960</v>
      </c>
      <c r="E197" s="685">
        <v>0</v>
      </c>
      <c r="F197" s="685">
        <v>0</v>
      </c>
      <c r="G197" s="685">
        <v>0</v>
      </c>
      <c r="H197" s="685">
        <v>10683960</v>
      </c>
      <c r="I197" s="685">
        <f t="shared" si="5"/>
        <v>-10683960</v>
      </c>
    </row>
    <row r="198" spans="1:9">
      <c r="A198" s="682" t="s">
        <v>3820</v>
      </c>
      <c r="B198" s="682" t="s">
        <v>3130</v>
      </c>
      <c r="C198" s="685">
        <v>0</v>
      </c>
      <c r="D198" s="685">
        <v>0</v>
      </c>
      <c r="E198" s="685">
        <v>0</v>
      </c>
      <c r="F198" s="685">
        <v>5012500</v>
      </c>
      <c r="G198" s="685">
        <v>0</v>
      </c>
      <c r="H198" s="685">
        <v>5012500</v>
      </c>
      <c r="I198" s="685">
        <f t="shared" si="5"/>
        <v>-5012500</v>
      </c>
    </row>
    <row r="199" spans="1:9">
      <c r="A199" s="682" t="s">
        <v>3821</v>
      </c>
      <c r="B199" s="682" t="s">
        <v>3439</v>
      </c>
      <c r="C199" s="685">
        <v>0</v>
      </c>
      <c r="D199" s="685">
        <v>8387633</v>
      </c>
      <c r="E199" s="685">
        <v>0</v>
      </c>
      <c r="F199" s="685">
        <v>0</v>
      </c>
      <c r="G199" s="685">
        <v>0</v>
      </c>
      <c r="H199" s="685">
        <v>8387633</v>
      </c>
      <c r="I199" s="685">
        <f t="shared" si="5"/>
        <v>-8387633</v>
      </c>
    </row>
    <row r="200" spans="1:9">
      <c r="A200" s="682" t="s">
        <v>3970</v>
      </c>
      <c r="B200" s="682" t="s">
        <v>3462</v>
      </c>
      <c r="C200" s="685">
        <v>0</v>
      </c>
      <c r="D200" s="685">
        <v>771768.5</v>
      </c>
      <c r="E200" s="685">
        <v>0</v>
      </c>
      <c r="F200" s="685">
        <v>0</v>
      </c>
      <c r="G200" s="685">
        <v>0</v>
      </c>
      <c r="H200" s="685">
        <v>771768.5</v>
      </c>
      <c r="I200" s="685">
        <f t="shared" si="5"/>
        <v>-771768.5</v>
      </c>
    </row>
    <row r="201" spans="1:9">
      <c r="A201" s="682" t="s">
        <v>3971</v>
      </c>
      <c r="B201" s="682" t="s">
        <v>3464</v>
      </c>
      <c r="C201" s="685">
        <v>0</v>
      </c>
      <c r="D201" s="685">
        <v>2027472.22</v>
      </c>
      <c r="E201" s="685">
        <f>1594311.63+439930.75</f>
        <v>2034242.38</v>
      </c>
      <c r="F201" s="685">
        <v>6770.16</v>
      </c>
      <c r="G201" s="685">
        <v>0</v>
      </c>
      <c r="H201" s="685">
        <v>2854.27</v>
      </c>
      <c r="I201" s="685">
        <f t="shared" si="5"/>
        <v>-2854.27</v>
      </c>
    </row>
    <row r="202" spans="1:9">
      <c r="A202" s="682" t="s">
        <v>3859</v>
      </c>
      <c r="B202" s="682" t="s">
        <v>2135</v>
      </c>
      <c r="C202" s="685">
        <v>0</v>
      </c>
      <c r="D202" s="685">
        <v>602704.17000000004</v>
      </c>
      <c r="E202" s="685">
        <v>1307132.5</v>
      </c>
      <c r="F202" s="685">
        <v>1356208.38</v>
      </c>
      <c r="G202" s="685">
        <v>0</v>
      </c>
      <c r="H202" s="685">
        <v>651780.05000000005</v>
      </c>
      <c r="I202" s="685">
        <f t="shared" si="5"/>
        <v>-651780.05000000005</v>
      </c>
    </row>
    <row r="203" spans="1:9">
      <c r="A203" s="682" t="s">
        <v>3860</v>
      </c>
      <c r="B203" s="682" t="s">
        <v>2145</v>
      </c>
      <c r="C203" s="685">
        <v>0</v>
      </c>
      <c r="D203" s="685">
        <v>263682.24</v>
      </c>
      <c r="E203" s="685">
        <v>474809.98</v>
      </c>
      <c r="F203" s="685">
        <v>477406.18</v>
      </c>
      <c r="G203" s="685">
        <v>0</v>
      </c>
      <c r="H203" s="685">
        <v>266278.44</v>
      </c>
      <c r="I203" s="685">
        <f t="shared" si="5"/>
        <v>-266278.44</v>
      </c>
    </row>
    <row r="204" spans="1:9">
      <c r="A204" s="682" t="s">
        <v>4275</v>
      </c>
      <c r="B204" s="682" t="s">
        <v>4276</v>
      </c>
      <c r="C204" s="685">
        <v>0</v>
      </c>
      <c r="D204" s="685">
        <v>2602.5</v>
      </c>
      <c r="E204" s="685">
        <v>2602.5</v>
      </c>
      <c r="F204" s="685">
        <v>0</v>
      </c>
      <c r="G204" s="685">
        <v>0</v>
      </c>
      <c r="H204" s="685">
        <v>0</v>
      </c>
      <c r="I204" s="685">
        <f t="shared" si="5"/>
        <v>0</v>
      </c>
    </row>
    <row r="205" spans="1:9">
      <c r="A205" s="682" t="s">
        <v>3861</v>
      </c>
      <c r="B205" s="682" t="s">
        <v>2134</v>
      </c>
      <c r="C205" s="685">
        <v>0</v>
      </c>
      <c r="D205" s="685">
        <v>50848.59</v>
      </c>
      <c r="E205" s="685">
        <v>52051.11</v>
      </c>
      <c r="F205" s="685">
        <v>26340.79</v>
      </c>
      <c r="G205" s="685">
        <v>0</v>
      </c>
      <c r="H205" s="685">
        <v>25138.27</v>
      </c>
      <c r="I205" s="685">
        <f t="shared" si="5"/>
        <v>-25138.27</v>
      </c>
    </row>
    <row r="206" spans="1:9">
      <c r="A206" s="682" t="s">
        <v>3862</v>
      </c>
      <c r="B206" s="682" t="s">
        <v>2136</v>
      </c>
      <c r="C206" s="685">
        <v>0</v>
      </c>
      <c r="D206" s="685">
        <v>35381.79</v>
      </c>
      <c r="E206" s="685">
        <v>916895.76</v>
      </c>
      <c r="F206" s="685">
        <v>1036472.45</v>
      </c>
      <c r="G206" s="685">
        <v>0</v>
      </c>
      <c r="H206" s="685">
        <v>154958.48000000001</v>
      </c>
      <c r="I206" s="685">
        <f t="shared" si="5"/>
        <v>-154958.48000000001</v>
      </c>
    </row>
    <row r="207" spans="1:9">
      <c r="A207" s="682" t="s">
        <v>3863</v>
      </c>
      <c r="B207" s="682" t="s">
        <v>2137</v>
      </c>
      <c r="C207" s="685">
        <v>0</v>
      </c>
      <c r="D207" s="685">
        <v>24306.11</v>
      </c>
      <c r="E207" s="685">
        <v>361442.66</v>
      </c>
      <c r="F207" s="685">
        <v>321189.76000000001</v>
      </c>
      <c r="G207" s="685">
        <v>15946.79</v>
      </c>
      <c r="H207" s="685">
        <v>0</v>
      </c>
      <c r="I207" s="685">
        <f t="shared" si="5"/>
        <v>15946.79</v>
      </c>
    </row>
    <row r="208" spans="1:9">
      <c r="A208" s="682" t="s">
        <v>3864</v>
      </c>
      <c r="B208" s="682" t="s">
        <v>3468</v>
      </c>
      <c r="C208" s="685">
        <v>0</v>
      </c>
      <c r="D208" s="685">
        <v>14507.65</v>
      </c>
      <c r="E208" s="685">
        <v>14507.65</v>
      </c>
      <c r="F208" s="685">
        <v>12770.87</v>
      </c>
      <c r="G208" s="685">
        <v>0</v>
      </c>
      <c r="H208" s="685">
        <v>12770.87</v>
      </c>
      <c r="I208" s="685">
        <f t="shared" si="5"/>
        <v>-12770.87</v>
      </c>
    </row>
    <row r="209" spans="1:12">
      <c r="A209" s="682" t="s">
        <v>3865</v>
      </c>
      <c r="B209" s="682" t="s">
        <v>3866</v>
      </c>
      <c r="C209" s="685">
        <v>174770.26</v>
      </c>
      <c r="D209" s="685">
        <v>0</v>
      </c>
      <c r="E209" s="685">
        <v>330287.27</v>
      </c>
      <c r="F209" s="685">
        <v>248688.69</v>
      </c>
      <c r="G209" s="685">
        <v>256368.84</v>
      </c>
      <c r="H209" s="685">
        <v>0</v>
      </c>
      <c r="I209" s="685">
        <f t="shared" si="5"/>
        <v>256368.84</v>
      </c>
    </row>
    <row r="210" spans="1:12">
      <c r="A210" s="683" t="s">
        <v>3867</v>
      </c>
      <c r="B210" s="683" t="s">
        <v>3868</v>
      </c>
      <c r="C210" s="686">
        <v>372907.84</v>
      </c>
      <c r="D210" s="686">
        <v>0</v>
      </c>
      <c r="E210" s="686">
        <v>475046.22</v>
      </c>
      <c r="F210" s="686">
        <f>234625.66+1198952.11</f>
        <v>1433577.77</v>
      </c>
      <c r="G210" s="686">
        <v>847954.06</v>
      </c>
      <c r="H210" s="686">
        <v>1433577.77</v>
      </c>
      <c r="I210" s="686">
        <f>C210+E210-F210</f>
        <v>-585623.71</v>
      </c>
      <c r="J210" s="685"/>
      <c r="K210" s="685"/>
      <c r="L210" s="685"/>
    </row>
    <row r="211" spans="1:12">
      <c r="A211" s="682" t="s">
        <v>3869</v>
      </c>
      <c r="B211" s="682" t="s">
        <v>2138</v>
      </c>
      <c r="C211" s="685">
        <v>0</v>
      </c>
      <c r="D211" s="685">
        <v>0</v>
      </c>
      <c r="E211" s="685">
        <v>8450</v>
      </c>
      <c r="F211" s="685">
        <v>184210.5</v>
      </c>
      <c r="G211" s="685">
        <v>0</v>
      </c>
      <c r="H211" s="685">
        <v>175760.5</v>
      </c>
      <c r="I211" s="685">
        <f t="shared" si="5"/>
        <v>-175760.5</v>
      </c>
    </row>
    <row r="212" spans="1:12">
      <c r="A212" s="682" t="s">
        <v>3870</v>
      </c>
      <c r="B212" s="682" t="s">
        <v>2139</v>
      </c>
      <c r="C212" s="685">
        <v>0</v>
      </c>
      <c r="D212" s="685">
        <v>25839.67</v>
      </c>
      <c r="E212" s="685">
        <v>32096.09</v>
      </c>
      <c r="F212" s="685">
        <v>41182.81</v>
      </c>
      <c r="G212" s="685">
        <v>0</v>
      </c>
      <c r="H212" s="685">
        <v>34926.39</v>
      </c>
      <c r="I212" s="685">
        <f t="shared" si="5"/>
        <v>-34926.39</v>
      </c>
    </row>
    <row r="213" spans="1:12">
      <c r="A213" s="682" t="s">
        <v>3871</v>
      </c>
      <c r="B213" s="682" t="s">
        <v>2140</v>
      </c>
      <c r="C213" s="685">
        <v>0</v>
      </c>
      <c r="D213" s="685">
        <v>420534.68</v>
      </c>
      <c r="E213" s="685">
        <v>282012.49</v>
      </c>
      <c r="F213" s="685">
        <v>82871.19</v>
      </c>
      <c r="G213" s="685">
        <v>0</v>
      </c>
      <c r="H213" s="685">
        <v>221393.38</v>
      </c>
      <c r="I213" s="685">
        <f t="shared" si="5"/>
        <v>-221393.38</v>
      </c>
    </row>
    <row r="214" spans="1:12">
      <c r="A214" s="682" t="s">
        <v>3972</v>
      </c>
      <c r="B214" s="682" t="s">
        <v>2141</v>
      </c>
      <c r="C214" s="685">
        <v>0</v>
      </c>
      <c r="D214" s="685">
        <v>1888957.97</v>
      </c>
      <c r="E214" s="685">
        <v>116374.07</v>
      </c>
      <c r="F214" s="685">
        <v>606637.68999999994</v>
      </c>
      <c r="G214" s="685">
        <v>0</v>
      </c>
      <c r="H214" s="685">
        <v>2379221.59</v>
      </c>
      <c r="I214" s="685">
        <f t="shared" si="5"/>
        <v>-2379221.59</v>
      </c>
    </row>
    <row r="215" spans="1:12">
      <c r="A215" s="696" t="s">
        <v>3872</v>
      </c>
      <c r="B215" s="696" t="s">
        <v>3873</v>
      </c>
      <c r="C215" s="699">
        <v>0</v>
      </c>
      <c r="D215" s="699">
        <v>542066.81000000006</v>
      </c>
      <c r="E215" s="699">
        <v>966364.15</v>
      </c>
      <c r="F215" s="699">
        <v>1993431.42</v>
      </c>
      <c r="G215" s="699">
        <v>0</v>
      </c>
      <c r="H215" s="699">
        <f>1569134.08+5001781.49</f>
        <v>6570915.5700000003</v>
      </c>
      <c r="I215" s="699">
        <f t="shared" si="5"/>
        <v>-6570915.5700000003</v>
      </c>
    </row>
    <row r="216" spans="1:12">
      <c r="A216" s="682" t="s">
        <v>3874</v>
      </c>
      <c r="B216" s="682" t="s">
        <v>3875</v>
      </c>
      <c r="C216" s="685">
        <v>0</v>
      </c>
      <c r="D216" s="685">
        <v>11718</v>
      </c>
      <c r="E216" s="685">
        <v>1736</v>
      </c>
      <c r="F216" s="685">
        <v>21704</v>
      </c>
      <c r="G216" s="685">
        <v>0</v>
      </c>
      <c r="H216" s="685">
        <v>31686</v>
      </c>
      <c r="I216" s="685">
        <f t="shared" si="5"/>
        <v>-31686</v>
      </c>
    </row>
    <row r="217" spans="1:12">
      <c r="A217" s="682" t="s">
        <v>3876</v>
      </c>
      <c r="B217" s="682" t="s">
        <v>2144</v>
      </c>
      <c r="C217" s="685">
        <v>0.26</v>
      </c>
      <c r="D217" s="685">
        <v>0</v>
      </c>
      <c r="E217" s="685">
        <v>3634283.24</v>
      </c>
      <c r="F217" s="685">
        <v>3634283.12</v>
      </c>
      <c r="G217" s="685">
        <v>0.38</v>
      </c>
      <c r="H217" s="685">
        <v>0</v>
      </c>
      <c r="I217" s="685">
        <f t="shared" si="5"/>
        <v>0.38</v>
      </c>
    </row>
    <row r="218" spans="1:12">
      <c r="A218" s="682" t="s">
        <v>3822</v>
      </c>
      <c r="B218" s="682" t="s">
        <v>2147</v>
      </c>
      <c r="C218" s="685">
        <v>0</v>
      </c>
      <c r="D218" s="685">
        <v>6652671.8399999999</v>
      </c>
      <c r="E218" s="685">
        <v>843596.33</v>
      </c>
      <c r="F218" s="685">
        <v>801331.35</v>
      </c>
      <c r="G218" s="685">
        <v>0</v>
      </c>
      <c r="H218" s="685">
        <v>6610406.8600000003</v>
      </c>
      <c r="I218" s="685">
        <f t="shared" si="5"/>
        <v>-6610406.8600000003</v>
      </c>
    </row>
    <row r="219" spans="1:12">
      <c r="A219" s="682" t="s">
        <v>3877</v>
      </c>
      <c r="B219" s="682" t="s">
        <v>3474</v>
      </c>
      <c r="C219" s="685">
        <v>0</v>
      </c>
      <c r="D219" s="685">
        <v>5803.5</v>
      </c>
      <c r="E219" s="685">
        <v>11401</v>
      </c>
      <c r="F219" s="685">
        <v>10991</v>
      </c>
      <c r="G219" s="685">
        <v>0</v>
      </c>
      <c r="H219" s="685">
        <v>5393.5</v>
      </c>
      <c r="I219" s="685">
        <f t="shared" si="5"/>
        <v>-5393.5</v>
      </c>
    </row>
    <row r="220" spans="1:12">
      <c r="A220" s="682" t="s">
        <v>3878</v>
      </c>
      <c r="B220" s="682" t="s">
        <v>3476</v>
      </c>
      <c r="C220" s="685">
        <v>0</v>
      </c>
      <c r="D220" s="685">
        <v>18021.66</v>
      </c>
      <c r="E220" s="685">
        <v>292742.95</v>
      </c>
      <c r="F220" s="685">
        <v>345622.78</v>
      </c>
      <c r="G220" s="685">
        <v>0</v>
      </c>
      <c r="H220" s="685">
        <v>70901.490000000005</v>
      </c>
      <c r="I220" s="685">
        <f t="shared" si="5"/>
        <v>-70901.490000000005</v>
      </c>
    </row>
    <row r="221" spans="1:12">
      <c r="A221" s="682" t="s">
        <v>3879</v>
      </c>
      <c r="B221" s="682" t="s">
        <v>2146</v>
      </c>
      <c r="C221" s="685">
        <v>0</v>
      </c>
      <c r="D221" s="685">
        <v>11479.51</v>
      </c>
      <c r="E221" s="685">
        <v>107601.05</v>
      </c>
      <c r="F221" s="685">
        <v>107363.14</v>
      </c>
      <c r="G221" s="685">
        <v>0</v>
      </c>
      <c r="H221" s="685">
        <v>11241.6</v>
      </c>
      <c r="I221" s="685">
        <f t="shared" si="5"/>
        <v>-11241.6</v>
      </c>
    </row>
    <row r="222" spans="1:12">
      <c r="A222" s="682" t="s">
        <v>3880</v>
      </c>
      <c r="B222" s="682" t="s">
        <v>2150</v>
      </c>
      <c r="C222" s="685">
        <v>120</v>
      </c>
      <c r="D222" s="685">
        <v>0</v>
      </c>
      <c r="E222" s="685">
        <v>1413.85</v>
      </c>
      <c r="F222" s="685">
        <v>1534.81</v>
      </c>
      <c r="G222" s="685">
        <v>0</v>
      </c>
      <c r="H222" s="685">
        <v>0.96</v>
      </c>
      <c r="I222" s="685">
        <f t="shared" si="5"/>
        <v>-0.96</v>
      </c>
    </row>
    <row r="223" spans="1:12">
      <c r="A223" s="682" t="s">
        <v>3881</v>
      </c>
      <c r="B223" s="682" t="s">
        <v>2151</v>
      </c>
      <c r="C223" s="685">
        <v>0</v>
      </c>
      <c r="D223" s="685">
        <v>3906</v>
      </c>
      <c r="E223" s="685">
        <v>0</v>
      </c>
      <c r="F223" s="685">
        <v>0</v>
      </c>
      <c r="G223" s="685">
        <v>0</v>
      </c>
      <c r="H223" s="685">
        <v>3906</v>
      </c>
      <c r="I223" s="685">
        <f t="shared" si="5"/>
        <v>-3906</v>
      </c>
    </row>
    <row r="224" spans="1:12">
      <c r="A224" s="682" t="s">
        <v>3882</v>
      </c>
      <c r="B224" s="682" t="s">
        <v>2153</v>
      </c>
      <c r="C224" s="685">
        <v>0</v>
      </c>
      <c r="D224" s="685">
        <v>103.83</v>
      </c>
      <c r="E224" s="685">
        <v>28944.720000000001</v>
      </c>
      <c r="F224" s="685">
        <v>28841.1</v>
      </c>
      <c r="G224" s="685">
        <v>0</v>
      </c>
      <c r="H224" s="685">
        <v>0.21</v>
      </c>
      <c r="I224" s="685">
        <f t="shared" si="5"/>
        <v>-0.21</v>
      </c>
    </row>
    <row r="225" spans="1:9">
      <c r="A225" s="682" t="s">
        <v>3883</v>
      </c>
      <c r="B225" s="682" t="s">
        <v>2154</v>
      </c>
      <c r="C225" s="685">
        <v>0</v>
      </c>
      <c r="D225" s="685">
        <v>508.56</v>
      </c>
      <c r="E225" s="685">
        <v>0</v>
      </c>
      <c r="F225" s="685">
        <v>0</v>
      </c>
      <c r="G225" s="685">
        <v>0</v>
      </c>
      <c r="H225" s="685">
        <v>508.56</v>
      </c>
      <c r="I225" s="685">
        <f t="shared" si="5"/>
        <v>-508.56</v>
      </c>
    </row>
    <row r="226" spans="1:9">
      <c r="A226" s="682" t="s">
        <v>3884</v>
      </c>
      <c r="B226" s="682" t="s">
        <v>2155</v>
      </c>
      <c r="C226" s="685">
        <v>0</v>
      </c>
      <c r="D226" s="685">
        <v>0</v>
      </c>
      <c r="E226" s="685">
        <v>47500</v>
      </c>
      <c r="F226" s="685">
        <v>0</v>
      </c>
      <c r="G226" s="685">
        <v>47500</v>
      </c>
      <c r="H226" s="685">
        <v>0</v>
      </c>
      <c r="I226" s="685">
        <f t="shared" si="5"/>
        <v>47500</v>
      </c>
    </row>
    <row r="227" spans="1:9">
      <c r="A227" s="682" t="s">
        <v>3885</v>
      </c>
      <c r="B227" s="682" t="s">
        <v>3177</v>
      </c>
      <c r="C227" s="685">
        <v>0</v>
      </c>
      <c r="D227" s="685">
        <v>344204.54</v>
      </c>
      <c r="E227" s="685">
        <v>0</v>
      </c>
      <c r="F227" s="685">
        <v>0</v>
      </c>
      <c r="G227" s="685">
        <v>0</v>
      </c>
      <c r="H227" s="685">
        <v>344204.54</v>
      </c>
      <c r="I227" s="685">
        <f t="shared" si="5"/>
        <v>-344204.54</v>
      </c>
    </row>
    <row r="228" spans="1:9">
      <c r="A228" s="682" t="s">
        <v>3921</v>
      </c>
      <c r="B228" s="682" t="s">
        <v>2163</v>
      </c>
      <c r="C228" s="685">
        <v>0</v>
      </c>
      <c r="D228" s="685">
        <v>0</v>
      </c>
      <c r="E228" s="685">
        <v>4001.78</v>
      </c>
      <c r="F228" s="685">
        <v>47320</v>
      </c>
      <c r="G228" s="685">
        <v>0</v>
      </c>
      <c r="H228" s="685">
        <v>43318.22</v>
      </c>
      <c r="I228" s="685">
        <f t="shared" si="5"/>
        <v>-43318.22</v>
      </c>
    </row>
    <row r="229" spans="1:9">
      <c r="A229" s="682" t="s">
        <v>3922</v>
      </c>
      <c r="B229" s="682" t="s">
        <v>3478</v>
      </c>
      <c r="C229" s="685">
        <v>0</v>
      </c>
      <c r="D229" s="685">
        <v>0</v>
      </c>
      <c r="E229" s="685">
        <v>15285.01</v>
      </c>
      <c r="F229" s="685">
        <v>124424</v>
      </c>
      <c r="G229" s="685">
        <v>0</v>
      </c>
      <c r="H229" s="685">
        <v>109138.99</v>
      </c>
      <c r="I229" s="685">
        <f t="shared" si="5"/>
        <v>-109138.99</v>
      </c>
    </row>
    <row r="230" spans="1:9">
      <c r="A230" s="682" t="s">
        <v>3923</v>
      </c>
      <c r="B230" s="682" t="s">
        <v>2165</v>
      </c>
      <c r="C230" s="685">
        <v>0</v>
      </c>
      <c r="D230" s="685">
        <v>0</v>
      </c>
      <c r="E230" s="685">
        <v>9650.32</v>
      </c>
      <c r="F230" s="685">
        <v>161800</v>
      </c>
      <c r="G230" s="685">
        <v>0</v>
      </c>
      <c r="H230" s="685">
        <v>152149.68</v>
      </c>
      <c r="I230" s="685">
        <f t="shared" si="5"/>
        <v>-152149.68</v>
      </c>
    </row>
    <row r="231" spans="1:9">
      <c r="A231" s="682" t="s">
        <v>3924</v>
      </c>
      <c r="B231" s="682" t="s">
        <v>2167</v>
      </c>
      <c r="C231" s="685">
        <v>0</v>
      </c>
      <c r="D231" s="685">
        <v>0</v>
      </c>
      <c r="E231" s="685">
        <v>42610.31</v>
      </c>
      <c r="F231" s="685">
        <v>438450.2</v>
      </c>
      <c r="G231" s="685">
        <v>0</v>
      </c>
      <c r="H231" s="685">
        <v>395839.89</v>
      </c>
      <c r="I231" s="685">
        <f t="shared" si="5"/>
        <v>-395839.89</v>
      </c>
    </row>
    <row r="232" spans="1:9">
      <c r="A232" s="682" t="s">
        <v>3925</v>
      </c>
      <c r="B232" s="682" t="s">
        <v>3926</v>
      </c>
      <c r="C232" s="685">
        <v>348174.38</v>
      </c>
      <c r="D232" s="685">
        <v>0</v>
      </c>
      <c r="E232" s="685">
        <v>0</v>
      </c>
      <c r="F232" s="685">
        <v>0</v>
      </c>
      <c r="G232" s="685">
        <v>348174.38</v>
      </c>
      <c r="H232" s="685">
        <v>0</v>
      </c>
      <c r="I232" s="685">
        <f t="shared" si="5"/>
        <v>348174.38</v>
      </c>
    </row>
    <row r="233" spans="1:9">
      <c r="A233" s="682" t="s">
        <v>3927</v>
      </c>
      <c r="B233" s="682" t="s">
        <v>3928</v>
      </c>
      <c r="C233" s="685">
        <v>123257.86</v>
      </c>
      <c r="D233" s="685">
        <v>0</v>
      </c>
      <c r="E233" s="685">
        <v>186120.65</v>
      </c>
      <c r="F233" s="685">
        <v>0</v>
      </c>
      <c r="G233" s="685">
        <v>309378.51</v>
      </c>
      <c r="H233" s="685">
        <v>0</v>
      </c>
      <c r="I233" s="685">
        <f t="shared" si="5"/>
        <v>309378.51</v>
      </c>
    </row>
    <row r="234" spans="1:9">
      <c r="A234" s="682" t="s">
        <v>3929</v>
      </c>
      <c r="B234" s="682" t="s">
        <v>3930</v>
      </c>
      <c r="C234" s="685">
        <v>0</v>
      </c>
      <c r="D234" s="685">
        <v>57950.1</v>
      </c>
      <c r="E234" s="685">
        <v>0</v>
      </c>
      <c r="F234" s="685">
        <v>0</v>
      </c>
      <c r="G234" s="685">
        <v>0</v>
      </c>
      <c r="H234" s="685">
        <v>57950.1</v>
      </c>
      <c r="I234" s="685">
        <f t="shared" si="5"/>
        <v>-57950.1</v>
      </c>
    </row>
    <row r="235" spans="1:9">
      <c r="A235" s="682" t="s">
        <v>3931</v>
      </c>
      <c r="B235" s="682" t="s">
        <v>3932</v>
      </c>
      <c r="C235" s="685">
        <v>0</v>
      </c>
      <c r="D235" s="685">
        <v>1601249</v>
      </c>
      <c r="E235" s="685">
        <v>0</v>
      </c>
      <c r="F235" s="685">
        <v>0</v>
      </c>
      <c r="G235" s="685">
        <v>0</v>
      </c>
      <c r="H235" s="685">
        <v>1601249</v>
      </c>
      <c r="I235" s="685">
        <f t="shared" si="5"/>
        <v>-1601249</v>
      </c>
    </row>
    <row r="236" spans="1:9">
      <c r="A236" s="682" t="s">
        <v>3933</v>
      </c>
      <c r="B236" s="682" t="s">
        <v>3934</v>
      </c>
      <c r="C236" s="685">
        <v>0</v>
      </c>
      <c r="D236" s="685">
        <v>1723056.52</v>
      </c>
      <c r="E236" s="685">
        <v>186120.65</v>
      </c>
      <c r="F236" s="685">
        <v>0</v>
      </c>
      <c r="G236" s="685">
        <v>0</v>
      </c>
      <c r="H236" s="685">
        <v>1536935.87</v>
      </c>
      <c r="I236" s="685">
        <f t="shared" si="5"/>
        <v>-1536935.87</v>
      </c>
    </row>
    <row r="237" spans="1:9">
      <c r="A237" s="682" t="s">
        <v>3935</v>
      </c>
      <c r="B237" s="682" t="s">
        <v>3936</v>
      </c>
      <c r="C237" s="685">
        <v>312113.08</v>
      </c>
      <c r="D237" s="685">
        <v>0</v>
      </c>
      <c r="E237" s="685">
        <v>186120.65</v>
      </c>
      <c r="F237" s="685">
        <v>0</v>
      </c>
      <c r="G237" s="685">
        <v>498233.73</v>
      </c>
      <c r="H237" s="685">
        <v>0</v>
      </c>
      <c r="I237" s="685">
        <f t="shared" si="5"/>
        <v>498233.73</v>
      </c>
    </row>
    <row r="238" spans="1:9">
      <c r="A238" s="682" t="s">
        <v>3937</v>
      </c>
      <c r="B238" s="682" t="s">
        <v>3938</v>
      </c>
      <c r="C238" s="685">
        <v>1108551.31</v>
      </c>
      <c r="D238" s="685">
        <v>0</v>
      </c>
      <c r="E238" s="685">
        <v>0</v>
      </c>
      <c r="F238" s="685">
        <v>0</v>
      </c>
      <c r="G238" s="685">
        <v>1108551.31</v>
      </c>
      <c r="H238" s="685">
        <v>0</v>
      </c>
      <c r="I238" s="685">
        <f t="shared" si="5"/>
        <v>1108551.31</v>
      </c>
    </row>
    <row r="239" spans="1:9">
      <c r="A239" s="682" t="s">
        <v>3939</v>
      </c>
      <c r="B239" s="682" t="s">
        <v>3480</v>
      </c>
      <c r="C239" s="685">
        <v>0</v>
      </c>
      <c r="D239" s="685">
        <v>0</v>
      </c>
      <c r="E239" s="685">
        <v>5001.67</v>
      </c>
      <c r="F239" s="685">
        <v>39966.5</v>
      </c>
      <c r="G239" s="685">
        <v>0</v>
      </c>
      <c r="H239" s="685">
        <v>34964.83</v>
      </c>
      <c r="I239" s="685">
        <f t="shared" si="5"/>
        <v>-34964.83</v>
      </c>
    </row>
    <row r="240" spans="1:9">
      <c r="A240" s="682" t="s">
        <v>3940</v>
      </c>
      <c r="B240" s="682" t="s">
        <v>3179</v>
      </c>
      <c r="C240" s="685">
        <v>0</v>
      </c>
      <c r="D240" s="685">
        <v>0</v>
      </c>
      <c r="E240" s="685">
        <v>16.010000000000002</v>
      </c>
      <c r="F240" s="685">
        <v>33.75</v>
      </c>
      <c r="G240" s="685">
        <v>0</v>
      </c>
      <c r="H240" s="685">
        <v>17.739999999999998</v>
      </c>
      <c r="I240" s="685">
        <f t="shared" si="5"/>
        <v>-17.739999999999998</v>
      </c>
    </row>
    <row r="241" spans="1:9">
      <c r="A241" s="682" t="s">
        <v>3941</v>
      </c>
      <c r="B241" s="682" t="s">
        <v>2164</v>
      </c>
      <c r="C241" s="685">
        <v>0</v>
      </c>
      <c r="D241" s="685">
        <v>0</v>
      </c>
      <c r="E241" s="685">
        <v>1122.8699999999999</v>
      </c>
      <c r="F241" s="685">
        <v>12635</v>
      </c>
      <c r="G241" s="685">
        <v>0</v>
      </c>
      <c r="H241" s="685">
        <v>11512.13</v>
      </c>
      <c r="I241" s="685">
        <f t="shared" si="5"/>
        <v>-11512.13</v>
      </c>
    </row>
    <row r="242" spans="1:9">
      <c r="A242" s="682" t="s">
        <v>3942</v>
      </c>
      <c r="B242" s="682" t="s">
        <v>2166</v>
      </c>
      <c r="C242" s="685">
        <v>0</v>
      </c>
      <c r="D242" s="685">
        <v>0</v>
      </c>
      <c r="E242" s="685">
        <v>2502.35</v>
      </c>
      <c r="F242" s="685">
        <v>41358.75</v>
      </c>
      <c r="G242" s="685">
        <v>0</v>
      </c>
      <c r="H242" s="685">
        <v>38856.400000000001</v>
      </c>
      <c r="I242" s="685">
        <f t="shared" si="5"/>
        <v>-38856.400000000001</v>
      </c>
    </row>
    <row r="243" spans="1:9">
      <c r="A243" s="682" t="s">
        <v>3943</v>
      </c>
      <c r="B243" s="682" t="s">
        <v>2168</v>
      </c>
      <c r="C243" s="685">
        <v>0</v>
      </c>
      <c r="D243" s="685">
        <v>0</v>
      </c>
      <c r="E243" s="685">
        <v>10652.13</v>
      </c>
      <c r="F243" s="685">
        <v>109612.54</v>
      </c>
      <c r="G243" s="685">
        <v>0</v>
      </c>
      <c r="H243" s="685">
        <v>98960.41</v>
      </c>
      <c r="I243" s="685">
        <f t="shared" si="5"/>
        <v>-98960.41</v>
      </c>
    </row>
    <row r="244" spans="1:9">
      <c r="A244" s="682" t="s">
        <v>3944</v>
      </c>
      <c r="B244" s="682" t="s">
        <v>2169</v>
      </c>
      <c r="C244" s="685">
        <v>0</v>
      </c>
      <c r="D244" s="685">
        <v>0</v>
      </c>
      <c r="E244" s="685">
        <v>106.45</v>
      </c>
      <c r="F244" s="685">
        <v>2187.5</v>
      </c>
      <c r="G244" s="685">
        <v>0</v>
      </c>
      <c r="H244" s="685">
        <v>2081.0500000000002</v>
      </c>
      <c r="I244" s="685">
        <f t="shared" si="5"/>
        <v>-2081.0500000000002</v>
      </c>
    </row>
    <row r="245" spans="1:9">
      <c r="A245" s="682" t="s">
        <v>3945</v>
      </c>
      <c r="B245" s="682" t="s">
        <v>3946</v>
      </c>
      <c r="C245" s="685">
        <v>0</v>
      </c>
      <c r="D245" s="685">
        <v>549865.65</v>
      </c>
      <c r="E245" s="685">
        <v>0</v>
      </c>
      <c r="F245" s="685">
        <v>0</v>
      </c>
      <c r="G245" s="685">
        <v>0</v>
      </c>
      <c r="H245" s="685">
        <v>549865.65</v>
      </c>
      <c r="I245" s="685">
        <f t="shared" si="5"/>
        <v>-549865.65</v>
      </c>
    </row>
    <row r="246" spans="1:9">
      <c r="A246" s="682" t="s">
        <v>3947</v>
      </c>
      <c r="B246" s="682" t="s">
        <v>3948</v>
      </c>
      <c r="C246" s="685">
        <v>0</v>
      </c>
      <c r="D246" s="685">
        <v>841.87</v>
      </c>
      <c r="E246" s="685">
        <v>0</v>
      </c>
      <c r="F246" s="685">
        <v>0</v>
      </c>
      <c r="G246" s="685">
        <v>0</v>
      </c>
      <c r="H246" s="685">
        <v>841.87</v>
      </c>
      <c r="I246" s="685">
        <f t="shared" si="5"/>
        <v>-841.87</v>
      </c>
    </row>
    <row r="247" spans="1:9">
      <c r="A247" s="682" t="s">
        <v>3949</v>
      </c>
      <c r="B247" s="682" t="s">
        <v>3950</v>
      </c>
      <c r="C247" s="685">
        <v>67492.44</v>
      </c>
      <c r="D247" s="685">
        <v>0</v>
      </c>
      <c r="E247" s="685">
        <v>56524.71</v>
      </c>
      <c r="F247" s="685">
        <v>0</v>
      </c>
      <c r="G247" s="685">
        <v>124017.15</v>
      </c>
      <c r="H247" s="685">
        <v>0</v>
      </c>
      <c r="I247" s="685">
        <f t="shared" si="5"/>
        <v>124017.15</v>
      </c>
    </row>
    <row r="248" spans="1:9">
      <c r="A248" s="682" t="s">
        <v>3951</v>
      </c>
      <c r="B248" s="682" t="s">
        <v>3952</v>
      </c>
      <c r="C248" s="685">
        <v>0</v>
      </c>
      <c r="D248" s="685">
        <v>709742.36</v>
      </c>
      <c r="E248" s="685">
        <v>56524.71</v>
      </c>
      <c r="F248" s="685">
        <v>0</v>
      </c>
      <c r="G248" s="685">
        <v>0</v>
      </c>
      <c r="H248" s="685">
        <v>653217.65</v>
      </c>
      <c r="I248" s="685">
        <f t="shared" si="5"/>
        <v>-653217.65</v>
      </c>
    </row>
    <row r="249" spans="1:9">
      <c r="A249" s="682" t="s">
        <v>3953</v>
      </c>
      <c r="B249" s="682" t="s">
        <v>3954</v>
      </c>
      <c r="C249" s="685">
        <v>6800.32</v>
      </c>
      <c r="D249" s="685">
        <v>0</v>
      </c>
      <c r="E249" s="685">
        <v>56524.71</v>
      </c>
      <c r="F249" s="685">
        <v>0</v>
      </c>
      <c r="G249" s="685">
        <v>63325.03</v>
      </c>
      <c r="H249" s="685">
        <v>0</v>
      </c>
      <c r="I249" s="685">
        <f t="shared" si="5"/>
        <v>63325.03</v>
      </c>
    </row>
    <row r="250" spans="1:9">
      <c r="A250" s="682" t="s">
        <v>3955</v>
      </c>
      <c r="B250" s="682" t="s">
        <v>3956</v>
      </c>
      <c r="C250" s="685">
        <v>0</v>
      </c>
      <c r="D250" s="685">
        <v>112815.56</v>
      </c>
      <c r="E250" s="685">
        <v>0</v>
      </c>
      <c r="F250" s="685">
        <v>0</v>
      </c>
      <c r="G250" s="685">
        <v>0</v>
      </c>
      <c r="H250" s="685">
        <v>112815.56</v>
      </c>
      <c r="I250" s="685">
        <f t="shared" si="5"/>
        <v>-112815.56</v>
      </c>
    </row>
    <row r="251" spans="1:9">
      <c r="A251" s="682" t="s">
        <v>3957</v>
      </c>
      <c r="B251" s="682" t="s">
        <v>3958</v>
      </c>
      <c r="C251" s="685">
        <v>109487.87</v>
      </c>
      <c r="D251" s="685">
        <v>0</v>
      </c>
      <c r="E251" s="685">
        <v>0</v>
      </c>
      <c r="F251" s="685">
        <v>0</v>
      </c>
      <c r="G251" s="685">
        <v>109487.87</v>
      </c>
      <c r="H251" s="685">
        <v>0</v>
      </c>
      <c r="I251" s="685">
        <f t="shared" si="5"/>
        <v>109487.87</v>
      </c>
    </row>
    <row r="252" spans="1:9">
      <c r="A252" s="682" t="s">
        <v>3959</v>
      </c>
      <c r="B252" s="682" t="s">
        <v>3960</v>
      </c>
      <c r="C252" s="685">
        <v>0</v>
      </c>
      <c r="D252" s="685">
        <v>28737.09</v>
      </c>
      <c r="E252" s="685">
        <v>0</v>
      </c>
      <c r="F252" s="685">
        <v>0</v>
      </c>
      <c r="G252" s="685">
        <v>0</v>
      </c>
      <c r="H252" s="685">
        <v>28737.09</v>
      </c>
      <c r="I252" s="685">
        <f t="shared" si="5"/>
        <v>-28737.09</v>
      </c>
    </row>
    <row r="253" spans="1:9">
      <c r="A253" s="682" t="s">
        <v>3961</v>
      </c>
      <c r="B253" s="682" t="s">
        <v>3962</v>
      </c>
      <c r="C253" s="685">
        <v>0</v>
      </c>
      <c r="D253" s="685">
        <v>21818.98</v>
      </c>
      <c r="E253" s="685">
        <v>3280.78</v>
      </c>
      <c r="F253" s="685">
        <v>0</v>
      </c>
      <c r="G253" s="685">
        <v>0</v>
      </c>
      <c r="H253" s="685">
        <v>18538.2</v>
      </c>
      <c r="I253" s="685">
        <f t="shared" si="5"/>
        <v>-18538.2</v>
      </c>
    </row>
    <row r="254" spans="1:9">
      <c r="A254" s="682" t="s">
        <v>3723</v>
      </c>
      <c r="B254" s="682" t="s">
        <v>3724</v>
      </c>
      <c r="C254" s="685">
        <v>0</v>
      </c>
      <c r="D254" s="685">
        <v>0</v>
      </c>
      <c r="E254" s="685">
        <f>201008943.04</f>
        <v>201008943.03999999</v>
      </c>
      <c r="F254" s="685">
        <f>200600442.18+350713.86</f>
        <v>200951156.04000002</v>
      </c>
      <c r="G254" s="685">
        <f>+F254-E254</f>
        <v>-57786.999999970198</v>
      </c>
      <c r="H254" s="685">
        <v>0</v>
      </c>
      <c r="I254" s="685">
        <f>+H254-G254</f>
        <v>57786.999999970198</v>
      </c>
    </row>
    <row r="255" spans="1:9">
      <c r="A255" s="682" t="s">
        <v>3886</v>
      </c>
      <c r="B255" s="682" t="s">
        <v>2172</v>
      </c>
      <c r="C255" s="685">
        <v>0</v>
      </c>
      <c r="D255" s="685">
        <v>81023.789999999994</v>
      </c>
      <c r="E255" s="685">
        <v>0</v>
      </c>
      <c r="F255" s="685">
        <v>0</v>
      </c>
      <c r="G255" s="685">
        <v>0</v>
      </c>
      <c r="H255" s="685">
        <v>81023.789999999994</v>
      </c>
      <c r="I255" s="685">
        <f t="shared" si="5"/>
        <v>-81023.789999999994</v>
      </c>
    </row>
    <row r="256" spans="1:9">
      <c r="A256" s="682" t="s">
        <v>3887</v>
      </c>
      <c r="B256" s="682" t="s">
        <v>2173</v>
      </c>
      <c r="C256" s="685">
        <v>0</v>
      </c>
      <c r="D256" s="685">
        <v>118266.77</v>
      </c>
      <c r="E256" s="685">
        <v>0</v>
      </c>
      <c r="F256" s="685">
        <v>0</v>
      </c>
      <c r="G256" s="685">
        <v>0</v>
      </c>
      <c r="H256" s="685">
        <v>118266.77</v>
      </c>
      <c r="I256" s="685">
        <f t="shared" si="5"/>
        <v>-118266.77</v>
      </c>
    </row>
    <row r="257" spans="1:9">
      <c r="A257" s="682" t="s">
        <v>3888</v>
      </c>
      <c r="B257" s="682" t="s">
        <v>2174</v>
      </c>
      <c r="C257" s="685">
        <v>0</v>
      </c>
      <c r="D257" s="685">
        <v>467168.61</v>
      </c>
      <c r="E257" s="685">
        <v>0</v>
      </c>
      <c r="F257" s="685">
        <v>0</v>
      </c>
      <c r="G257" s="685">
        <v>0</v>
      </c>
      <c r="H257" s="685">
        <v>467168.61</v>
      </c>
      <c r="I257" s="685">
        <f t="shared" si="5"/>
        <v>-467168.61</v>
      </c>
    </row>
    <row r="258" spans="1:9">
      <c r="A258" s="682" t="s">
        <v>3889</v>
      </c>
      <c r="B258" s="682" t="s">
        <v>2175</v>
      </c>
      <c r="C258" s="685">
        <v>21.28</v>
      </c>
      <c r="D258" s="685">
        <v>0</v>
      </c>
      <c r="E258" s="685">
        <v>0</v>
      </c>
      <c r="F258" s="685">
        <v>0</v>
      </c>
      <c r="G258" s="685">
        <v>21.28</v>
      </c>
      <c r="H258" s="685">
        <v>0</v>
      </c>
      <c r="I258" s="685">
        <f t="shared" si="5"/>
        <v>21.28</v>
      </c>
    </row>
    <row r="259" spans="1:9">
      <c r="A259" s="682" t="s">
        <v>3890</v>
      </c>
      <c r="B259" s="682" t="s">
        <v>3484</v>
      </c>
      <c r="C259" s="685">
        <v>0</v>
      </c>
      <c r="D259" s="685">
        <v>20357.12</v>
      </c>
      <c r="E259" s="685">
        <v>0</v>
      </c>
      <c r="F259" s="685">
        <v>0</v>
      </c>
      <c r="G259" s="685">
        <v>0</v>
      </c>
      <c r="H259" s="685">
        <v>20357.12</v>
      </c>
      <c r="I259" s="685">
        <f t="shared" si="5"/>
        <v>-20357.12</v>
      </c>
    </row>
    <row r="260" spans="1:9">
      <c r="A260" s="682" t="s">
        <v>3891</v>
      </c>
      <c r="B260" s="682" t="s">
        <v>3892</v>
      </c>
      <c r="C260" s="685">
        <v>5318.37</v>
      </c>
      <c r="D260" s="685">
        <v>0</v>
      </c>
      <c r="E260" s="685">
        <v>0</v>
      </c>
      <c r="F260" s="685">
        <v>0</v>
      </c>
      <c r="G260" s="685">
        <v>5318.37</v>
      </c>
      <c r="H260" s="685">
        <v>0</v>
      </c>
      <c r="I260" s="685">
        <f t="shared" ref="I260:I269" si="6">G260-H260</f>
        <v>5318.37</v>
      </c>
    </row>
    <row r="261" spans="1:9">
      <c r="A261" s="682" t="s">
        <v>3893</v>
      </c>
      <c r="B261" s="682" t="s">
        <v>3894</v>
      </c>
      <c r="C261" s="685">
        <v>172.52</v>
      </c>
      <c r="D261" s="685">
        <v>0</v>
      </c>
      <c r="E261" s="685">
        <v>0</v>
      </c>
      <c r="F261" s="685">
        <v>0</v>
      </c>
      <c r="G261" s="685">
        <v>172.52</v>
      </c>
      <c r="H261" s="685">
        <v>0</v>
      </c>
      <c r="I261" s="685">
        <f t="shared" si="6"/>
        <v>172.52</v>
      </c>
    </row>
    <row r="262" spans="1:9">
      <c r="A262" s="682" t="s">
        <v>3895</v>
      </c>
      <c r="B262" s="682" t="s">
        <v>3896</v>
      </c>
      <c r="C262" s="685">
        <v>0</v>
      </c>
      <c r="D262" s="685">
        <v>6330.56</v>
      </c>
      <c r="E262" s="685">
        <v>0</v>
      </c>
      <c r="F262" s="685">
        <v>0</v>
      </c>
      <c r="G262" s="685">
        <v>0</v>
      </c>
      <c r="H262" s="685">
        <v>6330.56</v>
      </c>
      <c r="I262" s="685">
        <f t="shared" si="6"/>
        <v>-6330.56</v>
      </c>
    </row>
    <row r="263" spans="1:9">
      <c r="A263" s="682" t="s">
        <v>3897</v>
      </c>
      <c r="B263" s="682" t="s">
        <v>3898</v>
      </c>
      <c r="C263" s="685">
        <v>0</v>
      </c>
      <c r="D263" s="685">
        <v>0</v>
      </c>
      <c r="E263" s="685">
        <v>754.92</v>
      </c>
      <c r="F263" s="685">
        <v>756.63</v>
      </c>
      <c r="G263" s="685">
        <v>0</v>
      </c>
      <c r="H263" s="685">
        <v>1.71</v>
      </c>
      <c r="I263" s="685">
        <f t="shared" si="6"/>
        <v>-1.71</v>
      </c>
    </row>
    <row r="264" spans="1:9">
      <c r="A264" s="682" t="s">
        <v>3899</v>
      </c>
      <c r="B264" s="682" t="s">
        <v>3900</v>
      </c>
      <c r="C264" s="685">
        <v>0</v>
      </c>
      <c r="D264" s="685">
        <v>0</v>
      </c>
      <c r="E264" s="685">
        <v>1369.66</v>
      </c>
      <c r="F264" s="685">
        <v>1551.19</v>
      </c>
      <c r="G264" s="685">
        <v>0</v>
      </c>
      <c r="H264" s="685">
        <v>181.53</v>
      </c>
      <c r="I264" s="685">
        <f t="shared" si="6"/>
        <v>-181.53</v>
      </c>
    </row>
    <row r="265" spans="1:9">
      <c r="A265" s="682" t="s">
        <v>3901</v>
      </c>
      <c r="B265" s="682" t="s">
        <v>3902</v>
      </c>
      <c r="C265" s="685">
        <v>0</v>
      </c>
      <c r="D265" s="685">
        <v>0</v>
      </c>
      <c r="E265" s="685">
        <v>87908.52</v>
      </c>
      <c r="F265" s="685">
        <v>93959.62</v>
      </c>
      <c r="G265" s="685">
        <v>0</v>
      </c>
      <c r="H265" s="685">
        <v>6051.1</v>
      </c>
      <c r="I265" s="685">
        <f t="shared" si="6"/>
        <v>-6051.1</v>
      </c>
    </row>
    <row r="266" spans="1:9">
      <c r="A266" s="682" t="s">
        <v>3903</v>
      </c>
      <c r="B266" s="682" t="s">
        <v>3904</v>
      </c>
      <c r="C266" s="685">
        <v>0</v>
      </c>
      <c r="D266" s="685">
        <v>0</v>
      </c>
      <c r="E266" s="685">
        <v>154123</v>
      </c>
      <c r="F266" s="685">
        <v>154161.39000000001</v>
      </c>
      <c r="G266" s="685">
        <v>0</v>
      </c>
      <c r="H266" s="685">
        <v>38.39</v>
      </c>
      <c r="I266" s="685">
        <f t="shared" si="6"/>
        <v>-38.39</v>
      </c>
    </row>
    <row r="267" spans="1:9">
      <c r="A267" s="682" t="s">
        <v>3905</v>
      </c>
      <c r="B267" s="682" t="s">
        <v>3906</v>
      </c>
      <c r="C267" s="685">
        <v>0</v>
      </c>
      <c r="D267" s="685">
        <v>0</v>
      </c>
      <c r="E267" s="685">
        <v>322441.52</v>
      </c>
      <c r="F267" s="685">
        <v>328807.8</v>
      </c>
      <c r="G267" s="685">
        <v>0</v>
      </c>
      <c r="H267" s="685">
        <v>6366.28</v>
      </c>
      <c r="I267" s="685">
        <f t="shared" si="6"/>
        <v>-6366.28</v>
      </c>
    </row>
    <row r="268" spans="1:9">
      <c r="A268" s="682" t="s">
        <v>3907</v>
      </c>
      <c r="B268" s="682" t="s">
        <v>3908</v>
      </c>
      <c r="C268" s="685">
        <v>573.23</v>
      </c>
      <c r="D268" s="685">
        <v>0</v>
      </c>
      <c r="E268" s="685">
        <v>457</v>
      </c>
      <c r="F268" s="685">
        <v>0</v>
      </c>
      <c r="G268" s="685">
        <v>1030.23</v>
      </c>
      <c r="H268" s="685">
        <v>0</v>
      </c>
      <c r="I268" s="685">
        <f t="shared" si="6"/>
        <v>1030.23</v>
      </c>
    </row>
    <row r="269" spans="1:9">
      <c r="A269" s="682" t="s">
        <v>4277</v>
      </c>
      <c r="B269" s="682" t="s">
        <v>4278</v>
      </c>
      <c r="C269" s="685">
        <v>0</v>
      </c>
      <c r="D269" s="685">
        <v>1616.74</v>
      </c>
      <c r="E269" s="685">
        <v>1616.74</v>
      </c>
      <c r="F269" s="685">
        <v>0</v>
      </c>
      <c r="G269" s="685">
        <v>0</v>
      </c>
      <c r="H269" s="685">
        <v>0</v>
      </c>
      <c r="I269" s="685">
        <f t="shared" si="6"/>
        <v>0</v>
      </c>
    </row>
    <row r="270" spans="1:9">
      <c r="A270" s="682" t="s">
        <v>4279</v>
      </c>
      <c r="B270" s="682" t="s">
        <v>4280</v>
      </c>
      <c r="C270" s="685">
        <v>0</v>
      </c>
      <c r="D270" s="685">
        <v>39164.230000000003</v>
      </c>
      <c r="E270" s="685">
        <v>39164.230000000003</v>
      </c>
      <c r="F270" s="685">
        <v>0</v>
      </c>
      <c r="G270" s="685">
        <v>0</v>
      </c>
      <c r="H270" s="685">
        <v>0</v>
      </c>
      <c r="I270" s="685">
        <f>G270-H270</f>
        <v>0</v>
      </c>
    </row>
    <row r="271" spans="1:9">
      <c r="B271" s="682" t="s">
        <v>4281</v>
      </c>
      <c r="C271" s="685">
        <f>SUM(C116:C270)</f>
        <v>6898485.4000000004</v>
      </c>
      <c r="D271" s="685">
        <v>165843366.22999999</v>
      </c>
      <c r="E271" s="685">
        <v>539844829.26999998</v>
      </c>
      <c r="F271" s="685">
        <v>545327000.80999994</v>
      </c>
      <c r="G271" s="685">
        <f>SUM(G116:G270)</f>
        <v>4218289.6400000295</v>
      </c>
      <c r="H271" s="685">
        <f>SUM(H116:H270)</f>
        <v>174238026.72000012</v>
      </c>
      <c r="I271" s="685">
        <f>SUM(I116:I270)</f>
        <v>-169904163.08000016</v>
      </c>
    </row>
    <row r="273" spans="1:9">
      <c r="A273" s="682" t="s">
        <v>2717</v>
      </c>
      <c r="I273" s="682">
        <f t="shared" ref="I273:I336" si="7">G273-H273</f>
        <v>0</v>
      </c>
    </row>
    <row r="274" spans="1:9">
      <c r="A274" s="682" t="s">
        <v>4007</v>
      </c>
      <c r="B274" s="682" t="s">
        <v>4008</v>
      </c>
      <c r="C274" s="692">
        <v>0</v>
      </c>
      <c r="D274" s="692">
        <v>366547.09</v>
      </c>
      <c r="E274" s="692">
        <v>62507.77</v>
      </c>
      <c r="F274" s="692">
        <v>115152.64</v>
      </c>
      <c r="G274" s="692">
        <v>0</v>
      </c>
      <c r="H274" s="692">
        <v>419191.96</v>
      </c>
      <c r="I274" s="692">
        <f t="shared" si="7"/>
        <v>-419191.96</v>
      </c>
    </row>
    <row r="275" spans="1:9">
      <c r="A275" s="682" t="s">
        <v>3973</v>
      </c>
      <c r="B275" s="682" t="s">
        <v>3974</v>
      </c>
      <c r="C275" s="692">
        <v>0</v>
      </c>
      <c r="D275" s="692">
        <v>118838.55</v>
      </c>
      <c r="E275" s="692">
        <v>91832.36</v>
      </c>
      <c r="F275" s="692">
        <v>93243.89</v>
      </c>
      <c r="G275" s="692">
        <v>0</v>
      </c>
      <c r="H275" s="692">
        <v>120250.08</v>
      </c>
      <c r="I275" s="692">
        <f t="shared" si="7"/>
        <v>-120250.08</v>
      </c>
    </row>
    <row r="276" spans="1:9">
      <c r="A276" s="682" t="s">
        <v>3975</v>
      </c>
      <c r="B276" s="682" t="s">
        <v>3976</v>
      </c>
      <c r="C276" s="692">
        <v>8.81</v>
      </c>
      <c r="D276" s="692">
        <v>0</v>
      </c>
      <c r="E276" s="692">
        <v>451.58</v>
      </c>
      <c r="F276" s="692">
        <v>453.06</v>
      </c>
      <c r="G276" s="692">
        <v>7.33</v>
      </c>
      <c r="H276" s="692">
        <v>0</v>
      </c>
      <c r="I276" s="692">
        <f t="shared" si="7"/>
        <v>7.33</v>
      </c>
    </row>
    <row r="277" spans="1:9">
      <c r="A277" s="682" t="s">
        <v>3977</v>
      </c>
      <c r="B277" s="682" t="s">
        <v>3978</v>
      </c>
      <c r="C277" s="692">
        <v>0</v>
      </c>
      <c r="D277" s="692">
        <v>436248.19</v>
      </c>
      <c r="E277" s="692">
        <v>152521.54</v>
      </c>
      <c r="F277" s="692">
        <v>157498.4</v>
      </c>
      <c r="G277" s="692">
        <v>0</v>
      </c>
      <c r="H277" s="692">
        <v>441225.05</v>
      </c>
      <c r="I277" s="692">
        <f t="shared" si="7"/>
        <v>-441225.05</v>
      </c>
    </row>
    <row r="278" spans="1:9">
      <c r="A278" s="682" t="s">
        <v>3979</v>
      </c>
      <c r="B278" s="682" t="s">
        <v>3980</v>
      </c>
      <c r="C278" s="692">
        <v>0</v>
      </c>
      <c r="D278" s="692">
        <v>16256803.890000001</v>
      </c>
      <c r="E278" s="692">
        <v>1880420.52</v>
      </c>
      <c r="F278" s="692">
        <v>4410823.5599999996</v>
      </c>
      <c r="G278" s="692">
        <v>0</v>
      </c>
      <c r="H278" s="692">
        <v>18787206.93</v>
      </c>
      <c r="I278" s="692">
        <f t="shared" si="7"/>
        <v>-18787206.93</v>
      </c>
    </row>
    <row r="279" spans="1:9">
      <c r="A279" s="682" t="s">
        <v>3981</v>
      </c>
      <c r="B279" s="682" t="s">
        <v>3982</v>
      </c>
      <c r="C279" s="692">
        <v>0</v>
      </c>
      <c r="D279" s="692">
        <v>8389901.3599999994</v>
      </c>
      <c r="E279" s="692">
        <v>873407.65</v>
      </c>
      <c r="F279" s="692">
        <v>1989863.97</v>
      </c>
      <c r="G279" s="692">
        <v>0</v>
      </c>
      <c r="H279" s="692">
        <v>9506357.6799999997</v>
      </c>
      <c r="I279" s="692">
        <f t="shared" si="7"/>
        <v>-9506357.6799999997</v>
      </c>
    </row>
    <row r="280" spans="1:9">
      <c r="A280" s="682" t="s">
        <v>3983</v>
      </c>
      <c r="B280" s="682" t="s">
        <v>3984</v>
      </c>
      <c r="C280" s="692">
        <v>0</v>
      </c>
      <c r="D280" s="692">
        <v>37267042.350000001</v>
      </c>
      <c r="E280" s="692">
        <v>4260521.84</v>
      </c>
      <c r="F280" s="692">
        <v>9513100.5299999993</v>
      </c>
      <c r="G280" s="692">
        <v>0</v>
      </c>
      <c r="H280" s="692">
        <v>42519621.039999999</v>
      </c>
      <c r="I280" s="692">
        <f t="shared" si="7"/>
        <v>-42519621.039999999</v>
      </c>
    </row>
    <row r="281" spans="1:9">
      <c r="A281" s="682" t="s">
        <v>3985</v>
      </c>
      <c r="B281" s="682" t="s">
        <v>3986</v>
      </c>
      <c r="C281" s="692">
        <v>0</v>
      </c>
      <c r="D281" s="692">
        <v>13825484.59</v>
      </c>
      <c r="E281" s="692">
        <v>101096990.90000001</v>
      </c>
      <c r="F281" s="692">
        <v>105397818.05</v>
      </c>
      <c r="G281" s="692">
        <v>0</v>
      </c>
      <c r="H281" s="692">
        <v>18126311.739999998</v>
      </c>
      <c r="I281" s="692">
        <f t="shared" si="7"/>
        <v>-18126311.739999998</v>
      </c>
    </row>
    <row r="282" spans="1:9">
      <c r="A282" s="682" t="s">
        <v>3987</v>
      </c>
      <c r="B282" s="682" t="s">
        <v>3988</v>
      </c>
      <c r="C282" s="692">
        <v>0</v>
      </c>
      <c r="D282" s="692">
        <v>122615.27</v>
      </c>
      <c r="E282" s="692">
        <v>0</v>
      </c>
      <c r="F282" s="692">
        <v>0</v>
      </c>
      <c r="G282" s="692">
        <v>0</v>
      </c>
      <c r="H282" s="692">
        <v>122615.27</v>
      </c>
      <c r="I282" s="692">
        <f t="shared" si="7"/>
        <v>-122615.27</v>
      </c>
    </row>
    <row r="283" spans="1:9">
      <c r="A283" s="682" t="s">
        <v>3989</v>
      </c>
      <c r="B283" s="682" t="s">
        <v>3990</v>
      </c>
      <c r="C283" s="692">
        <v>0</v>
      </c>
      <c r="D283" s="692">
        <v>53.85</v>
      </c>
      <c r="E283" s="692">
        <v>0</v>
      </c>
      <c r="F283" s="692">
        <v>0</v>
      </c>
      <c r="G283" s="692">
        <v>0</v>
      </c>
      <c r="H283" s="692">
        <v>53.85</v>
      </c>
      <c r="I283" s="692">
        <f t="shared" si="7"/>
        <v>-53.85</v>
      </c>
    </row>
    <row r="284" spans="1:9">
      <c r="A284" s="682" t="s">
        <v>3991</v>
      </c>
      <c r="B284" s="682" t="s">
        <v>2184</v>
      </c>
      <c r="C284" s="692">
        <v>0</v>
      </c>
      <c r="D284" s="692">
        <v>186658.7</v>
      </c>
      <c r="E284" s="692">
        <v>0</v>
      </c>
      <c r="F284" s="692">
        <v>0</v>
      </c>
      <c r="G284" s="692">
        <v>0</v>
      </c>
      <c r="H284" s="692">
        <v>186658.7</v>
      </c>
      <c r="I284" s="692">
        <f t="shared" si="7"/>
        <v>-186658.7</v>
      </c>
    </row>
    <row r="285" spans="1:9">
      <c r="A285" s="682" t="s">
        <v>3992</v>
      </c>
      <c r="B285" s="682" t="s">
        <v>3993</v>
      </c>
      <c r="C285" s="692">
        <v>0</v>
      </c>
      <c r="D285" s="692">
        <v>46838.47</v>
      </c>
      <c r="E285" s="692">
        <v>0</v>
      </c>
      <c r="F285" s="692">
        <v>0</v>
      </c>
      <c r="G285" s="692">
        <v>0</v>
      </c>
      <c r="H285" s="692">
        <v>46838.47</v>
      </c>
      <c r="I285" s="692">
        <f t="shared" si="7"/>
        <v>-46838.47</v>
      </c>
    </row>
    <row r="286" spans="1:9">
      <c r="A286" s="682" t="s">
        <v>3994</v>
      </c>
      <c r="B286" s="682" t="s">
        <v>3995</v>
      </c>
      <c r="C286" s="692">
        <v>0</v>
      </c>
      <c r="D286" s="692">
        <v>169795.27</v>
      </c>
      <c r="E286" s="692">
        <v>0</v>
      </c>
      <c r="F286" s="692">
        <v>0</v>
      </c>
      <c r="G286" s="692">
        <v>0</v>
      </c>
      <c r="H286" s="692">
        <v>169795.27</v>
      </c>
      <c r="I286" s="692">
        <f t="shared" si="7"/>
        <v>-169795.27</v>
      </c>
    </row>
    <row r="287" spans="1:9">
      <c r="A287" s="682" t="s">
        <v>3996</v>
      </c>
      <c r="B287" s="682" t="s">
        <v>3997</v>
      </c>
      <c r="C287" s="692">
        <v>0</v>
      </c>
      <c r="D287" s="692">
        <v>419811.33</v>
      </c>
      <c r="E287" s="692">
        <v>0</v>
      </c>
      <c r="F287" s="692">
        <v>0</v>
      </c>
      <c r="G287" s="692">
        <v>0</v>
      </c>
      <c r="H287" s="692">
        <v>419811.33</v>
      </c>
      <c r="I287" s="692">
        <f t="shared" si="7"/>
        <v>-419811.33</v>
      </c>
    </row>
    <row r="288" spans="1:9">
      <c r="A288" s="682" t="s">
        <v>4009</v>
      </c>
      <c r="B288" s="682" t="s">
        <v>3194</v>
      </c>
      <c r="C288" s="692">
        <v>0</v>
      </c>
      <c r="D288" s="692">
        <v>868.36</v>
      </c>
      <c r="E288" s="692">
        <v>0</v>
      </c>
      <c r="F288" s="692">
        <v>0</v>
      </c>
      <c r="G288" s="692">
        <v>0</v>
      </c>
      <c r="H288" s="692">
        <v>868.36</v>
      </c>
      <c r="I288" s="692">
        <f t="shared" si="7"/>
        <v>-868.36</v>
      </c>
    </row>
    <row r="289" spans="1:9">
      <c r="A289" s="682" t="s">
        <v>3998</v>
      </c>
      <c r="B289" s="682" t="s">
        <v>3999</v>
      </c>
      <c r="C289" s="692">
        <v>0</v>
      </c>
      <c r="D289" s="692">
        <v>508627.48</v>
      </c>
      <c r="E289" s="692">
        <v>0</v>
      </c>
      <c r="F289" s="692">
        <v>0</v>
      </c>
      <c r="G289" s="692">
        <v>0</v>
      </c>
      <c r="H289" s="692">
        <v>508627.48</v>
      </c>
      <c r="I289" s="692">
        <f t="shared" si="7"/>
        <v>-508627.48</v>
      </c>
    </row>
    <row r="290" spans="1:9">
      <c r="A290" s="682" t="s">
        <v>4000</v>
      </c>
      <c r="B290" s="682" t="s">
        <v>4001</v>
      </c>
      <c r="C290" s="692">
        <v>0</v>
      </c>
      <c r="D290" s="692">
        <v>27356.35</v>
      </c>
      <c r="E290" s="692">
        <v>0</v>
      </c>
      <c r="F290" s="692">
        <v>0</v>
      </c>
      <c r="G290" s="692">
        <v>0</v>
      </c>
      <c r="H290" s="692">
        <v>27356.35</v>
      </c>
      <c r="I290" s="692">
        <f t="shared" si="7"/>
        <v>-27356.35</v>
      </c>
    </row>
    <row r="291" spans="1:9">
      <c r="A291" s="682" t="s">
        <v>4066</v>
      </c>
      <c r="B291" s="682" t="s">
        <v>2185</v>
      </c>
      <c r="C291" s="692">
        <v>3082.55</v>
      </c>
      <c r="D291" s="692">
        <v>0</v>
      </c>
      <c r="E291" s="692">
        <v>0</v>
      </c>
      <c r="F291" s="692">
        <v>1832.95</v>
      </c>
      <c r="G291" s="692">
        <v>1249.5999999999999</v>
      </c>
      <c r="H291" s="692">
        <v>0</v>
      </c>
      <c r="I291" s="692">
        <f t="shared" si="7"/>
        <v>1249.5999999999999</v>
      </c>
    </row>
    <row r="292" spans="1:9">
      <c r="A292" s="682" t="s">
        <v>4067</v>
      </c>
      <c r="B292" s="682" t="s">
        <v>4068</v>
      </c>
      <c r="C292" s="692">
        <v>277.58</v>
      </c>
      <c r="D292" s="692">
        <v>0</v>
      </c>
      <c r="E292" s="692">
        <v>0</v>
      </c>
      <c r="F292" s="692">
        <v>0</v>
      </c>
      <c r="G292" s="692">
        <v>277.58</v>
      </c>
      <c r="H292" s="692">
        <v>0</v>
      </c>
      <c r="I292" s="692">
        <f t="shared" si="7"/>
        <v>277.58</v>
      </c>
    </row>
    <row r="293" spans="1:9">
      <c r="A293" s="682" t="s">
        <v>4069</v>
      </c>
      <c r="B293" s="682" t="s">
        <v>4070</v>
      </c>
      <c r="C293" s="692">
        <v>0</v>
      </c>
      <c r="D293" s="692">
        <v>35886.800000000003</v>
      </c>
      <c r="E293" s="692">
        <v>0</v>
      </c>
      <c r="F293" s="692">
        <v>0</v>
      </c>
      <c r="G293" s="692">
        <v>0</v>
      </c>
      <c r="H293" s="692">
        <v>35886.800000000003</v>
      </c>
      <c r="I293" s="692">
        <f t="shared" si="7"/>
        <v>-35886.800000000003</v>
      </c>
    </row>
    <row r="294" spans="1:9">
      <c r="A294" s="682" t="s">
        <v>4010</v>
      </c>
      <c r="B294" s="682" t="s">
        <v>3430</v>
      </c>
      <c r="C294" s="692">
        <v>0</v>
      </c>
      <c r="D294" s="692">
        <v>5029.12</v>
      </c>
      <c r="E294" s="692">
        <v>0</v>
      </c>
      <c r="F294" s="692">
        <v>2180.0700000000002</v>
      </c>
      <c r="G294" s="692">
        <v>0</v>
      </c>
      <c r="H294" s="692">
        <v>7209.19</v>
      </c>
      <c r="I294" s="692">
        <f t="shared" si="7"/>
        <v>-7209.19</v>
      </c>
    </row>
    <row r="295" spans="1:9">
      <c r="A295" s="682" t="s">
        <v>4010</v>
      </c>
      <c r="B295" s="682" t="s">
        <v>4282</v>
      </c>
      <c r="C295" s="692">
        <v>0</v>
      </c>
      <c r="D295" s="692">
        <v>155024.26</v>
      </c>
      <c r="E295" s="692">
        <v>0</v>
      </c>
      <c r="F295" s="692">
        <v>51298.91</v>
      </c>
      <c r="G295" s="692">
        <v>0</v>
      </c>
      <c r="H295" s="692">
        <v>206323.17</v>
      </c>
      <c r="I295" s="692">
        <f t="shared" si="7"/>
        <v>-206323.17</v>
      </c>
    </row>
    <row r="296" spans="1:9">
      <c r="A296" s="682" t="s">
        <v>4071</v>
      </c>
      <c r="B296" s="682" t="s">
        <v>4072</v>
      </c>
      <c r="C296" s="692">
        <v>0</v>
      </c>
      <c r="D296" s="692">
        <v>8365.9699999999993</v>
      </c>
      <c r="E296" s="692">
        <v>0</v>
      </c>
      <c r="F296" s="692">
        <v>688.52</v>
      </c>
      <c r="G296" s="692">
        <v>0</v>
      </c>
      <c r="H296" s="692">
        <v>9054.49</v>
      </c>
      <c r="I296" s="692">
        <f t="shared" si="7"/>
        <v>-9054.49</v>
      </c>
    </row>
    <row r="297" spans="1:9">
      <c r="A297" s="682" t="s">
        <v>4071</v>
      </c>
      <c r="B297" s="682" t="s">
        <v>4072</v>
      </c>
      <c r="C297" s="692">
        <v>0</v>
      </c>
      <c r="D297" s="692">
        <v>117890.14</v>
      </c>
      <c r="E297" s="692">
        <v>0</v>
      </c>
      <c r="F297" s="692">
        <v>27206.52</v>
      </c>
      <c r="G297" s="692">
        <v>0</v>
      </c>
      <c r="H297" s="692">
        <v>145096.66</v>
      </c>
      <c r="I297" s="692">
        <f t="shared" si="7"/>
        <v>-145096.66</v>
      </c>
    </row>
    <row r="298" spans="1:9">
      <c r="A298" s="682" t="s">
        <v>4073</v>
      </c>
      <c r="B298" s="682" t="s">
        <v>4074</v>
      </c>
      <c r="C298" s="692">
        <v>0</v>
      </c>
      <c r="D298" s="692">
        <v>69423.81</v>
      </c>
      <c r="E298" s="692">
        <v>0</v>
      </c>
      <c r="F298" s="692">
        <v>16089.04</v>
      </c>
      <c r="G298" s="692">
        <v>0</v>
      </c>
      <c r="H298" s="692">
        <v>85512.85</v>
      </c>
      <c r="I298" s="692">
        <f t="shared" si="7"/>
        <v>-85512.85</v>
      </c>
    </row>
    <row r="299" spans="1:9">
      <c r="A299" s="682" t="s">
        <v>4073</v>
      </c>
      <c r="B299" s="682" t="s">
        <v>4074</v>
      </c>
      <c r="C299" s="692">
        <v>0</v>
      </c>
      <c r="D299" s="692">
        <v>287616.71000000002</v>
      </c>
      <c r="E299" s="692">
        <v>0</v>
      </c>
      <c r="F299" s="692">
        <v>65113.66</v>
      </c>
      <c r="G299" s="692">
        <v>0</v>
      </c>
      <c r="H299" s="692">
        <v>352730.37</v>
      </c>
      <c r="I299" s="692">
        <f t="shared" si="7"/>
        <v>-352730.37</v>
      </c>
    </row>
    <row r="300" spans="1:9">
      <c r="A300" s="682" t="s">
        <v>4075</v>
      </c>
      <c r="B300" s="682" t="s">
        <v>3213</v>
      </c>
      <c r="C300" s="692">
        <v>0</v>
      </c>
      <c r="D300" s="692">
        <v>1703.24</v>
      </c>
      <c r="E300" s="692">
        <v>0</v>
      </c>
      <c r="F300" s="692">
        <v>0</v>
      </c>
      <c r="G300" s="692">
        <v>0</v>
      </c>
      <c r="H300" s="692">
        <v>1703.24</v>
      </c>
      <c r="I300" s="692">
        <f t="shared" si="7"/>
        <v>-1703.24</v>
      </c>
    </row>
    <row r="301" spans="1:9">
      <c r="A301" s="682" t="s">
        <v>4076</v>
      </c>
      <c r="B301" s="682" t="s">
        <v>4077</v>
      </c>
      <c r="C301" s="692">
        <v>0</v>
      </c>
      <c r="D301" s="692">
        <v>60018.66</v>
      </c>
      <c r="E301" s="692">
        <v>0</v>
      </c>
      <c r="F301" s="692">
        <v>24508.13</v>
      </c>
      <c r="G301" s="692">
        <v>0</v>
      </c>
      <c r="H301" s="692">
        <v>84526.79</v>
      </c>
      <c r="I301" s="692">
        <f t="shared" si="7"/>
        <v>-84526.79</v>
      </c>
    </row>
    <row r="302" spans="1:9">
      <c r="A302" s="682" t="s">
        <v>4002</v>
      </c>
      <c r="B302" s="682" t="s">
        <v>4003</v>
      </c>
      <c r="C302" s="692">
        <v>0</v>
      </c>
      <c r="D302" s="692">
        <v>5778.48</v>
      </c>
      <c r="E302" s="692">
        <v>0</v>
      </c>
      <c r="F302" s="692">
        <v>1486.24</v>
      </c>
      <c r="G302" s="692">
        <v>0</v>
      </c>
      <c r="H302" s="692">
        <v>7264.72</v>
      </c>
      <c r="I302" s="692">
        <f t="shared" si="7"/>
        <v>-7264.72</v>
      </c>
    </row>
    <row r="303" spans="1:9">
      <c r="A303" s="682" t="s">
        <v>4004</v>
      </c>
      <c r="B303" s="682" t="s">
        <v>4005</v>
      </c>
      <c r="C303" s="692">
        <v>0</v>
      </c>
      <c r="D303" s="692">
        <v>107.64</v>
      </c>
      <c r="E303" s="692">
        <v>0</v>
      </c>
      <c r="F303" s="692">
        <v>7.0000000000000007E-2</v>
      </c>
      <c r="G303" s="692">
        <v>0</v>
      </c>
      <c r="H303" s="692">
        <v>107.71</v>
      </c>
      <c r="I303" s="692">
        <f t="shared" si="7"/>
        <v>-107.71</v>
      </c>
    </row>
    <row r="304" spans="1:9">
      <c r="A304" s="682" t="s">
        <v>4006</v>
      </c>
      <c r="B304" s="682" t="s">
        <v>2183</v>
      </c>
      <c r="C304" s="692">
        <v>0</v>
      </c>
      <c r="D304" s="692">
        <v>1450.1</v>
      </c>
      <c r="E304" s="692">
        <v>0</v>
      </c>
      <c r="F304" s="692">
        <v>1.25</v>
      </c>
      <c r="G304" s="692">
        <v>0</v>
      </c>
      <c r="H304" s="692">
        <v>1451.35</v>
      </c>
      <c r="I304" s="692">
        <f t="shared" si="7"/>
        <v>-1451.35</v>
      </c>
    </row>
    <row r="305" spans="1:9">
      <c r="A305" s="682" t="s">
        <v>4006</v>
      </c>
      <c r="B305" s="682" t="s">
        <v>2183</v>
      </c>
      <c r="C305" s="692">
        <v>0</v>
      </c>
      <c r="D305" s="692">
        <v>0.02</v>
      </c>
      <c r="E305" s="692">
        <v>0</v>
      </c>
      <c r="F305" s="692">
        <v>0</v>
      </c>
      <c r="G305" s="692">
        <v>0</v>
      </c>
      <c r="H305" s="692">
        <v>0.02</v>
      </c>
      <c r="I305" s="692">
        <f t="shared" si="7"/>
        <v>-0.02</v>
      </c>
    </row>
    <row r="306" spans="1:9">
      <c r="A306" s="682" t="s">
        <v>4011</v>
      </c>
      <c r="B306" s="682" t="s">
        <v>2190</v>
      </c>
      <c r="C306" s="692">
        <v>0</v>
      </c>
      <c r="D306" s="692">
        <v>0</v>
      </c>
      <c r="E306" s="692">
        <v>0</v>
      </c>
      <c r="F306" s="692">
        <v>225.67</v>
      </c>
      <c r="G306" s="692">
        <v>0</v>
      </c>
      <c r="H306" s="692">
        <v>225.67</v>
      </c>
      <c r="I306" s="692">
        <f t="shared" si="7"/>
        <v>-225.67</v>
      </c>
    </row>
    <row r="307" spans="1:9">
      <c r="A307" s="682" t="s">
        <v>4011</v>
      </c>
      <c r="B307" s="682" t="s">
        <v>2190</v>
      </c>
      <c r="C307" s="692">
        <v>0</v>
      </c>
      <c r="D307" s="692">
        <v>0</v>
      </c>
      <c r="E307" s="692">
        <v>0</v>
      </c>
      <c r="F307" s="692">
        <v>3776.11</v>
      </c>
      <c r="G307" s="692">
        <v>0</v>
      </c>
      <c r="H307" s="692">
        <v>3776.11</v>
      </c>
      <c r="I307" s="692">
        <f t="shared" si="7"/>
        <v>-3776.11</v>
      </c>
    </row>
    <row r="308" spans="1:9">
      <c r="A308" s="682" t="s">
        <v>4012</v>
      </c>
      <c r="B308" s="682" t="s">
        <v>2165</v>
      </c>
      <c r="C308" s="692">
        <v>0</v>
      </c>
      <c r="D308" s="692">
        <v>0</v>
      </c>
      <c r="E308" s="692">
        <v>0</v>
      </c>
      <c r="F308" s="692">
        <v>1336.39</v>
      </c>
      <c r="G308" s="692">
        <v>0</v>
      </c>
      <c r="H308" s="692">
        <v>1336.39</v>
      </c>
      <c r="I308" s="692">
        <f t="shared" si="7"/>
        <v>-1336.39</v>
      </c>
    </row>
    <row r="309" spans="1:9">
      <c r="A309" s="682" t="s">
        <v>4012</v>
      </c>
      <c r="B309" s="682" t="s">
        <v>2165</v>
      </c>
      <c r="C309" s="692">
        <v>0</v>
      </c>
      <c r="D309" s="692">
        <v>0</v>
      </c>
      <c r="E309" s="692">
        <v>0</v>
      </c>
      <c r="F309" s="692">
        <v>8313.93</v>
      </c>
      <c r="G309" s="692">
        <v>0</v>
      </c>
      <c r="H309" s="692">
        <v>8313.93</v>
      </c>
      <c r="I309" s="692">
        <f t="shared" si="7"/>
        <v>-8313.93</v>
      </c>
    </row>
    <row r="310" spans="1:9">
      <c r="A310" s="682" t="s">
        <v>4013</v>
      </c>
      <c r="B310" s="682" t="s">
        <v>4014</v>
      </c>
      <c r="C310" s="692">
        <v>0</v>
      </c>
      <c r="D310" s="692">
        <v>0</v>
      </c>
      <c r="E310" s="692">
        <v>0</v>
      </c>
      <c r="F310" s="692">
        <v>3625.22</v>
      </c>
      <c r="G310" s="692">
        <v>0</v>
      </c>
      <c r="H310" s="692">
        <v>3625.22</v>
      </c>
      <c r="I310" s="692">
        <f t="shared" si="7"/>
        <v>-3625.22</v>
      </c>
    </row>
    <row r="311" spans="1:9">
      <c r="A311" s="682" t="s">
        <v>4015</v>
      </c>
      <c r="B311" s="682" t="s">
        <v>3226</v>
      </c>
      <c r="C311" s="692">
        <v>0</v>
      </c>
      <c r="D311" s="692">
        <v>0</v>
      </c>
      <c r="E311" s="692">
        <v>0</v>
      </c>
      <c r="F311" s="692">
        <v>707.89</v>
      </c>
      <c r="G311" s="692">
        <v>0</v>
      </c>
      <c r="H311" s="692">
        <v>707.89</v>
      </c>
      <c r="I311" s="692">
        <f t="shared" si="7"/>
        <v>-707.89</v>
      </c>
    </row>
    <row r="312" spans="1:9">
      <c r="A312" s="682" t="s">
        <v>4015</v>
      </c>
      <c r="B312" s="682" t="s">
        <v>3226</v>
      </c>
      <c r="C312" s="692">
        <v>0</v>
      </c>
      <c r="D312" s="692">
        <v>0</v>
      </c>
      <c r="E312" s="692">
        <v>50.2</v>
      </c>
      <c r="F312" s="692">
        <v>8102.42</v>
      </c>
      <c r="G312" s="692">
        <v>0</v>
      </c>
      <c r="H312" s="692">
        <v>8052.22</v>
      </c>
      <c r="I312" s="692">
        <f t="shared" si="7"/>
        <v>-8052.22</v>
      </c>
    </row>
    <row r="313" spans="1:9">
      <c r="A313" s="682" t="s">
        <v>4016</v>
      </c>
      <c r="B313" s="682" t="s">
        <v>3228</v>
      </c>
      <c r="C313" s="692">
        <v>0</v>
      </c>
      <c r="D313" s="692">
        <v>0</v>
      </c>
      <c r="E313" s="692">
        <v>0</v>
      </c>
      <c r="F313" s="692">
        <v>177</v>
      </c>
      <c r="G313" s="692">
        <v>0</v>
      </c>
      <c r="H313" s="692">
        <v>177</v>
      </c>
      <c r="I313" s="692">
        <f t="shared" si="7"/>
        <v>-177</v>
      </c>
    </row>
    <row r="314" spans="1:9">
      <c r="A314" s="682" t="s">
        <v>4016</v>
      </c>
      <c r="B314" s="682" t="s">
        <v>3228</v>
      </c>
      <c r="C314" s="692">
        <v>0</v>
      </c>
      <c r="D314" s="692">
        <v>0</v>
      </c>
      <c r="E314" s="692">
        <v>12.54</v>
      </c>
      <c r="F314" s="692">
        <v>2025.13</v>
      </c>
      <c r="G314" s="692">
        <v>0</v>
      </c>
      <c r="H314" s="692">
        <v>2012.59</v>
      </c>
      <c r="I314" s="692">
        <f t="shared" si="7"/>
        <v>-2012.59</v>
      </c>
    </row>
    <row r="315" spans="1:9">
      <c r="A315" s="682" t="s">
        <v>4017</v>
      </c>
      <c r="B315" s="682" t="s">
        <v>3496</v>
      </c>
      <c r="C315" s="692">
        <v>0</v>
      </c>
      <c r="D315" s="692">
        <v>114590</v>
      </c>
      <c r="E315" s="692">
        <v>0</v>
      </c>
      <c r="F315" s="692">
        <v>0</v>
      </c>
      <c r="G315" s="692">
        <v>0</v>
      </c>
      <c r="H315" s="692">
        <v>114590</v>
      </c>
      <c r="I315" s="692">
        <f t="shared" si="7"/>
        <v>-114590</v>
      </c>
    </row>
    <row r="316" spans="1:9">
      <c r="A316" s="682" t="s">
        <v>4017</v>
      </c>
      <c r="B316" s="682" t="s">
        <v>3496</v>
      </c>
      <c r="C316" s="692">
        <v>0</v>
      </c>
      <c r="D316" s="692">
        <v>999740</v>
      </c>
      <c r="E316" s="692">
        <v>0</v>
      </c>
      <c r="F316" s="692">
        <v>165620</v>
      </c>
      <c r="G316" s="692">
        <v>0</v>
      </c>
      <c r="H316" s="692">
        <v>1165360</v>
      </c>
      <c r="I316" s="692">
        <f t="shared" si="7"/>
        <v>-1165360</v>
      </c>
    </row>
    <row r="317" spans="1:9">
      <c r="A317" s="682" t="s">
        <v>4018</v>
      </c>
      <c r="B317" s="682" t="s">
        <v>3498</v>
      </c>
      <c r="C317" s="692">
        <v>0</v>
      </c>
      <c r="D317" s="692">
        <v>744870</v>
      </c>
      <c r="E317" s="692">
        <v>0</v>
      </c>
      <c r="F317" s="692">
        <v>0</v>
      </c>
      <c r="G317" s="692">
        <v>0</v>
      </c>
      <c r="H317" s="692">
        <v>744870</v>
      </c>
      <c r="I317" s="692">
        <f t="shared" si="7"/>
        <v>-744870</v>
      </c>
    </row>
    <row r="318" spans="1:9">
      <c r="A318" s="682" t="s">
        <v>4018</v>
      </c>
      <c r="B318" s="682" t="s">
        <v>3498</v>
      </c>
      <c r="C318" s="692">
        <v>0</v>
      </c>
      <c r="D318" s="692">
        <v>3184377</v>
      </c>
      <c r="E318" s="692">
        <v>0</v>
      </c>
      <c r="F318" s="692">
        <v>566300</v>
      </c>
      <c r="G318" s="692">
        <v>0</v>
      </c>
      <c r="H318" s="692">
        <v>3750677</v>
      </c>
      <c r="I318" s="692">
        <f t="shared" si="7"/>
        <v>-3750677</v>
      </c>
    </row>
    <row r="319" spans="1:9">
      <c r="A319" s="682" t="s">
        <v>4019</v>
      </c>
      <c r="B319" s="682" t="s">
        <v>3500</v>
      </c>
      <c r="C319" s="692">
        <v>0</v>
      </c>
      <c r="D319" s="692">
        <v>819700</v>
      </c>
      <c r="E319" s="692">
        <v>0</v>
      </c>
      <c r="F319" s="692">
        <v>0</v>
      </c>
      <c r="G319" s="692">
        <v>0</v>
      </c>
      <c r="H319" s="692">
        <v>819700</v>
      </c>
      <c r="I319" s="692">
        <f t="shared" si="7"/>
        <v>-819700</v>
      </c>
    </row>
    <row r="320" spans="1:9">
      <c r="A320" s="682" t="s">
        <v>4019</v>
      </c>
      <c r="B320" s="682" t="s">
        <v>3500</v>
      </c>
      <c r="C320" s="692">
        <v>0</v>
      </c>
      <c r="D320" s="692">
        <v>2275770</v>
      </c>
      <c r="E320" s="692">
        <v>118300</v>
      </c>
      <c r="F320" s="692">
        <v>1534400</v>
      </c>
      <c r="G320" s="692">
        <v>0</v>
      </c>
      <c r="H320" s="692">
        <v>3691870</v>
      </c>
      <c r="I320" s="692">
        <f t="shared" si="7"/>
        <v>-3691870</v>
      </c>
    </row>
    <row r="321" spans="1:9">
      <c r="A321" s="682" t="s">
        <v>4020</v>
      </c>
      <c r="B321" s="682" t="s">
        <v>3502</v>
      </c>
      <c r="C321" s="692">
        <v>0</v>
      </c>
      <c r="D321" s="692">
        <v>538342</v>
      </c>
      <c r="E321" s="692">
        <v>0</v>
      </c>
      <c r="F321" s="692">
        <v>42630</v>
      </c>
      <c r="G321" s="692">
        <v>0</v>
      </c>
      <c r="H321" s="692">
        <v>580972</v>
      </c>
      <c r="I321" s="692">
        <f t="shared" si="7"/>
        <v>-580972</v>
      </c>
    </row>
    <row r="322" spans="1:9">
      <c r="A322" s="682" t="s">
        <v>4020</v>
      </c>
      <c r="B322" s="682" t="s">
        <v>3502</v>
      </c>
      <c r="C322" s="692">
        <v>0</v>
      </c>
      <c r="D322" s="692">
        <v>3361046.5</v>
      </c>
      <c r="E322" s="692">
        <v>0</v>
      </c>
      <c r="F322" s="692">
        <v>392854</v>
      </c>
      <c r="G322" s="692">
        <v>0</v>
      </c>
      <c r="H322" s="692">
        <v>3753900.5</v>
      </c>
      <c r="I322" s="692">
        <f t="shared" si="7"/>
        <v>-3753900.5</v>
      </c>
    </row>
    <row r="323" spans="1:9">
      <c r="A323" s="682" t="s">
        <v>4021</v>
      </c>
      <c r="B323" s="682" t="s">
        <v>4022</v>
      </c>
      <c r="C323" s="692">
        <v>0</v>
      </c>
      <c r="D323" s="692">
        <v>0</v>
      </c>
      <c r="E323" s="692">
        <v>0</v>
      </c>
      <c r="F323" s="692">
        <v>16.010000000000002</v>
      </c>
      <c r="G323" s="692">
        <v>0</v>
      </c>
      <c r="H323" s="692">
        <v>16.010000000000002</v>
      </c>
      <c r="I323" s="692">
        <f t="shared" si="7"/>
        <v>-16.010000000000002</v>
      </c>
    </row>
    <row r="324" spans="1:9">
      <c r="A324" s="682" t="s">
        <v>4023</v>
      </c>
      <c r="B324" s="682" t="s">
        <v>4024</v>
      </c>
      <c r="C324" s="692">
        <v>0</v>
      </c>
      <c r="D324" s="692">
        <v>0</v>
      </c>
      <c r="E324" s="692">
        <v>0</v>
      </c>
      <c r="F324" s="692">
        <v>15285.01</v>
      </c>
      <c r="G324" s="692">
        <v>0</v>
      </c>
      <c r="H324" s="692">
        <v>15285.01</v>
      </c>
      <c r="I324" s="692">
        <f t="shared" si="7"/>
        <v>-15285.01</v>
      </c>
    </row>
    <row r="325" spans="1:9">
      <c r="A325" s="682" t="s">
        <v>4025</v>
      </c>
      <c r="B325" s="682" t="s">
        <v>4026</v>
      </c>
      <c r="C325" s="692">
        <v>0</v>
      </c>
      <c r="D325" s="692">
        <v>0</v>
      </c>
      <c r="E325" s="692">
        <v>0</v>
      </c>
      <c r="F325" s="692">
        <v>7106.65</v>
      </c>
      <c r="G325" s="692">
        <v>0</v>
      </c>
      <c r="H325" s="692">
        <v>7106.65</v>
      </c>
      <c r="I325" s="692">
        <f t="shared" si="7"/>
        <v>-7106.65</v>
      </c>
    </row>
    <row r="326" spans="1:9">
      <c r="A326" s="682" t="s">
        <v>4027</v>
      </c>
      <c r="B326" s="682" t="s">
        <v>4028</v>
      </c>
      <c r="C326" s="692">
        <v>0</v>
      </c>
      <c r="D326" s="692">
        <v>0</v>
      </c>
      <c r="E326" s="692">
        <v>0</v>
      </c>
      <c r="F326" s="692">
        <v>5001.67</v>
      </c>
      <c r="G326" s="692">
        <v>0</v>
      </c>
      <c r="H326" s="692">
        <v>5001.67</v>
      </c>
      <c r="I326" s="692">
        <f t="shared" si="7"/>
        <v>-5001.67</v>
      </c>
    </row>
    <row r="327" spans="1:9">
      <c r="A327" s="682" t="s">
        <v>4029</v>
      </c>
      <c r="B327" s="682" t="s">
        <v>4030</v>
      </c>
      <c r="C327" s="692">
        <v>0</v>
      </c>
      <c r="D327" s="692">
        <v>0</v>
      </c>
      <c r="E327" s="692">
        <v>0</v>
      </c>
      <c r="F327" s="692">
        <v>106.45</v>
      </c>
      <c r="G327" s="692">
        <v>0</v>
      </c>
      <c r="H327" s="692">
        <v>106.45</v>
      </c>
      <c r="I327" s="692">
        <f t="shared" si="7"/>
        <v>-106.45</v>
      </c>
    </row>
    <row r="328" spans="1:9">
      <c r="A328" s="682" t="s">
        <v>4031</v>
      </c>
      <c r="B328" s="682" t="s">
        <v>4032</v>
      </c>
      <c r="C328" s="692">
        <v>0</v>
      </c>
      <c r="D328" s="692">
        <v>652506.62</v>
      </c>
      <c r="E328" s="692">
        <v>0</v>
      </c>
      <c r="F328" s="692">
        <v>0</v>
      </c>
      <c r="G328" s="692">
        <v>0</v>
      </c>
      <c r="H328" s="692">
        <v>652506.62</v>
      </c>
      <c r="I328" s="692">
        <f t="shared" si="7"/>
        <v>-652506.62</v>
      </c>
    </row>
    <row r="329" spans="1:9">
      <c r="A329" s="682" t="s">
        <v>4033</v>
      </c>
      <c r="B329" s="682" t="s">
        <v>4034</v>
      </c>
      <c r="C329" s="692">
        <v>0</v>
      </c>
      <c r="D329" s="692">
        <v>224847.1</v>
      </c>
      <c r="E329" s="692">
        <v>0</v>
      </c>
      <c r="F329" s="692">
        <v>0</v>
      </c>
      <c r="G329" s="692">
        <v>0</v>
      </c>
      <c r="H329" s="692">
        <v>224847.1</v>
      </c>
      <c r="I329" s="692">
        <f t="shared" si="7"/>
        <v>-224847.1</v>
      </c>
    </row>
    <row r="330" spans="1:9">
      <c r="A330" s="682" t="s">
        <v>4035</v>
      </c>
      <c r="B330" s="682" t="s">
        <v>4036</v>
      </c>
      <c r="C330" s="692">
        <v>0</v>
      </c>
      <c r="D330" s="692">
        <v>651196.21</v>
      </c>
      <c r="E330" s="692">
        <v>0</v>
      </c>
      <c r="F330" s="692">
        <v>0</v>
      </c>
      <c r="G330" s="692">
        <v>0</v>
      </c>
      <c r="H330" s="692">
        <v>651196.21</v>
      </c>
      <c r="I330" s="692">
        <f t="shared" si="7"/>
        <v>-651196.21</v>
      </c>
    </row>
    <row r="331" spans="1:9">
      <c r="A331" s="682" t="s">
        <v>4037</v>
      </c>
      <c r="B331" s="682" t="s">
        <v>4038</v>
      </c>
      <c r="C331" s="692">
        <v>0</v>
      </c>
      <c r="D331" s="692">
        <v>224490.4</v>
      </c>
      <c r="E331" s="692">
        <v>0</v>
      </c>
      <c r="F331" s="692">
        <v>0</v>
      </c>
      <c r="G331" s="692">
        <v>0</v>
      </c>
      <c r="H331" s="692">
        <v>224490.4</v>
      </c>
      <c r="I331" s="692">
        <f t="shared" si="7"/>
        <v>-224490.4</v>
      </c>
    </row>
    <row r="332" spans="1:9">
      <c r="A332" s="682" t="s">
        <v>4039</v>
      </c>
      <c r="B332" s="682" t="s">
        <v>4040</v>
      </c>
      <c r="C332" s="692">
        <v>0</v>
      </c>
      <c r="D332" s="692">
        <v>646402.09</v>
      </c>
      <c r="E332" s="692">
        <v>0</v>
      </c>
      <c r="F332" s="692">
        <v>186120.65</v>
      </c>
      <c r="G332" s="692">
        <v>0</v>
      </c>
      <c r="H332" s="692">
        <v>832522.74</v>
      </c>
      <c r="I332" s="692">
        <f t="shared" si="7"/>
        <v>-832522.74</v>
      </c>
    </row>
    <row r="333" spans="1:9">
      <c r="A333" s="682" t="s">
        <v>4041</v>
      </c>
      <c r="B333" s="682" t="s">
        <v>4042</v>
      </c>
      <c r="C333" s="692">
        <v>0</v>
      </c>
      <c r="D333" s="692">
        <v>224241.85</v>
      </c>
      <c r="E333" s="692">
        <v>0</v>
      </c>
      <c r="F333" s="692">
        <v>56524.71</v>
      </c>
      <c r="G333" s="692">
        <v>0</v>
      </c>
      <c r="H333" s="692">
        <v>280766.56</v>
      </c>
      <c r="I333" s="692">
        <f t="shared" si="7"/>
        <v>-280766.56</v>
      </c>
    </row>
    <row r="334" spans="1:9">
      <c r="A334" s="682" t="s">
        <v>4043</v>
      </c>
      <c r="B334" s="682" t="s">
        <v>4044</v>
      </c>
      <c r="C334" s="692">
        <v>0</v>
      </c>
      <c r="D334" s="692">
        <v>642104.42000000004</v>
      </c>
      <c r="E334" s="692">
        <v>0</v>
      </c>
      <c r="F334" s="692">
        <v>186120.65</v>
      </c>
      <c r="G334" s="692">
        <v>0</v>
      </c>
      <c r="H334" s="692">
        <v>828225.07</v>
      </c>
      <c r="I334" s="692">
        <f t="shared" si="7"/>
        <v>-828225.07</v>
      </c>
    </row>
    <row r="335" spans="1:9">
      <c r="A335" s="682" t="s">
        <v>4045</v>
      </c>
      <c r="B335" s="682" t="s">
        <v>4046</v>
      </c>
      <c r="C335" s="692">
        <v>0</v>
      </c>
      <c r="D335" s="692">
        <v>251628.44</v>
      </c>
      <c r="E335" s="692">
        <v>0</v>
      </c>
      <c r="F335" s="692">
        <v>59805.49</v>
      </c>
      <c r="G335" s="692">
        <v>0</v>
      </c>
      <c r="H335" s="692">
        <v>311433.93</v>
      </c>
      <c r="I335" s="692">
        <f t="shared" si="7"/>
        <v>-311433.93</v>
      </c>
    </row>
    <row r="336" spans="1:9">
      <c r="A336" s="682" t="s">
        <v>4047</v>
      </c>
      <c r="B336" s="682" t="s">
        <v>4048</v>
      </c>
      <c r="C336" s="692">
        <v>0</v>
      </c>
      <c r="D336" s="692">
        <v>651481.46</v>
      </c>
      <c r="E336" s="692">
        <v>0</v>
      </c>
      <c r="F336" s="692">
        <v>186120.65</v>
      </c>
      <c r="G336" s="692">
        <v>0</v>
      </c>
      <c r="H336" s="692">
        <v>837602.11</v>
      </c>
      <c r="I336" s="692">
        <f t="shared" si="7"/>
        <v>-837602.11</v>
      </c>
    </row>
    <row r="337" spans="1:9">
      <c r="A337" s="682" t="s">
        <v>4049</v>
      </c>
      <c r="B337" s="682" t="s">
        <v>4050</v>
      </c>
      <c r="C337" s="692">
        <v>0</v>
      </c>
      <c r="D337" s="692">
        <v>20680.71</v>
      </c>
      <c r="E337" s="692">
        <v>0</v>
      </c>
      <c r="F337" s="692">
        <v>5755.11</v>
      </c>
      <c r="G337" s="692">
        <v>0</v>
      </c>
      <c r="H337" s="692">
        <v>26435.82</v>
      </c>
      <c r="I337" s="692">
        <f t="shared" ref="I337:I400" si="8">G337-H337</f>
        <v>-26435.82</v>
      </c>
    </row>
    <row r="338" spans="1:9">
      <c r="A338" s="682" t="s">
        <v>4049</v>
      </c>
      <c r="B338" s="682" t="s">
        <v>4050</v>
      </c>
      <c r="C338" s="692">
        <v>0</v>
      </c>
      <c r="D338" s="692">
        <v>80066.84</v>
      </c>
      <c r="E338" s="692">
        <v>0</v>
      </c>
      <c r="F338" s="692">
        <v>50769.599999999999</v>
      </c>
      <c r="G338" s="692">
        <v>0</v>
      </c>
      <c r="H338" s="692">
        <v>130836.44</v>
      </c>
      <c r="I338" s="692">
        <f t="shared" si="8"/>
        <v>-130836.44</v>
      </c>
    </row>
    <row r="339" spans="1:9">
      <c r="A339" s="682" t="s">
        <v>4079</v>
      </c>
      <c r="B339" s="682" t="s">
        <v>4080</v>
      </c>
      <c r="C339" s="692">
        <v>0</v>
      </c>
      <c r="D339" s="692">
        <v>402544.89</v>
      </c>
      <c r="E339" s="692">
        <v>0</v>
      </c>
      <c r="F339" s="692">
        <v>0</v>
      </c>
      <c r="G339" s="692">
        <v>0</v>
      </c>
      <c r="H339" s="692">
        <v>402544.89</v>
      </c>
      <c r="I339" s="692">
        <f t="shared" si="8"/>
        <v>-402544.89</v>
      </c>
    </row>
    <row r="340" spans="1:9">
      <c r="A340" s="682" t="s">
        <v>4081</v>
      </c>
      <c r="B340" s="682" t="s">
        <v>2205</v>
      </c>
      <c r="C340" s="692">
        <v>0</v>
      </c>
      <c r="D340" s="692">
        <v>759.55</v>
      </c>
      <c r="E340" s="692">
        <v>0</v>
      </c>
      <c r="F340" s="692">
        <v>0</v>
      </c>
      <c r="G340" s="692">
        <v>0</v>
      </c>
      <c r="H340" s="692">
        <v>759.55</v>
      </c>
      <c r="I340" s="692">
        <f t="shared" si="8"/>
        <v>-759.55</v>
      </c>
    </row>
    <row r="341" spans="1:9">
      <c r="A341" s="682" t="s">
        <v>4051</v>
      </c>
      <c r="B341" s="682" t="s">
        <v>2207</v>
      </c>
      <c r="C341" s="692">
        <v>0</v>
      </c>
      <c r="D341" s="692">
        <v>37828</v>
      </c>
      <c r="E341" s="692">
        <v>0</v>
      </c>
      <c r="F341" s="692">
        <v>7</v>
      </c>
      <c r="G341" s="692">
        <v>0</v>
      </c>
      <c r="H341" s="692">
        <v>37835</v>
      </c>
      <c r="I341" s="692">
        <f t="shared" si="8"/>
        <v>-37835</v>
      </c>
    </row>
    <row r="342" spans="1:9">
      <c r="A342" s="682" t="s">
        <v>4052</v>
      </c>
      <c r="B342" s="682" t="s">
        <v>2208</v>
      </c>
      <c r="C342" s="692">
        <v>0</v>
      </c>
      <c r="D342" s="692">
        <v>2081288.05</v>
      </c>
      <c r="E342" s="692">
        <v>0</v>
      </c>
      <c r="F342" s="692">
        <f>194133+20108.05</f>
        <v>214241.05</v>
      </c>
      <c r="G342" s="692">
        <v>0</v>
      </c>
      <c r="H342" s="692">
        <f>F342+D342</f>
        <v>2295529.1</v>
      </c>
      <c r="I342" s="692">
        <f t="shared" si="8"/>
        <v>-2295529.1</v>
      </c>
    </row>
    <row r="343" spans="1:9">
      <c r="A343" s="682" t="s">
        <v>4053</v>
      </c>
      <c r="B343" s="682" t="s">
        <v>4054</v>
      </c>
      <c r="C343" s="692">
        <v>0</v>
      </c>
      <c r="D343" s="692">
        <v>1974</v>
      </c>
      <c r="E343" s="692">
        <v>0</v>
      </c>
      <c r="F343" s="692">
        <v>0</v>
      </c>
      <c r="G343" s="692">
        <v>0</v>
      </c>
      <c r="H343" s="692">
        <v>1974</v>
      </c>
      <c r="I343" s="692">
        <f t="shared" si="8"/>
        <v>-1974</v>
      </c>
    </row>
    <row r="344" spans="1:9">
      <c r="A344" s="682" t="s">
        <v>4055</v>
      </c>
      <c r="B344" s="682" t="s">
        <v>4056</v>
      </c>
      <c r="C344" s="692">
        <v>0</v>
      </c>
      <c r="D344" s="692">
        <v>438</v>
      </c>
      <c r="E344" s="692">
        <v>0</v>
      </c>
      <c r="F344" s="692">
        <v>0</v>
      </c>
      <c r="G344" s="692">
        <v>0</v>
      </c>
      <c r="H344" s="692">
        <v>438</v>
      </c>
      <c r="I344" s="692">
        <f t="shared" si="8"/>
        <v>-438</v>
      </c>
    </row>
    <row r="345" spans="1:9">
      <c r="A345" s="682" t="s">
        <v>4057</v>
      </c>
      <c r="B345" s="682" t="s">
        <v>4058</v>
      </c>
      <c r="C345" s="692">
        <v>0</v>
      </c>
      <c r="D345" s="692">
        <v>84940</v>
      </c>
      <c r="E345" s="692">
        <v>0</v>
      </c>
      <c r="F345" s="692">
        <v>15300</v>
      </c>
      <c r="G345" s="692">
        <v>0</v>
      </c>
      <c r="H345" s="692">
        <v>100240</v>
      </c>
      <c r="I345" s="692">
        <f t="shared" si="8"/>
        <v>-100240</v>
      </c>
    </row>
    <row r="346" spans="1:9">
      <c r="A346" s="682" t="s">
        <v>4059</v>
      </c>
      <c r="B346" s="682" t="s">
        <v>3235</v>
      </c>
      <c r="C346" s="692">
        <v>0</v>
      </c>
      <c r="D346" s="692">
        <v>116</v>
      </c>
      <c r="E346" s="692">
        <v>0</v>
      </c>
      <c r="F346" s="692">
        <v>14</v>
      </c>
      <c r="G346" s="692">
        <v>0</v>
      </c>
      <c r="H346" s="692">
        <v>130</v>
      </c>
      <c r="I346" s="692">
        <f t="shared" si="8"/>
        <v>-130</v>
      </c>
    </row>
    <row r="347" spans="1:9">
      <c r="A347" s="682" t="s">
        <v>4060</v>
      </c>
      <c r="B347" s="682" t="s">
        <v>3237</v>
      </c>
      <c r="C347" s="692">
        <v>0</v>
      </c>
      <c r="D347" s="692">
        <v>180</v>
      </c>
      <c r="E347" s="692">
        <v>0</v>
      </c>
      <c r="F347" s="692">
        <v>0</v>
      </c>
      <c r="G347" s="692">
        <v>0</v>
      </c>
      <c r="H347" s="692">
        <v>180</v>
      </c>
      <c r="I347" s="692">
        <f t="shared" si="8"/>
        <v>-180</v>
      </c>
    </row>
    <row r="348" spans="1:9">
      <c r="A348" s="682" t="s">
        <v>4061</v>
      </c>
      <c r="B348" s="682" t="s">
        <v>3239</v>
      </c>
      <c r="C348" s="692">
        <v>0</v>
      </c>
      <c r="D348" s="692">
        <v>3600</v>
      </c>
      <c r="E348" s="692">
        <v>0</v>
      </c>
      <c r="F348" s="692">
        <v>364</v>
      </c>
      <c r="G348" s="692">
        <v>0</v>
      </c>
      <c r="H348" s="692">
        <v>3964</v>
      </c>
      <c r="I348" s="692">
        <f t="shared" si="8"/>
        <v>-3964</v>
      </c>
    </row>
    <row r="349" spans="1:9">
      <c r="A349" s="682" t="s">
        <v>4062</v>
      </c>
      <c r="B349" s="682" t="s">
        <v>3241</v>
      </c>
      <c r="C349" s="692">
        <v>0</v>
      </c>
      <c r="D349" s="692">
        <v>1829</v>
      </c>
      <c r="E349" s="692">
        <v>0</v>
      </c>
      <c r="F349" s="692">
        <v>105</v>
      </c>
      <c r="G349" s="692">
        <v>0</v>
      </c>
      <c r="H349" s="692">
        <v>1934</v>
      </c>
      <c r="I349" s="692">
        <f t="shared" si="8"/>
        <v>-1934</v>
      </c>
    </row>
    <row r="350" spans="1:9">
      <c r="A350" s="682" t="s">
        <v>4063</v>
      </c>
      <c r="B350" s="682" t="s">
        <v>3243</v>
      </c>
      <c r="C350" s="692">
        <v>0</v>
      </c>
      <c r="D350" s="692">
        <v>6010</v>
      </c>
      <c r="E350" s="692">
        <v>0</v>
      </c>
      <c r="F350" s="692">
        <v>910</v>
      </c>
      <c r="G350" s="692">
        <v>0</v>
      </c>
      <c r="H350" s="692">
        <v>6920</v>
      </c>
      <c r="I350" s="692">
        <f t="shared" si="8"/>
        <v>-6920</v>
      </c>
    </row>
    <row r="351" spans="1:9">
      <c r="A351" s="682" t="s">
        <v>4078</v>
      </c>
      <c r="B351" s="682" t="s">
        <v>3504</v>
      </c>
      <c r="C351" s="692">
        <v>0</v>
      </c>
      <c r="D351" s="692">
        <v>35940</v>
      </c>
      <c r="E351" s="692">
        <v>2010</v>
      </c>
      <c r="F351" s="692">
        <v>9175.4699999999993</v>
      </c>
      <c r="G351" s="692">
        <v>0</v>
      </c>
      <c r="H351" s="692">
        <v>43105.47</v>
      </c>
      <c r="I351" s="692">
        <f t="shared" si="8"/>
        <v>-43105.47</v>
      </c>
    </row>
    <row r="352" spans="1:9">
      <c r="A352" s="682" t="s">
        <v>4064</v>
      </c>
      <c r="B352" s="682" t="s">
        <v>4065</v>
      </c>
      <c r="C352" s="692">
        <v>0</v>
      </c>
      <c r="D352" s="692">
        <v>0</v>
      </c>
      <c r="E352" s="692">
        <v>4035</v>
      </c>
      <c r="F352" s="692">
        <v>21151</v>
      </c>
      <c r="G352" s="692">
        <v>0</v>
      </c>
      <c r="H352" s="692">
        <v>17116</v>
      </c>
      <c r="I352" s="692">
        <f t="shared" si="8"/>
        <v>-17116</v>
      </c>
    </row>
    <row r="353" spans="1:11">
      <c r="A353" s="682" t="s">
        <v>4086</v>
      </c>
      <c r="B353" s="682" t="s">
        <v>4087</v>
      </c>
      <c r="C353" s="692">
        <v>1998961.52</v>
      </c>
      <c r="D353" s="692">
        <v>0</v>
      </c>
      <c r="E353" s="692">
        <v>0</v>
      </c>
      <c r="F353" s="692">
        <v>121330.7</v>
      </c>
      <c r="G353" s="692">
        <v>1877630.82</v>
      </c>
      <c r="H353" s="692">
        <v>0</v>
      </c>
      <c r="I353" s="692">
        <f t="shared" si="8"/>
        <v>1877630.82</v>
      </c>
    </row>
    <row r="354" spans="1:11">
      <c r="A354" s="682" t="s">
        <v>4088</v>
      </c>
      <c r="B354" s="682" t="s">
        <v>2213</v>
      </c>
      <c r="C354" s="692">
        <v>0</v>
      </c>
      <c r="D354" s="692">
        <v>46814.17</v>
      </c>
      <c r="E354" s="692">
        <v>0</v>
      </c>
      <c r="F354" s="692">
        <v>0</v>
      </c>
      <c r="G354" s="692">
        <v>0</v>
      </c>
      <c r="H354" s="692">
        <v>46814.17</v>
      </c>
      <c r="I354" s="692">
        <f t="shared" si="8"/>
        <v>-46814.17</v>
      </c>
    </row>
    <row r="355" spans="1:11">
      <c r="A355" s="682" t="s">
        <v>4089</v>
      </c>
      <c r="B355" s="682" t="s">
        <v>2214</v>
      </c>
      <c r="C355" s="692">
        <v>0</v>
      </c>
      <c r="D355" s="692">
        <v>189444.85</v>
      </c>
      <c r="E355" s="692">
        <v>0</v>
      </c>
      <c r="F355" s="692">
        <v>7805.72</v>
      </c>
      <c r="G355" s="692">
        <v>0</v>
      </c>
      <c r="H355" s="692">
        <v>197250.57</v>
      </c>
      <c r="I355" s="692">
        <f t="shared" si="8"/>
        <v>-197250.57</v>
      </c>
    </row>
    <row r="356" spans="1:11">
      <c r="A356" s="682" t="s">
        <v>4090</v>
      </c>
      <c r="B356" s="682" t="s">
        <v>4091</v>
      </c>
      <c r="C356" s="692">
        <v>0</v>
      </c>
      <c r="D356" s="692">
        <v>106058.52</v>
      </c>
      <c r="E356" s="692">
        <v>0</v>
      </c>
      <c r="F356" s="692">
        <v>43880.78</v>
      </c>
      <c r="G356" s="692">
        <v>0</v>
      </c>
      <c r="H356" s="692">
        <v>149939.29999999999</v>
      </c>
      <c r="I356" s="692">
        <f t="shared" si="8"/>
        <v>-149939.29999999999</v>
      </c>
    </row>
    <row r="357" spans="1:11">
      <c r="A357" s="682" t="s">
        <v>4092</v>
      </c>
      <c r="B357" s="682" t="s">
        <v>4093</v>
      </c>
      <c r="C357" s="692">
        <v>0</v>
      </c>
      <c r="D357" s="692">
        <v>2834.44</v>
      </c>
      <c r="E357" s="692">
        <v>0</v>
      </c>
      <c r="F357" s="692">
        <v>4967.8599999999997</v>
      </c>
      <c r="G357" s="692">
        <v>0</v>
      </c>
      <c r="H357" s="692">
        <v>7802.3</v>
      </c>
      <c r="I357" s="692">
        <f t="shared" si="8"/>
        <v>-7802.3</v>
      </c>
    </row>
    <row r="358" spans="1:11">
      <c r="A358" s="682" t="s">
        <v>4094</v>
      </c>
      <c r="B358" s="682" t="s">
        <v>4095</v>
      </c>
      <c r="C358" s="692">
        <v>0</v>
      </c>
      <c r="D358" s="692">
        <v>144324.64000000001</v>
      </c>
      <c r="E358" s="692">
        <v>0</v>
      </c>
      <c r="F358" s="692">
        <v>47780.86</v>
      </c>
      <c r="G358" s="692">
        <v>0</v>
      </c>
      <c r="H358" s="692">
        <v>192105.5</v>
      </c>
      <c r="I358" s="692">
        <f t="shared" si="8"/>
        <v>-192105.5</v>
      </c>
    </row>
    <row r="359" spans="1:11">
      <c r="A359" s="682" t="s">
        <v>4096</v>
      </c>
      <c r="B359" s="682" t="s">
        <v>4097</v>
      </c>
      <c r="C359" s="692">
        <v>0</v>
      </c>
      <c r="D359" s="692">
        <v>163256.1</v>
      </c>
      <c r="E359" s="692">
        <v>8755</v>
      </c>
      <c r="F359" s="692">
        <v>53436.34</v>
      </c>
      <c r="G359" s="692">
        <v>0</v>
      </c>
      <c r="H359" s="692">
        <v>207937.44</v>
      </c>
      <c r="I359" s="692">
        <f t="shared" si="8"/>
        <v>-207937.44</v>
      </c>
    </row>
    <row r="360" spans="1:11">
      <c r="A360" s="682" t="s">
        <v>4098</v>
      </c>
      <c r="B360" s="682" t="s">
        <v>4099</v>
      </c>
      <c r="C360" s="692">
        <v>0</v>
      </c>
      <c r="D360" s="692">
        <v>304075.93</v>
      </c>
      <c r="E360" s="692">
        <v>0</v>
      </c>
      <c r="F360" s="692">
        <v>86863.91</v>
      </c>
      <c r="G360" s="692">
        <v>0</v>
      </c>
      <c r="H360" s="692">
        <v>390939.84</v>
      </c>
      <c r="I360" s="692">
        <f t="shared" si="8"/>
        <v>-390939.84</v>
      </c>
    </row>
    <row r="361" spans="1:11">
      <c r="A361" s="682" t="s">
        <v>4100</v>
      </c>
      <c r="B361" s="682" t="s">
        <v>4101</v>
      </c>
      <c r="C361" s="692">
        <v>0</v>
      </c>
      <c r="D361" s="692">
        <v>1362941</v>
      </c>
      <c r="E361" s="692">
        <v>640000</v>
      </c>
      <c r="F361" s="692">
        <v>7000</v>
      </c>
      <c r="G361" s="692">
        <v>0</v>
      </c>
      <c r="H361" s="692">
        <v>729941</v>
      </c>
      <c r="I361" s="692">
        <f t="shared" si="8"/>
        <v>-729941</v>
      </c>
    </row>
    <row r="362" spans="1:11">
      <c r="A362" s="682" t="s">
        <v>4102</v>
      </c>
      <c r="B362" s="682" t="s">
        <v>4103</v>
      </c>
      <c r="C362" s="692">
        <v>0</v>
      </c>
      <c r="D362" s="692">
        <v>0</v>
      </c>
      <c r="E362" s="692">
        <v>0</v>
      </c>
      <c r="F362" s="692">
        <v>8474.93</v>
      </c>
      <c r="G362" s="692">
        <v>0</v>
      </c>
      <c r="H362" s="692">
        <v>8474.93</v>
      </c>
      <c r="I362" s="692">
        <f t="shared" si="8"/>
        <v>-8474.93</v>
      </c>
    </row>
    <row r="363" spans="1:11">
      <c r="A363" s="682" t="s">
        <v>4082</v>
      </c>
      <c r="B363" s="682" t="s">
        <v>4083</v>
      </c>
      <c r="C363" s="692">
        <v>0</v>
      </c>
      <c r="D363" s="692">
        <v>1423406.56</v>
      </c>
      <c r="E363" s="692">
        <v>0</v>
      </c>
      <c r="F363" s="692">
        <v>64463</v>
      </c>
      <c r="G363" s="692">
        <v>0</v>
      </c>
      <c r="H363" s="692">
        <v>1487869.56</v>
      </c>
      <c r="I363" s="692">
        <f t="shared" si="8"/>
        <v>-1487869.56</v>
      </c>
    </row>
    <row r="364" spans="1:11">
      <c r="A364" s="682" t="s">
        <v>4084</v>
      </c>
      <c r="B364" s="682" t="s">
        <v>4085</v>
      </c>
      <c r="C364" s="692">
        <v>0</v>
      </c>
      <c r="D364" s="692">
        <v>62569.56</v>
      </c>
      <c r="E364" s="692">
        <v>0</v>
      </c>
      <c r="F364" s="692">
        <f>613774.31+439930.75</f>
        <v>1053705.06</v>
      </c>
      <c r="G364" s="692">
        <v>2854.27</v>
      </c>
      <c r="H364" s="692">
        <f>D364+F364</f>
        <v>1116274.6200000001</v>
      </c>
      <c r="I364" s="692">
        <f t="shared" si="8"/>
        <v>-1113420.3500000001</v>
      </c>
    </row>
    <row r="365" spans="1:11">
      <c r="A365" s="682" t="s">
        <v>4104</v>
      </c>
      <c r="B365" s="682" t="s">
        <v>4105</v>
      </c>
      <c r="C365" s="692">
        <v>0</v>
      </c>
      <c r="D365" s="692">
        <v>319394.92</v>
      </c>
      <c r="E365" s="692">
        <v>494285.52</v>
      </c>
      <c r="F365" s="692">
        <v>690791.87</v>
      </c>
      <c r="G365" s="692">
        <v>0</v>
      </c>
      <c r="H365" s="692">
        <v>515901.27</v>
      </c>
      <c r="I365" s="692">
        <f t="shared" si="8"/>
        <v>-515901.27</v>
      </c>
    </row>
    <row r="366" spans="1:11">
      <c r="B366" s="682" t="s">
        <v>4283</v>
      </c>
      <c r="C366" s="692">
        <f t="shared" ref="C366:I366" si="9">SUM(C274:C365)</f>
        <v>2002330.46</v>
      </c>
      <c r="D366" s="692">
        <f t="shared" si="9"/>
        <v>101982435.86999995</v>
      </c>
      <c r="E366" s="692">
        <f t="shared" si="9"/>
        <v>109686102.42000002</v>
      </c>
      <c r="F366" s="692">
        <f t="shared" si="9"/>
        <v>127808954.42</v>
      </c>
      <c r="G366" s="692">
        <f t="shared" si="9"/>
        <v>1882019.6</v>
      </c>
      <c r="H366" s="692">
        <f t="shared" si="9"/>
        <v>119982122.73999995</v>
      </c>
      <c r="I366" s="692">
        <f t="shared" si="9"/>
        <v>-118100103.13999996</v>
      </c>
      <c r="J366" s="692">
        <f>I366+I496</f>
        <v>-2978238.8499999791</v>
      </c>
    </row>
    <row r="367" spans="1:11">
      <c r="A367" s="682" t="s">
        <v>2553</v>
      </c>
      <c r="C367" s="692"/>
      <c r="D367" s="692"/>
      <c r="E367" s="692"/>
      <c r="F367" s="692"/>
      <c r="G367" s="692"/>
      <c r="H367" s="692"/>
      <c r="I367" s="692">
        <f t="shared" si="8"/>
        <v>0</v>
      </c>
      <c r="J367" s="682">
        <v>478019.69</v>
      </c>
    </row>
    <row r="368" spans="1:11">
      <c r="A368" s="682" t="s">
        <v>4231</v>
      </c>
      <c r="B368" s="682" t="s">
        <v>4232</v>
      </c>
      <c r="C368" s="692">
        <v>164192.32999999999</v>
      </c>
      <c r="D368" s="692">
        <v>0</v>
      </c>
      <c r="E368" s="692">
        <v>38107.910000000003</v>
      </c>
      <c r="F368" s="692">
        <v>0</v>
      </c>
      <c r="G368" s="692">
        <v>202300.24</v>
      </c>
      <c r="H368" s="692">
        <v>0</v>
      </c>
      <c r="I368" s="692">
        <f t="shared" si="8"/>
        <v>202300.24</v>
      </c>
      <c r="J368" s="693">
        <f>J366+J367</f>
        <v>-2500219.1599999792</v>
      </c>
      <c r="K368" s="694" t="s">
        <v>3555</v>
      </c>
    </row>
    <row r="369" spans="1:10">
      <c r="A369" s="682" t="s">
        <v>4233</v>
      </c>
      <c r="B369" s="682" t="s">
        <v>4234</v>
      </c>
      <c r="C369" s="692">
        <v>28593.62</v>
      </c>
      <c r="D369" s="692">
        <v>0</v>
      </c>
      <c r="E369" s="692">
        <v>3435.38</v>
      </c>
      <c r="F369" s="692">
        <v>0</v>
      </c>
      <c r="G369" s="692">
        <v>32029</v>
      </c>
      <c r="H369" s="692">
        <v>0</v>
      </c>
      <c r="I369" s="692">
        <f t="shared" si="8"/>
        <v>32029</v>
      </c>
      <c r="J369" s="687"/>
    </row>
    <row r="370" spans="1:10">
      <c r="A370" s="682" t="s">
        <v>4235</v>
      </c>
      <c r="B370" s="682" t="s">
        <v>2224</v>
      </c>
      <c r="C370" s="692">
        <v>1247458.2</v>
      </c>
      <c r="D370" s="692">
        <v>0</v>
      </c>
      <c r="E370" s="692">
        <v>182792.44</v>
      </c>
      <c r="F370" s="692">
        <v>13167.46</v>
      </c>
      <c r="G370" s="692">
        <v>1417083.18</v>
      </c>
      <c r="H370" s="692">
        <v>0</v>
      </c>
      <c r="I370" s="692">
        <f t="shared" si="8"/>
        <v>1417083.18</v>
      </c>
    </row>
    <row r="371" spans="1:10">
      <c r="A371" s="682" t="s">
        <v>4236</v>
      </c>
      <c r="B371" s="682" t="s">
        <v>4237</v>
      </c>
      <c r="C371" s="692">
        <v>7835499.1100000003</v>
      </c>
      <c r="D371" s="692">
        <v>0</v>
      </c>
      <c r="E371" s="692">
        <v>1517395.8</v>
      </c>
      <c r="F371" s="692">
        <v>100035.56</v>
      </c>
      <c r="G371" s="692">
        <v>9252859.3499999996</v>
      </c>
      <c r="H371" s="692">
        <v>0</v>
      </c>
      <c r="I371" s="692">
        <f t="shared" si="8"/>
        <v>9252859.3499999996</v>
      </c>
    </row>
    <row r="372" spans="1:10">
      <c r="A372" s="682" t="s">
        <v>4238</v>
      </c>
      <c r="B372" s="682" t="s">
        <v>2067</v>
      </c>
      <c r="C372" s="692">
        <v>241.17</v>
      </c>
      <c r="D372" s="692">
        <v>0</v>
      </c>
      <c r="E372" s="692">
        <v>9.2100000000000009</v>
      </c>
      <c r="F372" s="692">
        <v>0</v>
      </c>
      <c r="G372" s="692">
        <v>250.38</v>
      </c>
      <c r="H372" s="692">
        <v>0</v>
      </c>
      <c r="I372" s="692">
        <f t="shared" si="8"/>
        <v>250.38</v>
      </c>
    </row>
    <row r="373" spans="1:10">
      <c r="A373" s="682" t="s">
        <v>4239</v>
      </c>
      <c r="B373" s="682" t="s">
        <v>4240</v>
      </c>
      <c r="C373" s="692">
        <v>11803837.439999999</v>
      </c>
      <c r="D373" s="692">
        <v>0</v>
      </c>
      <c r="E373" s="692">
        <v>1741124.45</v>
      </c>
      <c r="F373" s="692">
        <v>319989.62</v>
      </c>
      <c r="G373" s="692">
        <v>13224972.27</v>
      </c>
      <c r="H373" s="692">
        <v>0</v>
      </c>
      <c r="I373" s="692">
        <f t="shared" si="8"/>
        <v>13224972.27</v>
      </c>
    </row>
    <row r="374" spans="1:10">
      <c r="A374" s="682" t="s">
        <v>4241</v>
      </c>
      <c r="B374" s="682" t="s">
        <v>2250</v>
      </c>
      <c r="C374" s="692">
        <v>0</v>
      </c>
      <c r="D374" s="692">
        <v>0</v>
      </c>
      <c r="E374" s="692">
        <v>4093.33</v>
      </c>
      <c r="F374" s="692">
        <v>0</v>
      </c>
      <c r="G374" s="692">
        <v>4093.33</v>
      </c>
      <c r="H374" s="692">
        <v>0</v>
      </c>
      <c r="I374" s="692">
        <f t="shared" si="8"/>
        <v>4093.33</v>
      </c>
    </row>
    <row r="375" spans="1:10">
      <c r="A375" s="682" t="s">
        <v>4242</v>
      </c>
      <c r="B375" s="682" t="s">
        <v>3263</v>
      </c>
      <c r="C375" s="692">
        <v>11787.8</v>
      </c>
      <c r="D375" s="692">
        <v>0</v>
      </c>
      <c r="E375" s="692">
        <v>2357.56</v>
      </c>
      <c r="F375" s="692">
        <v>0</v>
      </c>
      <c r="G375" s="692">
        <v>14145.36</v>
      </c>
      <c r="H375" s="692">
        <v>0</v>
      </c>
      <c r="I375" s="692">
        <f t="shared" si="8"/>
        <v>14145.36</v>
      </c>
    </row>
    <row r="376" spans="1:10">
      <c r="A376" s="682" t="s">
        <v>4243</v>
      </c>
      <c r="B376" s="682" t="s">
        <v>3098</v>
      </c>
      <c r="C376" s="692">
        <v>4876.13</v>
      </c>
      <c r="D376" s="692">
        <v>0</v>
      </c>
      <c r="E376" s="692">
        <v>0</v>
      </c>
      <c r="F376" s="692">
        <v>0</v>
      </c>
      <c r="G376" s="692">
        <v>4876.13</v>
      </c>
      <c r="H376" s="692">
        <v>0</v>
      </c>
      <c r="I376" s="692">
        <f t="shared" si="8"/>
        <v>4876.13</v>
      </c>
    </row>
    <row r="377" spans="1:10">
      <c r="A377" s="682" t="s">
        <v>4244</v>
      </c>
      <c r="B377" s="682" t="s">
        <v>3266</v>
      </c>
      <c r="C377" s="692">
        <v>22354.73</v>
      </c>
      <c r="D377" s="692">
        <v>0</v>
      </c>
      <c r="E377" s="692">
        <v>0</v>
      </c>
      <c r="F377" s="692">
        <v>0</v>
      </c>
      <c r="G377" s="692">
        <v>22354.73</v>
      </c>
      <c r="H377" s="692">
        <v>0</v>
      </c>
      <c r="I377" s="692">
        <f t="shared" si="8"/>
        <v>22354.73</v>
      </c>
    </row>
    <row r="378" spans="1:10">
      <c r="A378" s="682" t="s">
        <v>4245</v>
      </c>
      <c r="B378" s="682" t="s">
        <v>3268</v>
      </c>
      <c r="C378" s="692">
        <v>27384.2</v>
      </c>
      <c r="D378" s="692">
        <v>0</v>
      </c>
      <c r="E378" s="692">
        <v>8215.26</v>
      </c>
      <c r="F378" s="692">
        <v>2738.42</v>
      </c>
      <c r="G378" s="692">
        <v>32861.040000000001</v>
      </c>
      <c r="H378" s="692">
        <v>0</v>
      </c>
      <c r="I378" s="692">
        <f t="shared" si="8"/>
        <v>32861.040000000001</v>
      </c>
    </row>
    <row r="379" spans="1:10">
      <c r="A379" s="682" t="s">
        <v>4246</v>
      </c>
      <c r="B379" s="682" t="s">
        <v>3104</v>
      </c>
      <c r="C379" s="692">
        <v>29717.7</v>
      </c>
      <c r="D379" s="692">
        <v>0</v>
      </c>
      <c r="E379" s="692">
        <v>5943.54</v>
      </c>
      <c r="F379" s="692">
        <v>0</v>
      </c>
      <c r="G379" s="692">
        <v>35661.24</v>
      </c>
      <c r="H379" s="692">
        <v>0</v>
      </c>
      <c r="I379" s="692">
        <f t="shared" si="8"/>
        <v>35661.24</v>
      </c>
    </row>
    <row r="380" spans="1:10">
      <c r="A380" s="682" t="s">
        <v>4247</v>
      </c>
      <c r="B380" s="682" t="s">
        <v>3104</v>
      </c>
      <c r="C380" s="692">
        <v>16750</v>
      </c>
      <c r="D380" s="692">
        <v>0</v>
      </c>
      <c r="E380" s="692">
        <v>6219.99</v>
      </c>
      <c r="F380" s="692">
        <v>2073.33</v>
      </c>
      <c r="G380" s="692">
        <v>20896.66</v>
      </c>
      <c r="H380" s="692">
        <v>0</v>
      </c>
      <c r="I380" s="692">
        <f t="shared" si="8"/>
        <v>20896.66</v>
      </c>
    </row>
    <row r="381" spans="1:10">
      <c r="A381" s="682" t="s">
        <v>4248</v>
      </c>
      <c r="B381" s="682" t="s">
        <v>3519</v>
      </c>
      <c r="C381" s="692">
        <v>30134.5</v>
      </c>
      <c r="D381" s="692">
        <v>0</v>
      </c>
      <c r="E381" s="692">
        <v>6026.9</v>
      </c>
      <c r="F381" s="692">
        <v>0</v>
      </c>
      <c r="G381" s="692">
        <v>36161.4</v>
      </c>
      <c r="H381" s="692">
        <v>0</v>
      </c>
      <c r="I381" s="692">
        <f t="shared" si="8"/>
        <v>36161.4</v>
      </c>
    </row>
    <row r="382" spans="1:10">
      <c r="A382" s="682" t="s">
        <v>4113</v>
      </c>
      <c r="B382" s="682" t="s">
        <v>2251</v>
      </c>
      <c r="C382" s="692">
        <v>7213.79</v>
      </c>
      <c r="D382" s="692">
        <v>0</v>
      </c>
      <c r="E382" s="692">
        <v>0</v>
      </c>
      <c r="F382" s="692">
        <v>0</v>
      </c>
      <c r="G382" s="692">
        <v>7213.79</v>
      </c>
      <c r="H382" s="692">
        <v>0</v>
      </c>
      <c r="I382" s="692">
        <f t="shared" si="8"/>
        <v>7213.79</v>
      </c>
    </row>
    <row r="383" spans="1:10">
      <c r="A383" s="682" t="s">
        <v>4114</v>
      </c>
      <c r="B383" s="682" t="s">
        <v>2253</v>
      </c>
      <c r="C383" s="692">
        <v>154888.68</v>
      </c>
      <c r="D383" s="692">
        <v>0</v>
      </c>
      <c r="E383" s="692">
        <v>28072.37</v>
      </c>
      <c r="F383" s="692">
        <v>0</v>
      </c>
      <c r="G383" s="692">
        <v>182961.05</v>
      </c>
      <c r="H383" s="692">
        <v>0</v>
      </c>
      <c r="I383" s="692">
        <f t="shared" si="8"/>
        <v>182961.05</v>
      </c>
    </row>
    <row r="384" spans="1:10">
      <c r="A384" s="682" t="s">
        <v>4115</v>
      </c>
      <c r="B384" s="682" t="s">
        <v>3274</v>
      </c>
      <c r="C384" s="692">
        <v>23578.28</v>
      </c>
      <c r="D384" s="692">
        <v>0</v>
      </c>
      <c r="E384" s="692">
        <v>85139.15</v>
      </c>
      <c r="F384" s="692">
        <v>0</v>
      </c>
      <c r="G384" s="692">
        <v>108717.43</v>
      </c>
      <c r="H384" s="692">
        <v>0</v>
      </c>
      <c r="I384" s="692">
        <f t="shared" si="8"/>
        <v>108717.43</v>
      </c>
    </row>
    <row r="385" spans="1:9">
      <c r="A385" s="682" t="s">
        <v>4116</v>
      </c>
      <c r="B385" s="682" t="s">
        <v>3521</v>
      </c>
      <c r="C385" s="692">
        <v>978018.15</v>
      </c>
      <c r="D385" s="692">
        <v>0</v>
      </c>
      <c r="E385" s="692">
        <v>0</v>
      </c>
      <c r="F385" s="692">
        <v>0</v>
      </c>
      <c r="G385" s="692">
        <v>978018.15</v>
      </c>
      <c r="H385" s="692">
        <v>0</v>
      </c>
      <c r="I385" s="692">
        <f t="shared" si="8"/>
        <v>978018.15</v>
      </c>
    </row>
    <row r="386" spans="1:9">
      <c r="A386" s="682" t="s">
        <v>4205</v>
      </c>
      <c r="B386" s="682" t="s">
        <v>4206</v>
      </c>
      <c r="C386" s="692">
        <v>166219.87</v>
      </c>
      <c r="D386" s="692">
        <v>0</v>
      </c>
      <c r="E386" s="692">
        <v>1123994.3799999999</v>
      </c>
      <c r="F386" s="692">
        <v>824749.82</v>
      </c>
      <c r="G386" s="692">
        <v>465464.43</v>
      </c>
      <c r="H386" s="692">
        <v>0</v>
      </c>
      <c r="I386" s="692">
        <f t="shared" si="8"/>
        <v>465464.43</v>
      </c>
    </row>
    <row r="387" spans="1:9">
      <c r="A387" s="682" t="s">
        <v>4207</v>
      </c>
      <c r="B387" s="682" t="s">
        <v>4208</v>
      </c>
      <c r="C387" s="692">
        <v>0</v>
      </c>
      <c r="D387" s="692">
        <v>2083.34</v>
      </c>
      <c r="E387" s="692">
        <v>0</v>
      </c>
      <c r="F387" s="692">
        <v>34.630000000000003</v>
      </c>
      <c r="G387" s="692">
        <v>0</v>
      </c>
      <c r="H387" s="692">
        <v>2117.9699999999998</v>
      </c>
      <c r="I387" s="692">
        <f t="shared" si="8"/>
        <v>-2117.9699999999998</v>
      </c>
    </row>
    <row r="388" spans="1:9">
      <c r="A388" s="682" t="s">
        <v>4209</v>
      </c>
      <c r="B388" s="682" t="s">
        <v>4210</v>
      </c>
      <c r="C388" s="692">
        <v>0</v>
      </c>
      <c r="D388" s="692">
        <v>0</v>
      </c>
      <c r="E388" s="692">
        <v>0</v>
      </c>
      <c r="F388" s="692">
        <v>1299.95</v>
      </c>
      <c r="G388" s="692">
        <v>0</v>
      </c>
      <c r="H388" s="692">
        <v>1299.95</v>
      </c>
      <c r="I388" s="692">
        <f t="shared" si="8"/>
        <v>-1299.95</v>
      </c>
    </row>
    <row r="389" spans="1:9">
      <c r="A389" s="682" t="s">
        <v>4209</v>
      </c>
      <c r="B389" s="682" t="s">
        <v>2010</v>
      </c>
      <c r="C389" s="692">
        <v>273153.68</v>
      </c>
      <c r="D389" s="692">
        <v>0</v>
      </c>
      <c r="E389" s="692">
        <v>1987138.81</v>
      </c>
      <c r="F389" s="692">
        <v>108483.03</v>
      </c>
      <c r="G389" s="692">
        <v>2151809.46</v>
      </c>
      <c r="H389" s="692">
        <v>0</v>
      </c>
      <c r="I389" s="692">
        <f t="shared" si="8"/>
        <v>2151809.46</v>
      </c>
    </row>
    <row r="390" spans="1:9">
      <c r="A390" s="682" t="s">
        <v>4211</v>
      </c>
      <c r="B390" s="682" t="s">
        <v>4212</v>
      </c>
      <c r="C390" s="692">
        <v>0</v>
      </c>
      <c r="D390" s="692">
        <v>0</v>
      </c>
      <c r="E390" s="692">
        <v>238681.14</v>
      </c>
      <c r="F390" s="692">
        <v>991.38</v>
      </c>
      <c r="G390" s="692">
        <v>237689.76</v>
      </c>
      <c r="H390" s="692">
        <v>0</v>
      </c>
      <c r="I390" s="692">
        <f t="shared" si="8"/>
        <v>237689.76</v>
      </c>
    </row>
    <row r="391" spans="1:9">
      <c r="A391" s="682" t="s">
        <v>4211</v>
      </c>
      <c r="B391" s="682" t="s">
        <v>4284</v>
      </c>
      <c r="C391" s="692">
        <v>0</v>
      </c>
      <c r="D391" s="692">
        <v>0</v>
      </c>
      <c r="E391" s="692">
        <v>0</v>
      </c>
      <c r="F391" s="692">
        <v>168.26</v>
      </c>
      <c r="G391" s="692">
        <v>0</v>
      </c>
      <c r="H391" s="692">
        <v>168.26</v>
      </c>
      <c r="I391" s="692">
        <f t="shared" si="8"/>
        <v>-168.26</v>
      </c>
    </row>
    <row r="392" spans="1:9">
      <c r="A392" s="682" t="s">
        <v>4211</v>
      </c>
      <c r="B392" s="682" t="s">
        <v>4285</v>
      </c>
      <c r="C392" s="692">
        <v>0</v>
      </c>
      <c r="D392" s="692">
        <v>0</v>
      </c>
      <c r="E392" s="692">
        <v>82.23</v>
      </c>
      <c r="F392" s="692">
        <v>287.62</v>
      </c>
      <c r="G392" s="692">
        <v>0</v>
      </c>
      <c r="H392" s="692">
        <v>205.39</v>
      </c>
      <c r="I392" s="692">
        <f t="shared" si="8"/>
        <v>-205.39</v>
      </c>
    </row>
    <row r="393" spans="1:9">
      <c r="A393" s="682" t="s">
        <v>4211</v>
      </c>
      <c r="B393" s="682" t="s">
        <v>4286</v>
      </c>
      <c r="C393" s="692">
        <v>0</v>
      </c>
      <c r="D393" s="692">
        <v>0</v>
      </c>
      <c r="E393" s="692">
        <v>119.32</v>
      </c>
      <c r="F393" s="692">
        <v>0</v>
      </c>
      <c r="G393" s="692">
        <v>119.32</v>
      </c>
      <c r="H393" s="692">
        <v>0</v>
      </c>
      <c r="I393" s="692">
        <f t="shared" si="8"/>
        <v>119.32</v>
      </c>
    </row>
    <row r="394" spans="1:9">
      <c r="A394" s="682" t="s">
        <v>4211</v>
      </c>
      <c r="B394" s="682" t="s">
        <v>1981</v>
      </c>
      <c r="C394" s="692">
        <v>0</v>
      </c>
      <c r="D394" s="692">
        <v>0</v>
      </c>
      <c r="E394" s="692">
        <v>191.37</v>
      </c>
      <c r="F394" s="692">
        <v>893.55</v>
      </c>
      <c r="G394" s="692">
        <v>0</v>
      </c>
      <c r="H394" s="692">
        <v>702.18</v>
      </c>
      <c r="I394" s="692">
        <f t="shared" si="8"/>
        <v>-702.18</v>
      </c>
    </row>
    <row r="395" spans="1:9">
      <c r="A395" s="682" t="s">
        <v>4213</v>
      </c>
      <c r="B395" s="682" t="s">
        <v>4214</v>
      </c>
      <c r="C395" s="692">
        <v>0</v>
      </c>
      <c r="D395" s="692">
        <v>0</v>
      </c>
      <c r="E395" s="692">
        <v>0</v>
      </c>
      <c r="F395" s="692">
        <v>824.83</v>
      </c>
      <c r="G395" s="692">
        <v>0</v>
      </c>
      <c r="H395" s="692">
        <v>824.83</v>
      </c>
      <c r="I395" s="692">
        <f t="shared" si="8"/>
        <v>-824.83</v>
      </c>
    </row>
    <row r="396" spans="1:9">
      <c r="A396" s="682" t="s">
        <v>4213</v>
      </c>
      <c r="B396" s="682" t="s">
        <v>2011</v>
      </c>
      <c r="C396" s="692">
        <v>402178.69</v>
      </c>
      <c r="D396" s="692">
        <v>0</v>
      </c>
      <c r="E396" s="692">
        <v>1923785.78</v>
      </c>
      <c r="F396" s="692">
        <v>257686.48</v>
      </c>
      <c r="G396" s="692">
        <v>2068277.99</v>
      </c>
      <c r="H396" s="692">
        <v>0</v>
      </c>
      <c r="I396" s="692">
        <f t="shared" si="8"/>
        <v>2068277.99</v>
      </c>
    </row>
    <row r="397" spans="1:9">
      <c r="A397" s="682" t="s">
        <v>4215</v>
      </c>
      <c r="B397" s="682" t="s">
        <v>3430</v>
      </c>
      <c r="C397" s="692">
        <v>41619.230000000003</v>
      </c>
      <c r="D397" s="692">
        <v>0</v>
      </c>
      <c r="E397" s="692">
        <v>164896.53</v>
      </c>
      <c r="F397" s="692">
        <v>151599.37</v>
      </c>
      <c r="G397" s="692">
        <v>54916.39</v>
      </c>
      <c r="H397" s="692">
        <v>0</v>
      </c>
      <c r="I397" s="692">
        <f t="shared" si="8"/>
        <v>54916.39</v>
      </c>
    </row>
    <row r="398" spans="1:9">
      <c r="A398" s="682" t="s">
        <v>4215</v>
      </c>
      <c r="B398" s="682" t="s">
        <v>4287</v>
      </c>
      <c r="C398" s="692">
        <v>1543541.92</v>
      </c>
      <c r="D398" s="692">
        <v>0</v>
      </c>
      <c r="E398" s="692">
        <v>3139204.81</v>
      </c>
      <c r="F398" s="692">
        <v>2992834.14</v>
      </c>
      <c r="G398" s="692">
        <v>1689912.59</v>
      </c>
      <c r="H398" s="692">
        <v>0</v>
      </c>
      <c r="I398" s="692">
        <f t="shared" si="8"/>
        <v>1689912.59</v>
      </c>
    </row>
    <row r="399" spans="1:9">
      <c r="A399" s="682" t="s">
        <v>4215</v>
      </c>
      <c r="B399" s="682" t="s">
        <v>4288</v>
      </c>
      <c r="C399" s="692">
        <v>782793.09</v>
      </c>
      <c r="D399" s="692">
        <v>0</v>
      </c>
      <c r="E399" s="692">
        <v>1756494.82</v>
      </c>
      <c r="F399" s="692">
        <v>1630808.55</v>
      </c>
      <c r="G399" s="692">
        <v>908479.36</v>
      </c>
      <c r="H399" s="692">
        <v>0</v>
      </c>
      <c r="I399" s="692">
        <f t="shared" si="8"/>
        <v>908479.36</v>
      </c>
    </row>
    <row r="400" spans="1:9">
      <c r="A400" s="682" t="s">
        <v>4216</v>
      </c>
      <c r="B400" s="682" t="s">
        <v>4217</v>
      </c>
      <c r="C400" s="692">
        <v>0</v>
      </c>
      <c r="D400" s="692">
        <v>0</v>
      </c>
      <c r="E400" s="692">
        <v>0</v>
      </c>
      <c r="F400" s="692">
        <v>67037.48</v>
      </c>
      <c r="G400" s="692">
        <v>0</v>
      </c>
      <c r="H400" s="692">
        <v>67037.48</v>
      </c>
      <c r="I400" s="692">
        <f t="shared" si="8"/>
        <v>-67037.48</v>
      </c>
    </row>
    <row r="401" spans="1:9">
      <c r="A401" s="682" t="s">
        <v>4216</v>
      </c>
      <c r="B401" s="682" t="s">
        <v>4289</v>
      </c>
      <c r="C401" s="692">
        <v>1112792.97</v>
      </c>
      <c r="D401" s="692">
        <v>0</v>
      </c>
      <c r="E401" s="692">
        <v>3483376.8</v>
      </c>
      <c r="F401" s="692">
        <v>1951621.2</v>
      </c>
      <c r="G401" s="692">
        <v>2644548.5699999998</v>
      </c>
      <c r="H401" s="692">
        <v>0</v>
      </c>
      <c r="I401" s="692">
        <f t="shared" ref="I401:I464" si="10">G401-H401</f>
        <v>2644548.5699999998</v>
      </c>
    </row>
    <row r="402" spans="1:9">
      <c r="A402" s="682" t="s">
        <v>4218</v>
      </c>
      <c r="B402" s="682" t="s">
        <v>4219</v>
      </c>
      <c r="C402" s="692">
        <v>3782093.01</v>
      </c>
      <c r="D402" s="692">
        <v>0</v>
      </c>
      <c r="E402" s="692">
        <v>13068199.24</v>
      </c>
      <c r="F402" s="692">
        <v>19308918.010000002</v>
      </c>
      <c r="G402" s="692">
        <v>0</v>
      </c>
      <c r="H402" s="692">
        <v>2458625.7599999998</v>
      </c>
      <c r="I402" s="692">
        <f t="shared" si="10"/>
        <v>-2458625.7599999998</v>
      </c>
    </row>
    <row r="403" spans="1:9">
      <c r="A403" s="682" t="s">
        <v>4220</v>
      </c>
      <c r="B403" s="682" t="s">
        <v>4221</v>
      </c>
      <c r="C403" s="692">
        <v>398517.1</v>
      </c>
      <c r="D403" s="692">
        <v>0</v>
      </c>
      <c r="E403" s="692">
        <v>62142740.979999997</v>
      </c>
      <c r="F403" s="692">
        <v>61130074.799999997</v>
      </c>
      <c r="G403" s="692">
        <v>1411183.28</v>
      </c>
      <c r="H403" s="692">
        <v>0</v>
      </c>
      <c r="I403" s="692">
        <f t="shared" si="10"/>
        <v>1411183.28</v>
      </c>
    </row>
    <row r="404" spans="1:9">
      <c r="A404" s="682" t="s">
        <v>4220</v>
      </c>
      <c r="B404" s="682" t="s">
        <v>4290</v>
      </c>
      <c r="C404" s="692">
        <v>76022.73</v>
      </c>
      <c r="D404" s="692">
        <v>0</v>
      </c>
      <c r="E404" s="692">
        <v>14731089.529999999</v>
      </c>
      <c r="F404" s="692">
        <v>14528680.460000001</v>
      </c>
      <c r="G404" s="692">
        <v>278431.8</v>
      </c>
      <c r="H404" s="692">
        <v>0</v>
      </c>
      <c r="I404" s="692">
        <f t="shared" si="10"/>
        <v>278431.8</v>
      </c>
    </row>
    <row r="405" spans="1:9">
      <c r="A405" s="682" t="s">
        <v>4220</v>
      </c>
      <c r="B405" s="682" t="s">
        <v>4291</v>
      </c>
      <c r="C405" s="692">
        <v>0</v>
      </c>
      <c r="D405" s="692">
        <v>0</v>
      </c>
      <c r="E405" s="692">
        <v>1862525.45</v>
      </c>
      <c r="F405" s="692">
        <v>1546179.96</v>
      </c>
      <c r="G405" s="692">
        <v>316345.49</v>
      </c>
      <c r="H405" s="692">
        <v>0</v>
      </c>
      <c r="I405" s="692">
        <f t="shared" si="10"/>
        <v>316345.49</v>
      </c>
    </row>
    <row r="406" spans="1:9">
      <c r="A406" s="682" t="s">
        <v>4220</v>
      </c>
      <c r="B406" s="682" t="s">
        <v>4292</v>
      </c>
      <c r="C406" s="692">
        <v>491995.47</v>
      </c>
      <c r="D406" s="692">
        <v>0</v>
      </c>
      <c r="E406" s="692">
        <v>14534845.609999999</v>
      </c>
      <c r="F406" s="692">
        <v>13757533.449999999</v>
      </c>
      <c r="G406" s="692">
        <v>1269307.6299999999</v>
      </c>
      <c r="H406" s="692">
        <v>0</v>
      </c>
      <c r="I406" s="692">
        <f t="shared" si="10"/>
        <v>1269307.6299999999</v>
      </c>
    </row>
    <row r="407" spans="1:9">
      <c r="A407" s="682" t="s">
        <v>4220</v>
      </c>
      <c r="B407" s="682" t="s">
        <v>4293</v>
      </c>
      <c r="C407" s="692">
        <v>143564.68</v>
      </c>
      <c r="D407" s="692">
        <v>0</v>
      </c>
      <c r="E407" s="692">
        <v>26810264.359999999</v>
      </c>
      <c r="F407" s="692">
        <v>26742299.420000002</v>
      </c>
      <c r="G407" s="692">
        <v>211529.62</v>
      </c>
      <c r="H407" s="692">
        <v>0</v>
      </c>
      <c r="I407" s="692">
        <f t="shared" si="10"/>
        <v>211529.62</v>
      </c>
    </row>
    <row r="408" spans="1:9">
      <c r="A408" s="682" t="s">
        <v>4220</v>
      </c>
      <c r="B408" s="682" t="s">
        <v>4294</v>
      </c>
      <c r="C408" s="692">
        <v>0</v>
      </c>
      <c r="D408" s="692">
        <v>0</v>
      </c>
      <c r="E408" s="692">
        <v>83771.94</v>
      </c>
      <c r="F408" s="692">
        <v>37329.83</v>
      </c>
      <c r="G408" s="692">
        <v>46442.11</v>
      </c>
      <c r="H408" s="692">
        <v>0</v>
      </c>
      <c r="I408" s="692">
        <f t="shared" si="10"/>
        <v>46442.11</v>
      </c>
    </row>
    <row r="409" spans="1:9">
      <c r="A409" s="682" t="s">
        <v>4222</v>
      </c>
      <c r="B409" s="682" t="s">
        <v>3543</v>
      </c>
      <c r="C409" s="692">
        <v>0</v>
      </c>
      <c r="D409" s="692">
        <v>61746.63</v>
      </c>
      <c r="E409" s="692">
        <v>0</v>
      </c>
      <c r="F409" s="692">
        <v>0</v>
      </c>
      <c r="G409" s="692">
        <v>0</v>
      </c>
      <c r="H409" s="692">
        <v>61746.63</v>
      </c>
      <c r="I409" s="692">
        <f>G409-H409-158855</f>
        <v>-220601.63</v>
      </c>
    </row>
    <row r="410" spans="1:9">
      <c r="A410" s="682" t="s">
        <v>4117</v>
      </c>
      <c r="B410" s="682" t="s">
        <v>4118</v>
      </c>
      <c r="C410" s="692">
        <v>2425121.7000000002</v>
      </c>
      <c r="D410" s="692">
        <v>0</v>
      </c>
      <c r="E410" s="692">
        <v>648079.03</v>
      </c>
      <c r="F410" s="692">
        <v>0</v>
      </c>
      <c r="G410" s="692">
        <f>3073200.73+1198952.11</f>
        <v>4272152.84</v>
      </c>
      <c r="H410" s="692">
        <v>0</v>
      </c>
      <c r="I410" s="692">
        <f>G410-H410</f>
        <v>4272152.84</v>
      </c>
    </row>
    <row r="411" spans="1:9">
      <c r="A411" s="682" t="s">
        <v>4119</v>
      </c>
      <c r="B411" s="682" t="s">
        <v>4120</v>
      </c>
      <c r="C411" s="692">
        <v>3231.34</v>
      </c>
      <c r="D411" s="692">
        <v>0</v>
      </c>
      <c r="E411" s="692">
        <v>0</v>
      </c>
      <c r="F411" s="692">
        <v>3231.34</v>
      </c>
      <c r="G411" s="692">
        <v>0</v>
      </c>
      <c r="H411" s="692">
        <v>0</v>
      </c>
      <c r="I411" s="692">
        <f t="shared" si="10"/>
        <v>0</v>
      </c>
    </row>
    <row r="412" spans="1:9">
      <c r="A412" s="682" t="s">
        <v>4106</v>
      </c>
      <c r="B412" s="682" t="s">
        <v>2260</v>
      </c>
      <c r="C412" s="692">
        <v>29861397.52</v>
      </c>
      <c r="D412" s="692">
        <v>0</v>
      </c>
      <c r="E412" s="692">
        <v>5985298.2800000003</v>
      </c>
      <c r="F412" s="692">
        <v>4871.25</v>
      </c>
      <c r="G412" s="692">
        <v>35841824.549999997</v>
      </c>
      <c r="H412" s="692">
        <v>0</v>
      </c>
      <c r="I412" s="692">
        <f t="shared" si="10"/>
        <v>35841824.549999997</v>
      </c>
    </row>
    <row r="413" spans="1:9">
      <c r="A413" s="682" t="s">
        <v>4107</v>
      </c>
      <c r="B413" s="682" t="s">
        <v>2261</v>
      </c>
      <c r="C413" s="692">
        <v>13010</v>
      </c>
      <c r="D413" s="692">
        <v>0</v>
      </c>
      <c r="E413" s="692">
        <v>0</v>
      </c>
      <c r="F413" s="692">
        <v>0</v>
      </c>
      <c r="G413" s="692">
        <v>13010</v>
      </c>
      <c r="H413" s="692">
        <v>0</v>
      </c>
      <c r="I413" s="692">
        <f t="shared" si="10"/>
        <v>13010</v>
      </c>
    </row>
    <row r="414" spans="1:9">
      <c r="A414" s="682" t="s">
        <v>4108</v>
      </c>
      <c r="B414" s="682" t="s">
        <v>2263</v>
      </c>
      <c r="C414" s="692">
        <v>290301.45</v>
      </c>
      <c r="D414" s="692">
        <v>0</v>
      </c>
      <c r="E414" s="692">
        <v>54158.25</v>
      </c>
      <c r="F414" s="692">
        <v>0</v>
      </c>
      <c r="G414" s="692">
        <v>344459.7</v>
      </c>
      <c r="H414" s="692">
        <v>0</v>
      </c>
      <c r="I414" s="692">
        <f t="shared" si="10"/>
        <v>344459.7</v>
      </c>
    </row>
    <row r="415" spans="1:9">
      <c r="A415" s="682" t="s">
        <v>4109</v>
      </c>
      <c r="B415" s="682" t="s">
        <v>2264</v>
      </c>
      <c r="C415" s="692">
        <v>272173.51</v>
      </c>
      <c r="D415" s="692">
        <v>0</v>
      </c>
      <c r="E415" s="692">
        <v>12664.1</v>
      </c>
      <c r="F415" s="692">
        <v>0</v>
      </c>
      <c r="G415" s="692">
        <v>284837.61</v>
      </c>
      <c r="H415" s="692">
        <v>0</v>
      </c>
      <c r="I415" s="692">
        <f t="shared" si="10"/>
        <v>284837.61</v>
      </c>
    </row>
    <row r="416" spans="1:9">
      <c r="A416" s="682" t="s">
        <v>4110</v>
      </c>
      <c r="B416" s="682" t="s">
        <v>2265</v>
      </c>
      <c r="C416" s="692">
        <v>1186848.1599999999</v>
      </c>
      <c r="D416" s="692">
        <v>0</v>
      </c>
      <c r="E416" s="692">
        <v>239316.95</v>
      </c>
      <c r="F416" s="692">
        <v>0</v>
      </c>
      <c r="G416" s="692">
        <v>1426165.11</v>
      </c>
      <c r="H416" s="692">
        <v>0</v>
      </c>
      <c r="I416" s="692">
        <f t="shared" si="10"/>
        <v>1426165.11</v>
      </c>
    </row>
    <row r="417" spans="1:12">
      <c r="A417" s="682" t="s">
        <v>4111</v>
      </c>
      <c r="B417" s="682" t="s">
        <v>2266</v>
      </c>
      <c r="C417" s="692">
        <v>2009623.28</v>
      </c>
      <c r="D417" s="692">
        <v>0</v>
      </c>
      <c r="E417" s="692">
        <v>438799.38</v>
      </c>
      <c r="F417" s="692">
        <v>0</v>
      </c>
      <c r="G417" s="692">
        <v>2448422.66</v>
      </c>
      <c r="H417" s="692">
        <v>0</v>
      </c>
      <c r="I417" s="692">
        <f t="shared" si="10"/>
        <v>2448422.66</v>
      </c>
    </row>
    <row r="418" spans="1:12">
      <c r="A418" s="682" t="s">
        <v>4121</v>
      </c>
      <c r="B418" s="682" t="s">
        <v>4122</v>
      </c>
      <c r="C418" s="692">
        <v>116477.16</v>
      </c>
      <c r="D418" s="692">
        <v>0</v>
      </c>
      <c r="E418" s="692">
        <v>60538.45</v>
      </c>
      <c r="F418" s="692">
        <v>0</v>
      </c>
      <c r="G418" s="692">
        <v>177015.61</v>
      </c>
      <c r="H418" s="692">
        <v>0</v>
      </c>
      <c r="I418" s="692">
        <f t="shared" si="10"/>
        <v>177015.61</v>
      </c>
    </row>
    <row r="419" spans="1:12">
      <c r="A419" s="682" t="s">
        <v>4112</v>
      </c>
      <c r="B419" s="682" t="s">
        <v>3526</v>
      </c>
      <c r="C419" s="692">
        <v>4470383.5599999996</v>
      </c>
      <c r="D419" s="692">
        <v>0</v>
      </c>
      <c r="E419" s="692">
        <v>879600.59</v>
      </c>
      <c r="F419" s="692">
        <v>305852.01</v>
      </c>
      <c r="G419" s="692">
        <v>5044132.1399999997</v>
      </c>
      <c r="H419" s="692">
        <v>0</v>
      </c>
      <c r="I419" s="692">
        <f t="shared" si="10"/>
        <v>5044132.1399999997</v>
      </c>
      <c r="J419" s="687"/>
      <c r="K419" s="687"/>
    </row>
    <row r="420" spans="1:12">
      <c r="A420" s="682" t="s">
        <v>4123</v>
      </c>
      <c r="B420" s="682" t="s">
        <v>4124</v>
      </c>
      <c r="C420" s="692">
        <v>3970</v>
      </c>
      <c r="D420" s="692">
        <v>0</v>
      </c>
      <c r="E420" s="692">
        <v>1050</v>
      </c>
      <c r="F420" s="692">
        <v>0</v>
      </c>
      <c r="G420" s="692">
        <v>5020</v>
      </c>
      <c r="H420" s="692">
        <v>0</v>
      </c>
      <c r="I420" s="692">
        <f t="shared" si="10"/>
        <v>5020</v>
      </c>
      <c r="K420" s="692"/>
    </row>
    <row r="421" spans="1:12">
      <c r="A421" s="682" t="s">
        <v>4125</v>
      </c>
      <c r="B421" s="682" t="s">
        <v>4126</v>
      </c>
      <c r="C421" s="692">
        <v>649844.57999999996</v>
      </c>
      <c r="D421" s="692">
        <v>0</v>
      </c>
      <c r="E421" s="692">
        <v>70887.86</v>
      </c>
      <c r="F421" s="692">
        <v>0</v>
      </c>
      <c r="G421" s="692">
        <v>720732.44</v>
      </c>
      <c r="H421" s="692">
        <v>0</v>
      </c>
      <c r="I421" s="692">
        <f t="shared" si="10"/>
        <v>720732.44</v>
      </c>
      <c r="K421" s="692"/>
      <c r="L421" s="687"/>
    </row>
    <row r="422" spans="1:12">
      <c r="A422" s="682" t="s">
        <v>4127</v>
      </c>
      <c r="B422" s="682" t="s">
        <v>4128</v>
      </c>
      <c r="C422" s="692">
        <v>524082.57</v>
      </c>
      <c r="D422" s="692">
        <v>0</v>
      </c>
      <c r="E422" s="692">
        <v>31855</v>
      </c>
      <c r="F422" s="692">
        <v>0</v>
      </c>
      <c r="G422" s="692">
        <v>555937.56999999995</v>
      </c>
      <c r="H422" s="692">
        <v>0</v>
      </c>
      <c r="I422" s="692">
        <f t="shared" si="10"/>
        <v>555937.56999999995</v>
      </c>
      <c r="K422" s="687"/>
    </row>
    <row r="423" spans="1:12">
      <c r="A423" s="682" t="s">
        <v>4129</v>
      </c>
      <c r="B423" s="682" t="s">
        <v>4130</v>
      </c>
      <c r="C423" s="692">
        <v>2219071.39</v>
      </c>
      <c r="D423" s="692">
        <v>0</v>
      </c>
      <c r="E423" s="692">
        <v>349565.32</v>
      </c>
      <c r="F423" s="692">
        <v>23033.7</v>
      </c>
      <c r="G423" s="692">
        <v>2545603.0099999998</v>
      </c>
      <c r="H423" s="692">
        <v>0</v>
      </c>
      <c r="I423" s="692">
        <f t="shared" si="10"/>
        <v>2545603.0099999998</v>
      </c>
    </row>
    <row r="424" spans="1:12">
      <c r="A424" s="682" t="s">
        <v>4131</v>
      </c>
      <c r="B424" s="682" t="s">
        <v>2275</v>
      </c>
      <c r="C424" s="692">
        <v>215565</v>
      </c>
      <c r="D424" s="692">
        <v>0</v>
      </c>
      <c r="E424" s="692">
        <v>21406.75</v>
      </c>
      <c r="F424" s="692">
        <v>0</v>
      </c>
      <c r="G424" s="692">
        <v>236971.75</v>
      </c>
      <c r="H424" s="692">
        <v>0</v>
      </c>
      <c r="I424" s="692">
        <f t="shared" si="10"/>
        <v>236971.75</v>
      </c>
    </row>
    <row r="425" spans="1:12">
      <c r="A425" s="682" t="s">
        <v>4132</v>
      </c>
      <c r="B425" s="682" t="s">
        <v>4133</v>
      </c>
      <c r="C425" s="692">
        <v>86388.33</v>
      </c>
      <c r="D425" s="692">
        <v>0</v>
      </c>
      <c r="E425" s="692">
        <v>0</v>
      </c>
      <c r="F425" s="692">
        <v>0</v>
      </c>
      <c r="G425" s="692">
        <v>86388.33</v>
      </c>
      <c r="H425" s="692">
        <v>0</v>
      </c>
      <c r="I425" s="692">
        <f t="shared" si="10"/>
        <v>86388.33</v>
      </c>
    </row>
    <row r="426" spans="1:12">
      <c r="A426" s="682" t="s">
        <v>4134</v>
      </c>
      <c r="B426" s="682" t="s">
        <v>4135</v>
      </c>
      <c r="C426" s="692">
        <v>298986.33</v>
      </c>
      <c r="D426" s="692">
        <v>0</v>
      </c>
      <c r="E426" s="692">
        <v>736689.7</v>
      </c>
      <c r="F426" s="692">
        <v>307389.08</v>
      </c>
      <c r="G426" s="692">
        <v>728286.95</v>
      </c>
      <c r="H426" s="692">
        <v>0</v>
      </c>
      <c r="I426" s="692">
        <f t="shared" si="10"/>
        <v>728286.95</v>
      </c>
      <c r="K426" s="692"/>
    </row>
    <row r="427" spans="1:12">
      <c r="A427" s="682" t="s">
        <v>4136</v>
      </c>
      <c r="B427" s="682" t="s">
        <v>2278</v>
      </c>
      <c r="C427" s="692">
        <v>344773.86</v>
      </c>
      <c r="D427" s="692">
        <v>0</v>
      </c>
      <c r="E427" s="692">
        <v>72663.19</v>
      </c>
      <c r="F427" s="692">
        <v>56825.45</v>
      </c>
      <c r="G427" s="692">
        <v>360611.6</v>
      </c>
      <c r="H427" s="692">
        <v>0</v>
      </c>
      <c r="I427" s="692">
        <f t="shared" si="10"/>
        <v>360611.6</v>
      </c>
      <c r="K427" s="687"/>
    </row>
    <row r="428" spans="1:12">
      <c r="A428" s="682" t="s">
        <v>4137</v>
      </c>
      <c r="B428" s="682" t="s">
        <v>3530</v>
      </c>
      <c r="C428" s="692">
        <v>87310.07</v>
      </c>
      <c r="D428" s="692">
        <v>0</v>
      </c>
      <c r="E428" s="692">
        <v>10208</v>
      </c>
      <c r="F428" s="692">
        <v>0</v>
      </c>
      <c r="G428" s="692">
        <v>97518.07</v>
      </c>
      <c r="H428" s="692">
        <v>0</v>
      </c>
      <c r="I428" s="692">
        <f t="shared" si="10"/>
        <v>97518.07</v>
      </c>
      <c r="K428" s="692"/>
    </row>
    <row r="429" spans="1:12">
      <c r="A429" s="682" t="s">
        <v>4138</v>
      </c>
      <c r="B429" s="682" t="s">
        <v>2279</v>
      </c>
      <c r="C429" s="692">
        <v>467936.3</v>
      </c>
      <c r="D429" s="692">
        <v>0</v>
      </c>
      <c r="E429" s="692">
        <v>503134.02</v>
      </c>
      <c r="F429" s="692">
        <v>235101.5</v>
      </c>
      <c r="G429" s="692">
        <v>735968.82</v>
      </c>
      <c r="H429" s="692">
        <v>0</v>
      </c>
      <c r="I429" s="692">
        <f t="shared" si="10"/>
        <v>735968.82</v>
      </c>
      <c r="K429" s="687"/>
    </row>
    <row r="430" spans="1:12">
      <c r="A430" s="682" t="s">
        <v>4139</v>
      </c>
      <c r="B430" s="682" t="s">
        <v>2281</v>
      </c>
      <c r="C430" s="692">
        <v>895730.5</v>
      </c>
      <c r="D430" s="692">
        <v>0</v>
      </c>
      <c r="E430" s="692">
        <v>181884.43</v>
      </c>
      <c r="F430" s="692">
        <v>2700</v>
      </c>
      <c r="G430" s="692">
        <v>1074914.93</v>
      </c>
      <c r="H430" s="692">
        <v>0</v>
      </c>
      <c r="I430" s="692">
        <f t="shared" si="10"/>
        <v>1074914.93</v>
      </c>
    </row>
    <row r="431" spans="1:12">
      <c r="A431" s="682" t="s">
        <v>4140</v>
      </c>
      <c r="B431" s="682" t="s">
        <v>2282</v>
      </c>
      <c r="C431" s="692">
        <v>3473086.1</v>
      </c>
      <c r="D431" s="692">
        <v>0</v>
      </c>
      <c r="E431" s="692">
        <v>618198.24</v>
      </c>
      <c r="F431" s="692">
        <v>25200</v>
      </c>
      <c r="G431" s="692">
        <v>4066084.34</v>
      </c>
      <c r="H431" s="692">
        <v>0</v>
      </c>
      <c r="I431" s="692">
        <f t="shared" si="10"/>
        <v>4066084.34</v>
      </c>
    </row>
    <row r="432" spans="1:12">
      <c r="A432" s="682" t="s">
        <v>4141</v>
      </c>
      <c r="B432" s="682" t="s">
        <v>2283</v>
      </c>
      <c r="C432" s="692">
        <v>33431.589999999997</v>
      </c>
      <c r="D432" s="692">
        <v>0</v>
      </c>
      <c r="E432" s="692">
        <v>6417.89</v>
      </c>
      <c r="F432" s="692">
        <v>0</v>
      </c>
      <c r="G432" s="692">
        <v>39849.480000000003</v>
      </c>
      <c r="H432" s="692">
        <v>0</v>
      </c>
      <c r="I432" s="692">
        <f t="shared" si="10"/>
        <v>39849.480000000003</v>
      </c>
    </row>
    <row r="433" spans="1:9">
      <c r="A433" s="682" t="s">
        <v>4142</v>
      </c>
      <c r="B433" s="682" t="s">
        <v>2284</v>
      </c>
      <c r="C433" s="692">
        <v>90912</v>
      </c>
      <c r="D433" s="692">
        <v>0</v>
      </c>
      <c r="E433" s="692">
        <v>19780</v>
      </c>
      <c r="F433" s="692">
        <v>1800</v>
      </c>
      <c r="G433" s="692">
        <v>108892</v>
      </c>
      <c r="H433" s="692">
        <v>0</v>
      </c>
      <c r="I433" s="692">
        <f t="shared" si="10"/>
        <v>108892</v>
      </c>
    </row>
    <row r="434" spans="1:9">
      <c r="A434" s="682" t="s">
        <v>4143</v>
      </c>
      <c r="B434" s="682" t="s">
        <v>2285</v>
      </c>
      <c r="C434" s="692">
        <v>1205329.98</v>
      </c>
      <c r="D434" s="692">
        <v>0</v>
      </c>
      <c r="E434" s="692">
        <v>243892.36</v>
      </c>
      <c r="F434" s="692">
        <v>7400</v>
      </c>
      <c r="G434" s="692">
        <v>1441822.34</v>
      </c>
      <c r="H434" s="692">
        <v>0</v>
      </c>
      <c r="I434" s="692">
        <f t="shared" si="10"/>
        <v>1441822.34</v>
      </c>
    </row>
    <row r="435" spans="1:9">
      <c r="A435" s="682" t="s">
        <v>4144</v>
      </c>
      <c r="B435" s="682" t="s">
        <v>4145</v>
      </c>
      <c r="C435" s="692">
        <v>2245.7600000000002</v>
      </c>
      <c r="D435" s="692">
        <v>0</v>
      </c>
      <c r="E435" s="692">
        <v>0</v>
      </c>
      <c r="F435" s="692">
        <v>0</v>
      </c>
      <c r="G435" s="692">
        <v>2245.7600000000002</v>
      </c>
      <c r="H435" s="692">
        <v>0</v>
      </c>
      <c r="I435" s="692">
        <f t="shared" si="10"/>
        <v>2245.7600000000002</v>
      </c>
    </row>
    <row r="436" spans="1:9">
      <c r="A436" s="682" t="s">
        <v>4146</v>
      </c>
      <c r="B436" s="682" t="s">
        <v>3284</v>
      </c>
      <c r="C436" s="692">
        <v>0</v>
      </c>
      <c r="D436" s="692">
        <v>0</v>
      </c>
      <c r="E436" s="692">
        <v>510</v>
      </c>
      <c r="F436" s="692">
        <v>0</v>
      </c>
      <c r="G436" s="692">
        <v>510</v>
      </c>
      <c r="H436" s="692">
        <v>0</v>
      </c>
      <c r="I436" s="692">
        <f t="shared" si="10"/>
        <v>510</v>
      </c>
    </row>
    <row r="437" spans="1:9">
      <c r="A437" s="682" t="s">
        <v>4147</v>
      </c>
      <c r="B437" s="682" t="s">
        <v>2286</v>
      </c>
      <c r="C437" s="692">
        <v>599490.84</v>
      </c>
      <c r="D437" s="692">
        <v>0</v>
      </c>
      <c r="E437" s="692">
        <v>69782.350000000006</v>
      </c>
      <c r="F437" s="692">
        <v>0</v>
      </c>
      <c r="G437" s="692">
        <v>669273.18999999994</v>
      </c>
      <c r="H437" s="692">
        <v>0</v>
      </c>
      <c r="I437" s="692">
        <f t="shared" si="10"/>
        <v>669273.18999999994</v>
      </c>
    </row>
    <row r="438" spans="1:9">
      <c r="A438" s="682" t="s">
        <v>4148</v>
      </c>
      <c r="B438" s="682" t="s">
        <v>2287</v>
      </c>
      <c r="C438" s="692">
        <v>37825.93</v>
      </c>
      <c r="D438" s="692">
        <v>0</v>
      </c>
      <c r="E438" s="692">
        <v>1686</v>
      </c>
      <c r="F438" s="692">
        <v>0</v>
      </c>
      <c r="G438" s="692">
        <v>39511.93</v>
      </c>
      <c r="H438" s="692">
        <v>0</v>
      </c>
      <c r="I438" s="692">
        <f t="shared" si="10"/>
        <v>39511.93</v>
      </c>
    </row>
    <row r="439" spans="1:9">
      <c r="A439" s="682" t="s">
        <v>4149</v>
      </c>
      <c r="B439" s="682" t="s">
        <v>3286</v>
      </c>
      <c r="C439" s="692">
        <v>3798.25</v>
      </c>
      <c r="D439" s="692">
        <v>0</v>
      </c>
      <c r="E439" s="692">
        <v>300</v>
      </c>
      <c r="F439" s="692">
        <v>0</v>
      </c>
      <c r="G439" s="692">
        <v>4098.25</v>
      </c>
      <c r="H439" s="692">
        <v>0</v>
      </c>
      <c r="I439" s="692">
        <f t="shared" si="10"/>
        <v>4098.25</v>
      </c>
    </row>
    <row r="440" spans="1:9">
      <c r="A440" s="682" t="s">
        <v>4150</v>
      </c>
      <c r="B440" s="682" t="s">
        <v>2288</v>
      </c>
      <c r="C440" s="692">
        <v>6758.36</v>
      </c>
      <c r="D440" s="692">
        <v>0</v>
      </c>
      <c r="E440" s="692">
        <v>2525.6799999999998</v>
      </c>
      <c r="F440" s="692">
        <v>0</v>
      </c>
      <c r="G440" s="692">
        <v>9284.0400000000009</v>
      </c>
      <c r="H440" s="692">
        <v>0</v>
      </c>
      <c r="I440" s="692">
        <f t="shared" si="10"/>
        <v>9284.0400000000009</v>
      </c>
    </row>
    <row r="441" spans="1:9">
      <c r="A441" s="682" t="s">
        <v>4151</v>
      </c>
      <c r="B441" s="682" t="s">
        <v>4152</v>
      </c>
      <c r="C441" s="692">
        <v>100</v>
      </c>
      <c r="D441" s="692">
        <v>0</v>
      </c>
      <c r="E441" s="692">
        <v>369.5</v>
      </c>
      <c r="F441" s="692">
        <v>150</v>
      </c>
      <c r="G441" s="692">
        <v>319.5</v>
      </c>
      <c r="H441" s="692">
        <v>0</v>
      </c>
      <c r="I441" s="692">
        <f t="shared" si="10"/>
        <v>319.5</v>
      </c>
    </row>
    <row r="442" spans="1:9">
      <c r="A442" s="682" t="s">
        <v>4153</v>
      </c>
      <c r="B442" s="682" t="s">
        <v>3288</v>
      </c>
      <c r="C442" s="692">
        <v>560</v>
      </c>
      <c r="D442" s="692">
        <v>0</v>
      </c>
      <c r="E442" s="692">
        <v>0</v>
      </c>
      <c r="F442" s="692">
        <v>0</v>
      </c>
      <c r="G442" s="692">
        <v>560</v>
      </c>
      <c r="H442" s="692">
        <v>0</v>
      </c>
      <c r="I442" s="692">
        <f t="shared" si="10"/>
        <v>560</v>
      </c>
    </row>
    <row r="443" spans="1:9">
      <c r="A443" s="682" t="s">
        <v>4154</v>
      </c>
      <c r="B443" s="682" t="s">
        <v>2289</v>
      </c>
      <c r="C443" s="692">
        <v>396021.74</v>
      </c>
      <c r="D443" s="692">
        <v>0</v>
      </c>
      <c r="E443" s="692">
        <v>83666.41</v>
      </c>
      <c r="F443" s="692">
        <v>0</v>
      </c>
      <c r="G443" s="692">
        <v>479688.15</v>
      </c>
      <c r="H443" s="692">
        <v>0</v>
      </c>
      <c r="I443" s="692">
        <f t="shared" si="10"/>
        <v>479688.15</v>
      </c>
    </row>
    <row r="444" spans="1:9">
      <c r="A444" s="682" t="s">
        <v>4155</v>
      </c>
      <c r="B444" s="682" t="s">
        <v>3290</v>
      </c>
      <c r="C444" s="692">
        <v>0</v>
      </c>
      <c r="D444" s="692">
        <v>0</v>
      </c>
      <c r="E444" s="692">
        <v>250</v>
      </c>
      <c r="F444" s="692">
        <v>0</v>
      </c>
      <c r="G444" s="692">
        <v>250</v>
      </c>
      <c r="H444" s="692">
        <v>0</v>
      </c>
      <c r="I444" s="692">
        <f t="shared" si="10"/>
        <v>250</v>
      </c>
    </row>
    <row r="445" spans="1:9">
      <c r="A445" s="682" t="s">
        <v>4156</v>
      </c>
      <c r="B445" s="682" t="s">
        <v>3292</v>
      </c>
      <c r="C445" s="692">
        <v>11890</v>
      </c>
      <c r="D445" s="692">
        <v>0</v>
      </c>
      <c r="E445" s="692">
        <v>9900</v>
      </c>
      <c r="F445" s="692">
        <v>0</v>
      </c>
      <c r="G445" s="692">
        <v>21790</v>
      </c>
      <c r="H445" s="692">
        <v>0</v>
      </c>
      <c r="I445" s="692">
        <f t="shared" si="10"/>
        <v>21790</v>
      </c>
    </row>
    <row r="446" spans="1:9">
      <c r="A446" s="682" t="s">
        <v>4157</v>
      </c>
      <c r="B446" s="682" t="s">
        <v>2290</v>
      </c>
      <c r="C446" s="692">
        <v>778684.08</v>
      </c>
      <c r="D446" s="692">
        <v>0</v>
      </c>
      <c r="E446" s="692">
        <v>272757.13</v>
      </c>
      <c r="F446" s="692">
        <v>4000</v>
      </c>
      <c r="G446" s="692">
        <v>1047441.21</v>
      </c>
      <c r="H446" s="692">
        <v>0</v>
      </c>
      <c r="I446" s="692">
        <f t="shared" si="10"/>
        <v>1047441.21</v>
      </c>
    </row>
    <row r="447" spans="1:9">
      <c r="A447" s="682" t="s">
        <v>4158</v>
      </c>
      <c r="B447" s="682" t="s">
        <v>3296</v>
      </c>
      <c r="C447" s="692">
        <v>3153</v>
      </c>
      <c r="D447" s="692">
        <v>0</v>
      </c>
      <c r="E447" s="692">
        <v>95</v>
      </c>
      <c r="F447" s="692">
        <v>0</v>
      </c>
      <c r="G447" s="692">
        <v>3248</v>
      </c>
      <c r="H447" s="692">
        <v>0</v>
      </c>
      <c r="I447" s="692">
        <f t="shared" si="10"/>
        <v>3248</v>
      </c>
    </row>
    <row r="448" spans="1:9">
      <c r="A448" s="682" t="s">
        <v>4159</v>
      </c>
      <c r="B448" s="682" t="s">
        <v>3300</v>
      </c>
      <c r="C448" s="692">
        <v>540</v>
      </c>
      <c r="D448" s="692">
        <v>0</v>
      </c>
      <c r="E448" s="692">
        <v>0</v>
      </c>
      <c r="F448" s="692">
        <v>0</v>
      </c>
      <c r="G448" s="692">
        <v>540</v>
      </c>
      <c r="H448" s="692">
        <v>0</v>
      </c>
      <c r="I448" s="692">
        <f t="shared" si="10"/>
        <v>540</v>
      </c>
    </row>
    <row r="449" spans="1:9">
      <c r="A449" s="682" t="s">
        <v>4160</v>
      </c>
      <c r="B449" s="682" t="s">
        <v>4161</v>
      </c>
      <c r="C449" s="692">
        <v>12603.17</v>
      </c>
      <c r="D449" s="692">
        <v>0</v>
      </c>
      <c r="E449" s="692">
        <v>0</v>
      </c>
      <c r="F449" s="692">
        <v>0</v>
      </c>
      <c r="G449" s="692">
        <v>12603.17</v>
      </c>
      <c r="H449" s="692">
        <v>0</v>
      </c>
      <c r="I449" s="692">
        <f t="shared" si="10"/>
        <v>12603.17</v>
      </c>
    </row>
    <row r="450" spans="1:9">
      <c r="A450" s="682" t="s">
        <v>4162</v>
      </c>
      <c r="B450" s="682" t="s">
        <v>3302</v>
      </c>
      <c r="C450" s="692">
        <v>5471</v>
      </c>
      <c r="D450" s="692">
        <v>0</v>
      </c>
      <c r="E450" s="692">
        <v>2732</v>
      </c>
      <c r="F450" s="692">
        <v>0</v>
      </c>
      <c r="G450" s="692">
        <v>8203</v>
      </c>
      <c r="H450" s="692">
        <v>0</v>
      </c>
      <c r="I450" s="692">
        <f t="shared" si="10"/>
        <v>8203</v>
      </c>
    </row>
    <row r="451" spans="1:9">
      <c r="A451" s="682" t="s">
        <v>4163</v>
      </c>
      <c r="B451" s="682" t="s">
        <v>2292</v>
      </c>
      <c r="C451" s="692">
        <v>44831.11</v>
      </c>
      <c r="D451" s="692">
        <v>0</v>
      </c>
      <c r="E451" s="692">
        <v>5544.8</v>
      </c>
      <c r="F451" s="692">
        <v>65.5</v>
      </c>
      <c r="G451" s="692">
        <v>50310.41</v>
      </c>
      <c r="H451" s="692">
        <v>0</v>
      </c>
      <c r="I451" s="692">
        <f t="shared" si="10"/>
        <v>50310.41</v>
      </c>
    </row>
    <row r="452" spans="1:9">
      <c r="A452" s="682" t="s">
        <v>4164</v>
      </c>
      <c r="B452" s="682" t="s">
        <v>2293</v>
      </c>
      <c r="C452" s="692">
        <v>722</v>
      </c>
      <c r="D452" s="692">
        <v>0</v>
      </c>
      <c r="E452" s="692">
        <v>0</v>
      </c>
      <c r="F452" s="692">
        <v>0</v>
      </c>
      <c r="G452" s="692">
        <v>722</v>
      </c>
      <c r="H452" s="692">
        <v>0</v>
      </c>
      <c r="I452" s="692">
        <f t="shared" si="10"/>
        <v>722</v>
      </c>
    </row>
    <row r="453" spans="1:9">
      <c r="A453" s="682" t="s">
        <v>4165</v>
      </c>
      <c r="B453" s="682" t="s">
        <v>2674</v>
      </c>
      <c r="C453" s="692">
        <v>0</v>
      </c>
      <c r="D453" s="692">
        <v>121383.58</v>
      </c>
      <c r="E453" s="692">
        <v>0</v>
      </c>
      <c r="F453" s="692">
        <v>0</v>
      </c>
      <c r="G453" s="692">
        <v>0</v>
      </c>
      <c r="H453" s="692">
        <v>121383.58</v>
      </c>
      <c r="I453" s="692">
        <f t="shared" si="10"/>
        <v>-121383.58</v>
      </c>
    </row>
    <row r="454" spans="1:9">
      <c r="A454" s="682" t="s">
        <v>4166</v>
      </c>
      <c r="B454" s="682" t="s">
        <v>3306</v>
      </c>
      <c r="C454" s="692">
        <v>1462357.15</v>
      </c>
      <c r="D454" s="692">
        <v>0</v>
      </c>
      <c r="E454" s="692">
        <v>396912.31</v>
      </c>
      <c r="F454" s="692">
        <v>0</v>
      </c>
      <c r="G454" s="692">
        <v>1859269.46</v>
      </c>
      <c r="H454" s="692">
        <v>0</v>
      </c>
      <c r="I454" s="692">
        <f t="shared" si="10"/>
        <v>1859269.46</v>
      </c>
    </row>
    <row r="455" spans="1:9">
      <c r="A455" s="682" t="s">
        <v>4167</v>
      </c>
      <c r="B455" s="682" t="s">
        <v>3308</v>
      </c>
      <c r="C455" s="692">
        <v>16922.78</v>
      </c>
      <c r="D455" s="692">
        <v>0</v>
      </c>
      <c r="E455" s="692">
        <v>5023.08</v>
      </c>
      <c r="F455" s="692">
        <v>15001</v>
      </c>
      <c r="G455" s="692">
        <v>6944.86</v>
      </c>
      <c r="H455" s="692">
        <v>0</v>
      </c>
      <c r="I455" s="692">
        <f t="shared" si="10"/>
        <v>6944.86</v>
      </c>
    </row>
    <row r="456" spans="1:9">
      <c r="A456" s="682" t="s">
        <v>4168</v>
      </c>
      <c r="B456" s="682" t="s">
        <v>2295</v>
      </c>
      <c r="C456" s="692">
        <v>3486.5</v>
      </c>
      <c r="D456" s="692">
        <v>0</v>
      </c>
      <c r="E456" s="692">
        <v>2599</v>
      </c>
      <c r="F456" s="692">
        <v>0</v>
      </c>
      <c r="G456" s="692">
        <v>6085.5</v>
      </c>
      <c r="H456" s="692">
        <v>0</v>
      </c>
      <c r="I456" s="692">
        <f t="shared" si="10"/>
        <v>6085.5</v>
      </c>
    </row>
    <row r="457" spans="1:9">
      <c r="A457" s="682" t="s">
        <v>4169</v>
      </c>
      <c r="B457" s="682" t="s">
        <v>3310</v>
      </c>
      <c r="C457" s="692">
        <v>15989.07</v>
      </c>
      <c r="D457" s="692">
        <v>0</v>
      </c>
      <c r="E457" s="692">
        <v>31841.96</v>
      </c>
      <c r="F457" s="692">
        <v>136</v>
      </c>
      <c r="G457" s="692">
        <v>47695.03</v>
      </c>
      <c r="H457" s="692">
        <v>0</v>
      </c>
      <c r="I457" s="692">
        <f t="shared" si="10"/>
        <v>47695.03</v>
      </c>
    </row>
    <row r="458" spans="1:9">
      <c r="A458" s="682" t="s">
        <v>4170</v>
      </c>
      <c r="B458" s="682" t="s">
        <v>2296</v>
      </c>
      <c r="C458" s="692">
        <v>105141.25</v>
      </c>
      <c r="D458" s="692">
        <v>0</v>
      </c>
      <c r="E458" s="692">
        <v>13909.17</v>
      </c>
      <c r="F458" s="692">
        <v>0</v>
      </c>
      <c r="G458" s="692">
        <v>119050.42</v>
      </c>
      <c r="H458" s="692">
        <v>0</v>
      </c>
      <c r="I458" s="692">
        <f t="shared" si="10"/>
        <v>119050.42</v>
      </c>
    </row>
    <row r="459" spans="1:9">
      <c r="A459" s="682" t="s">
        <v>4171</v>
      </c>
      <c r="B459" s="682" t="s">
        <v>2297</v>
      </c>
      <c r="C459" s="692">
        <v>1024307.52</v>
      </c>
      <c r="D459" s="692">
        <v>0</v>
      </c>
      <c r="E459" s="692">
        <v>203693.11</v>
      </c>
      <c r="F459" s="692">
        <v>0</v>
      </c>
      <c r="G459" s="692">
        <v>1228000.6299999999</v>
      </c>
      <c r="H459" s="692">
        <v>0</v>
      </c>
      <c r="I459" s="692">
        <f t="shared" si="10"/>
        <v>1228000.6299999999</v>
      </c>
    </row>
    <row r="460" spans="1:9">
      <c r="A460" s="682" t="s">
        <v>4172</v>
      </c>
      <c r="B460" s="682" t="s">
        <v>3312</v>
      </c>
      <c r="C460" s="692">
        <v>14020.17</v>
      </c>
      <c r="D460" s="692">
        <v>0</v>
      </c>
      <c r="E460" s="692">
        <v>0</v>
      </c>
      <c r="F460" s="692">
        <v>0</v>
      </c>
      <c r="G460" s="692">
        <v>14020.17</v>
      </c>
      <c r="H460" s="692">
        <v>0</v>
      </c>
      <c r="I460" s="692">
        <f t="shared" si="10"/>
        <v>14020.17</v>
      </c>
    </row>
    <row r="461" spans="1:9">
      <c r="A461" s="682" t="s">
        <v>4173</v>
      </c>
      <c r="B461" s="682" t="s">
        <v>2298</v>
      </c>
      <c r="C461" s="692">
        <v>171985.28</v>
      </c>
      <c r="D461" s="692">
        <v>0</v>
      </c>
      <c r="E461" s="692">
        <v>35119.279999999999</v>
      </c>
      <c r="F461" s="692">
        <v>1010.5</v>
      </c>
      <c r="G461" s="692">
        <v>206094.06</v>
      </c>
      <c r="H461" s="692">
        <v>0</v>
      </c>
      <c r="I461" s="692">
        <f t="shared" si="10"/>
        <v>206094.06</v>
      </c>
    </row>
    <row r="462" spans="1:9">
      <c r="A462" s="682" t="s">
        <v>4174</v>
      </c>
      <c r="B462" s="682" t="s">
        <v>2299</v>
      </c>
      <c r="C462" s="692">
        <v>765469.16</v>
      </c>
      <c r="D462" s="692">
        <v>0</v>
      </c>
      <c r="E462" s="692">
        <v>117938.46</v>
      </c>
      <c r="F462" s="692">
        <v>185549.48</v>
      </c>
      <c r="G462" s="692">
        <v>697858.14</v>
      </c>
      <c r="H462" s="692">
        <v>0</v>
      </c>
      <c r="I462" s="692">
        <f t="shared" si="10"/>
        <v>697858.14</v>
      </c>
    </row>
    <row r="463" spans="1:9">
      <c r="A463" s="682" t="s">
        <v>4175</v>
      </c>
      <c r="B463" s="682" t="s">
        <v>4176</v>
      </c>
      <c r="C463" s="692">
        <v>54521.51</v>
      </c>
      <c r="D463" s="692">
        <v>0</v>
      </c>
      <c r="E463" s="692">
        <v>3679.84</v>
      </c>
      <c r="F463" s="692">
        <v>0</v>
      </c>
      <c r="G463" s="692">
        <v>58201.35</v>
      </c>
      <c r="H463" s="692">
        <v>0</v>
      </c>
      <c r="I463" s="692">
        <f t="shared" si="10"/>
        <v>58201.35</v>
      </c>
    </row>
    <row r="464" spans="1:9">
      <c r="A464" s="682" t="s">
        <v>4177</v>
      </c>
      <c r="B464" s="682" t="s">
        <v>2301</v>
      </c>
      <c r="C464" s="692">
        <v>2520</v>
      </c>
      <c r="D464" s="692">
        <v>0</v>
      </c>
      <c r="E464" s="692">
        <v>0</v>
      </c>
      <c r="F464" s="692">
        <v>0</v>
      </c>
      <c r="G464" s="692">
        <v>2520</v>
      </c>
      <c r="H464" s="692">
        <v>0</v>
      </c>
      <c r="I464" s="692">
        <f t="shared" si="10"/>
        <v>2520</v>
      </c>
    </row>
    <row r="465" spans="1:9">
      <c r="A465" s="682" t="s">
        <v>4178</v>
      </c>
      <c r="B465" s="682" t="s">
        <v>2302</v>
      </c>
      <c r="C465" s="692">
        <v>63832.98</v>
      </c>
      <c r="D465" s="692">
        <v>0</v>
      </c>
      <c r="E465" s="692">
        <v>37625</v>
      </c>
      <c r="F465" s="692">
        <v>4840</v>
      </c>
      <c r="G465" s="692">
        <v>96617.98</v>
      </c>
      <c r="H465" s="692">
        <v>0</v>
      </c>
      <c r="I465" s="692">
        <f t="shared" ref="I465:I509" si="11">G465-H465</f>
        <v>96617.98</v>
      </c>
    </row>
    <row r="466" spans="1:9">
      <c r="A466" s="682" t="s">
        <v>4179</v>
      </c>
      <c r="B466" s="682" t="s">
        <v>4180</v>
      </c>
      <c r="C466" s="692">
        <v>29861.46</v>
      </c>
      <c r="D466" s="692">
        <v>0</v>
      </c>
      <c r="E466" s="692">
        <v>8695.09</v>
      </c>
      <c r="F466" s="692">
        <v>0</v>
      </c>
      <c r="G466" s="692">
        <v>38556.550000000003</v>
      </c>
      <c r="H466" s="692">
        <v>0</v>
      </c>
      <c r="I466" s="692">
        <f t="shared" si="11"/>
        <v>38556.550000000003</v>
      </c>
    </row>
    <row r="467" spans="1:9">
      <c r="A467" s="682" t="s">
        <v>4181</v>
      </c>
      <c r="B467" s="682" t="s">
        <v>2304</v>
      </c>
      <c r="C467" s="692">
        <v>121228.5</v>
      </c>
      <c r="D467" s="692">
        <v>0</v>
      </c>
      <c r="E467" s="692">
        <v>30460.06</v>
      </c>
      <c r="F467" s="692">
        <v>0</v>
      </c>
      <c r="G467" s="692">
        <v>151688.56</v>
      </c>
      <c r="H467" s="692">
        <v>0</v>
      </c>
      <c r="I467" s="692">
        <f t="shared" si="11"/>
        <v>151688.56</v>
      </c>
    </row>
    <row r="468" spans="1:9">
      <c r="A468" s="682" t="s">
        <v>4182</v>
      </c>
      <c r="B468" s="682" t="s">
        <v>2305</v>
      </c>
      <c r="C468" s="692">
        <v>19242.599999999999</v>
      </c>
      <c r="D468" s="692">
        <v>0</v>
      </c>
      <c r="E468" s="692">
        <v>3375</v>
      </c>
      <c r="F468" s="692">
        <v>0</v>
      </c>
      <c r="G468" s="692">
        <v>22617.599999999999</v>
      </c>
      <c r="H468" s="692">
        <v>0</v>
      </c>
      <c r="I468" s="692">
        <f t="shared" si="11"/>
        <v>22617.599999999999</v>
      </c>
    </row>
    <row r="469" spans="1:9">
      <c r="A469" s="682" t="s">
        <v>4183</v>
      </c>
      <c r="B469" s="682" t="s">
        <v>2306</v>
      </c>
      <c r="C469" s="692">
        <v>15182.49</v>
      </c>
      <c r="D469" s="692">
        <v>0</v>
      </c>
      <c r="E469" s="692">
        <v>3155.28</v>
      </c>
      <c r="F469" s="692">
        <v>0</v>
      </c>
      <c r="G469" s="692">
        <v>18337.77</v>
      </c>
      <c r="H469" s="692">
        <v>0</v>
      </c>
      <c r="I469" s="692">
        <f t="shared" si="11"/>
        <v>18337.77</v>
      </c>
    </row>
    <row r="470" spans="1:9">
      <c r="A470" s="682" t="s">
        <v>4184</v>
      </c>
      <c r="B470" s="682" t="s">
        <v>2307</v>
      </c>
      <c r="C470" s="692">
        <v>6811.96</v>
      </c>
      <c r="D470" s="692">
        <v>0</v>
      </c>
      <c r="E470" s="692">
        <v>1308.96</v>
      </c>
      <c r="F470" s="692">
        <v>0</v>
      </c>
      <c r="G470" s="692">
        <v>8120.92</v>
      </c>
      <c r="H470" s="692">
        <v>0</v>
      </c>
      <c r="I470" s="692">
        <f t="shared" si="11"/>
        <v>8120.92</v>
      </c>
    </row>
    <row r="471" spans="1:9">
      <c r="A471" s="682" t="s">
        <v>4185</v>
      </c>
      <c r="B471" s="682" t="s">
        <v>2308</v>
      </c>
      <c r="C471" s="692">
        <v>43675.94</v>
      </c>
      <c r="D471" s="692">
        <v>0</v>
      </c>
      <c r="E471" s="692">
        <v>10217.26</v>
      </c>
      <c r="F471" s="692">
        <v>0</v>
      </c>
      <c r="G471" s="692">
        <v>53893.2</v>
      </c>
      <c r="H471" s="692">
        <v>0</v>
      </c>
      <c r="I471" s="692">
        <f t="shared" si="11"/>
        <v>53893.2</v>
      </c>
    </row>
    <row r="472" spans="1:9">
      <c r="A472" s="682" t="s">
        <v>4186</v>
      </c>
      <c r="B472" s="682" t="s">
        <v>2309</v>
      </c>
      <c r="C472" s="692">
        <v>611937.71</v>
      </c>
      <c r="D472" s="692">
        <v>0</v>
      </c>
      <c r="E472" s="692">
        <v>93363.199999999997</v>
      </c>
      <c r="F472" s="692">
        <v>40</v>
      </c>
      <c r="G472" s="692">
        <v>705260.91</v>
      </c>
      <c r="H472" s="692">
        <v>0</v>
      </c>
      <c r="I472" s="692">
        <f t="shared" si="11"/>
        <v>705260.91</v>
      </c>
    </row>
    <row r="473" spans="1:9">
      <c r="A473" s="682" t="s">
        <v>4187</v>
      </c>
      <c r="B473" s="682" t="s">
        <v>3316</v>
      </c>
      <c r="C473" s="692">
        <v>10</v>
      </c>
      <c r="D473" s="692">
        <v>0</v>
      </c>
      <c r="E473" s="692">
        <v>320</v>
      </c>
      <c r="F473" s="692">
        <v>0</v>
      </c>
      <c r="G473" s="692">
        <v>330</v>
      </c>
      <c r="H473" s="692">
        <v>0</v>
      </c>
      <c r="I473" s="692">
        <f t="shared" si="11"/>
        <v>330</v>
      </c>
    </row>
    <row r="474" spans="1:9">
      <c r="A474" s="682" t="s">
        <v>4188</v>
      </c>
      <c r="B474" s="682" t="s">
        <v>2310</v>
      </c>
      <c r="C474" s="692">
        <v>139437.38</v>
      </c>
      <c r="D474" s="692">
        <v>0</v>
      </c>
      <c r="E474" s="692">
        <v>30488</v>
      </c>
      <c r="F474" s="692">
        <v>0</v>
      </c>
      <c r="G474" s="692">
        <v>169925.38</v>
      </c>
      <c r="H474" s="692">
        <v>0</v>
      </c>
      <c r="I474" s="692">
        <f t="shared" si="11"/>
        <v>169925.38</v>
      </c>
    </row>
    <row r="475" spans="1:9">
      <c r="A475" s="682" t="s">
        <v>4189</v>
      </c>
      <c r="B475" s="682" t="s">
        <v>3318</v>
      </c>
      <c r="C475" s="692">
        <v>4000</v>
      </c>
      <c r="D475" s="692">
        <v>0</v>
      </c>
      <c r="E475" s="692">
        <v>0</v>
      </c>
      <c r="F475" s="692">
        <v>0</v>
      </c>
      <c r="G475" s="692">
        <v>4000</v>
      </c>
      <c r="H475" s="692">
        <v>0</v>
      </c>
      <c r="I475" s="692">
        <f t="shared" si="11"/>
        <v>4000</v>
      </c>
    </row>
    <row r="476" spans="1:9">
      <c r="A476" s="682" t="s">
        <v>4190</v>
      </c>
      <c r="B476" s="682" t="s">
        <v>2311</v>
      </c>
      <c r="C476" s="692">
        <v>297.5</v>
      </c>
      <c r="D476" s="692">
        <v>0</v>
      </c>
      <c r="E476" s="692">
        <v>0</v>
      </c>
      <c r="F476" s="692">
        <v>0</v>
      </c>
      <c r="G476" s="692">
        <v>297.5</v>
      </c>
      <c r="H476" s="692">
        <v>0</v>
      </c>
      <c r="I476" s="692">
        <f t="shared" si="11"/>
        <v>297.5</v>
      </c>
    </row>
    <row r="477" spans="1:9">
      <c r="A477" s="682" t="s">
        <v>4191</v>
      </c>
      <c r="B477" s="682" t="s">
        <v>3538</v>
      </c>
      <c r="C477" s="692">
        <v>54640.44</v>
      </c>
      <c r="D477" s="692">
        <v>0</v>
      </c>
      <c r="E477" s="692">
        <v>400</v>
      </c>
      <c r="F477" s="692">
        <v>0</v>
      </c>
      <c r="G477" s="692">
        <v>55040.44</v>
      </c>
      <c r="H477" s="692">
        <v>0</v>
      </c>
      <c r="I477" s="692">
        <f t="shared" si="11"/>
        <v>55040.44</v>
      </c>
    </row>
    <row r="478" spans="1:9">
      <c r="A478" s="682" t="s">
        <v>4192</v>
      </c>
      <c r="B478" s="682" t="s">
        <v>3539</v>
      </c>
      <c r="C478" s="692">
        <v>378288.64000000001</v>
      </c>
      <c r="D478" s="692">
        <v>0</v>
      </c>
      <c r="E478" s="692">
        <v>54726.84</v>
      </c>
      <c r="F478" s="692">
        <v>0</v>
      </c>
      <c r="G478" s="692">
        <v>433015.48</v>
      </c>
      <c r="H478" s="692">
        <v>0</v>
      </c>
      <c r="I478" s="692">
        <f t="shared" si="11"/>
        <v>433015.48</v>
      </c>
    </row>
    <row r="479" spans="1:9">
      <c r="A479" s="682" t="s">
        <v>4193</v>
      </c>
      <c r="B479" s="682" t="s">
        <v>2313</v>
      </c>
      <c r="C479" s="692">
        <v>131869.13</v>
      </c>
      <c r="D479" s="692">
        <v>0</v>
      </c>
      <c r="E479" s="692">
        <v>29410.63</v>
      </c>
      <c r="F479" s="692">
        <v>0</v>
      </c>
      <c r="G479" s="692">
        <v>161279.76</v>
      </c>
      <c r="H479" s="692">
        <v>0</v>
      </c>
      <c r="I479" s="692">
        <f t="shared" si="11"/>
        <v>161279.76</v>
      </c>
    </row>
    <row r="480" spans="1:9">
      <c r="A480" s="682" t="s">
        <v>4194</v>
      </c>
      <c r="B480" s="682" t="s">
        <v>3320</v>
      </c>
      <c r="C480" s="692">
        <v>193508.29</v>
      </c>
      <c r="D480" s="692">
        <v>0</v>
      </c>
      <c r="E480" s="692">
        <v>52051.38</v>
      </c>
      <c r="F480" s="692">
        <v>0</v>
      </c>
      <c r="G480" s="692">
        <v>245559.67</v>
      </c>
      <c r="H480" s="692">
        <v>0</v>
      </c>
      <c r="I480" s="692">
        <f t="shared" si="11"/>
        <v>245559.67</v>
      </c>
    </row>
    <row r="481" spans="1:11">
      <c r="A481" s="682" t="s">
        <v>4195</v>
      </c>
      <c r="B481" s="682" t="s">
        <v>4196</v>
      </c>
      <c r="C481" s="692">
        <v>96518.9</v>
      </c>
      <c r="D481" s="692">
        <v>0</v>
      </c>
      <c r="E481" s="692">
        <v>120240</v>
      </c>
      <c r="F481" s="692">
        <v>0</v>
      </c>
      <c r="G481" s="692">
        <v>216758.9</v>
      </c>
      <c r="H481" s="692">
        <v>0</v>
      </c>
      <c r="I481" s="692">
        <f t="shared" si="11"/>
        <v>216758.9</v>
      </c>
    </row>
    <row r="482" spans="1:11">
      <c r="A482" s="682" t="s">
        <v>4197</v>
      </c>
      <c r="B482" s="682" t="s">
        <v>4198</v>
      </c>
      <c r="C482" s="692">
        <v>8623.32</v>
      </c>
      <c r="D482" s="692">
        <v>0</v>
      </c>
      <c r="E482" s="692">
        <v>50</v>
      </c>
      <c r="F482" s="692">
        <v>0</v>
      </c>
      <c r="G482" s="692">
        <v>8673.32</v>
      </c>
      <c r="H482" s="692">
        <v>0</v>
      </c>
      <c r="I482" s="692">
        <f t="shared" si="11"/>
        <v>8673.32</v>
      </c>
    </row>
    <row r="483" spans="1:11">
      <c r="A483" s="682" t="s">
        <v>4199</v>
      </c>
      <c r="B483" s="682" t="s">
        <v>2314</v>
      </c>
      <c r="C483" s="692">
        <v>273806.62</v>
      </c>
      <c r="D483" s="692">
        <v>0</v>
      </c>
      <c r="E483" s="692">
        <v>71649.009999999995</v>
      </c>
      <c r="F483" s="692">
        <v>0</v>
      </c>
      <c r="G483" s="692">
        <v>345455.63</v>
      </c>
      <c r="H483" s="692">
        <v>0</v>
      </c>
      <c r="I483" s="692">
        <f t="shared" si="11"/>
        <v>345455.63</v>
      </c>
    </row>
    <row r="484" spans="1:11">
      <c r="A484" s="682" t="s">
        <v>4200</v>
      </c>
      <c r="B484" s="682" t="s">
        <v>4201</v>
      </c>
      <c r="C484" s="692">
        <v>0</v>
      </c>
      <c r="D484" s="692">
        <v>0</v>
      </c>
      <c r="E484" s="692">
        <v>16537.599999999999</v>
      </c>
      <c r="F484" s="692">
        <v>0</v>
      </c>
      <c r="G484" s="692">
        <v>16537.599999999999</v>
      </c>
      <c r="H484" s="692">
        <v>0</v>
      </c>
      <c r="I484" s="692">
        <f t="shared" si="11"/>
        <v>16537.599999999999</v>
      </c>
    </row>
    <row r="485" spans="1:11">
      <c r="A485" s="682" t="s">
        <v>4202</v>
      </c>
      <c r="B485" s="682" t="s">
        <v>2316</v>
      </c>
      <c r="C485" s="692">
        <v>0</v>
      </c>
      <c r="D485" s="692">
        <v>5.77</v>
      </c>
      <c r="E485" s="692">
        <f>17183+350713.86</f>
        <v>367896.86</v>
      </c>
      <c r="F485" s="692">
        <v>153.62</v>
      </c>
      <c r="G485" s="692">
        <f>+C485+E485-D485-F485</f>
        <v>367737.47</v>
      </c>
      <c r="H485" s="692">
        <v>0</v>
      </c>
      <c r="I485" s="692">
        <f t="shared" si="11"/>
        <v>367737.47</v>
      </c>
    </row>
    <row r="486" spans="1:11">
      <c r="A486" s="682" t="s">
        <v>4203</v>
      </c>
      <c r="B486" s="682" t="s">
        <v>3541</v>
      </c>
      <c r="C486" s="692">
        <v>2000</v>
      </c>
      <c r="D486" s="692">
        <v>0</v>
      </c>
      <c r="E486" s="692">
        <v>0</v>
      </c>
      <c r="F486" s="692">
        <v>0</v>
      </c>
      <c r="G486" s="692">
        <v>2000</v>
      </c>
      <c r="H486" s="692">
        <v>0</v>
      </c>
      <c r="I486" s="692">
        <f t="shared" si="11"/>
        <v>2000</v>
      </c>
    </row>
    <row r="487" spans="1:11">
      <c r="A487" s="696" t="s">
        <v>4204</v>
      </c>
      <c r="B487" s="696" t="s">
        <v>3546</v>
      </c>
      <c r="C487" s="698">
        <v>0</v>
      </c>
      <c r="D487" s="698">
        <v>0</v>
      </c>
      <c r="E487" s="698">
        <v>233099.13</v>
      </c>
      <c r="F487" s="698">
        <v>0</v>
      </c>
      <c r="G487" s="698">
        <f>233099.13+10015.05+30</f>
        <v>243144.18</v>
      </c>
      <c r="H487" s="698">
        <v>0</v>
      </c>
      <c r="I487" s="698">
        <f t="shared" si="11"/>
        <v>243144.18</v>
      </c>
      <c r="J487" s="691"/>
    </row>
    <row r="488" spans="1:11">
      <c r="A488" s="696" t="s">
        <v>4223</v>
      </c>
      <c r="B488" s="696" t="s">
        <v>2318</v>
      </c>
      <c r="C488" s="698">
        <v>1391797.71</v>
      </c>
      <c r="D488" s="698">
        <v>0</v>
      </c>
      <c r="E488" s="698">
        <v>288048.69</v>
      </c>
      <c r="F488" s="698">
        <v>0</v>
      </c>
      <c r="G488" s="698">
        <v>1679846.3999999999</v>
      </c>
      <c r="H488" s="698">
        <v>10015</v>
      </c>
      <c r="I488" s="698">
        <f t="shared" si="11"/>
        <v>1669831.4</v>
      </c>
    </row>
    <row r="489" spans="1:11">
      <c r="A489" s="682" t="s">
        <v>4224</v>
      </c>
      <c r="B489" s="682" t="s">
        <v>2319</v>
      </c>
      <c r="C489" s="692">
        <v>457104.24</v>
      </c>
      <c r="D489" s="692">
        <v>0</v>
      </c>
      <c r="E489" s="692">
        <v>94375.61</v>
      </c>
      <c r="F489" s="692">
        <v>0</v>
      </c>
      <c r="G489" s="692">
        <v>551479.85</v>
      </c>
      <c r="H489" s="692">
        <v>30</v>
      </c>
      <c r="I489" s="692">
        <f t="shared" si="11"/>
        <v>551449.85</v>
      </c>
    </row>
    <row r="490" spans="1:11">
      <c r="A490" s="682" t="s">
        <v>4225</v>
      </c>
      <c r="B490" s="682" t="s">
        <v>2320</v>
      </c>
      <c r="C490" s="692">
        <v>499200.16</v>
      </c>
      <c r="D490" s="692">
        <v>0</v>
      </c>
      <c r="E490" s="692">
        <v>107960.94</v>
      </c>
      <c r="F490" s="692">
        <v>0</v>
      </c>
      <c r="G490" s="692">
        <v>607161.1</v>
      </c>
      <c r="H490" s="692">
        <v>0</v>
      </c>
      <c r="I490" s="692">
        <f t="shared" si="11"/>
        <v>607161.1</v>
      </c>
    </row>
    <row r="491" spans="1:11">
      <c r="A491" s="682" t="s">
        <v>4226</v>
      </c>
      <c r="B491" s="682" t="s">
        <v>2321</v>
      </c>
      <c r="C491" s="692">
        <v>861634.44</v>
      </c>
      <c r="D491" s="692">
        <v>0</v>
      </c>
      <c r="E491" s="692">
        <v>123463.81</v>
      </c>
      <c r="F491" s="692">
        <v>233099.13</v>
      </c>
      <c r="G491" s="692">
        <v>751999.12</v>
      </c>
      <c r="H491" s="692">
        <v>0</v>
      </c>
      <c r="I491" s="692">
        <f t="shared" si="11"/>
        <v>751999.12</v>
      </c>
    </row>
    <row r="492" spans="1:11">
      <c r="A492" s="682" t="s">
        <v>4227</v>
      </c>
      <c r="B492" s="682" t="s">
        <v>2322</v>
      </c>
      <c r="C492" s="692">
        <v>41861.89</v>
      </c>
      <c r="D492" s="692">
        <v>0</v>
      </c>
      <c r="E492" s="692">
        <v>6204.11</v>
      </c>
      <c r="F492" s="692">
        <v>0</v>
      </c>
      <c r="G492" s="692">
        <v>48066</v>
      </c>
      <c r="H492" s="692">
        <v>0</v>
      </c>
      <c r="I492" s="692">
        <f t="shared" si="11"/>
        <v>48066</v>
      </c>
    </row>
    <row r="493" spans="1:11">
      <c r="A493" s="682" t="s">
        <v>4228</v>
      </c>
      <c r="B493" s="682" t="s">
        <v>4229</v>
      </c>
      <c r="C493" s="692">
        <v>15159.18</v>
      </c>
      <c r="D493" s="692">
        <v>0</v>
      </c>
      <c r="E493" s="692">
        <v>10106.120000000001</v>
      </c>
      <c r="F493" s="692">
        <v>0</v>
      </c>
      <c r="G493" s="692">
        <v>25265.3</v>
      </c>
      <c r="H493" s="692">
        <v>0</v>
      </c>
      <c r="I493" s="692">
        <f t="shared" si="11"/>
        <v>25265.3</v>
      </c>
      <c r="K493" s="691"/>
    </row>
    <row r="494" spans="1:11">
      <c r="A494" s="696" t="s">
        <v>4230</v>
      </c>
      <c r="B494" s="697" t="s">
        <v>4304</v>
      </c>
      <c r="C494" s="698">
        <v>2544100.25</v>
      </c>
      <c r="D494" s="698">
        <v>0</v>
      </c>
      <c r="E494" s="698">
        <v>221079.78</v>
      </c>
      <c r="F494" s="698">
        <v>1680</v>
      </c>
      <c r="G494" s="698">
        <f>2763500.03+105856.78</f>
        <v>2869356.8099999996</v>
      </c>
      <c r="H494" s="698">
        <v>0</v>
      </c>
      <c r="I494" s="698">
        <f t="shared" si="11"/>
        <v>2869356.8099999996</v>
      </c>
      <c r="J494" s="687"/>
    </row>
    <row r="495" spans="1:11">
      <c r="A495" s="682" t="s">
        <v>4249</v>
      </c>
      <c r="B495" s="682" t="s">
        <v>2323</v>
      </c>
      <c r="C495" s="692">
        <v>0</v>
      </c>
      <c r="D495" s="692">
        <v>478019.69</v>
      </c>
      <c r="E495" s="692">
        <v>0</v>
      </c>
      <c r="F495" s="692">
        <v>0</v>
      </c>
      <c r="G495" s="692">
        <v>0</v>
      </c>
      <c r="H495" s="692">
        <v>478019.69</v>
      </c>
      <c r="I495" s="692">
        <f t="shared" si="11"/>
        <v>-478019.69</v>
      </c>
      <c r="J495" s="692"/>
    </row>
    <row r="496" spans="1:11">
      <c r="B496" s="682" t="s">
        <v>4295</v>
      </c>
      <c r="C496" s="692">
        <v>96393051.909999996</v>
      </c>
      <c r="D496" s="692">
        <v>663239.01</v>
      </c>
      <c r="E496" s="692">
        <v>164792853.75999999</v>
      </c>
      <c r="F496" s="692">
        <v>146897470.16999999</v>
      </c>
      <c r="G496" s="692">
        <f>SUM(G367:G495)</f>
        <v>118482896.00999998</v>
      </c>
      <c r="H496" s="692">
        <f>SUM(H367:H495)</f>
        <v>3202176.7199999997</v>
      </c>
      <c r="I496" s="692">
        <f>SUM(I367:I495)</f>
        <v>115121864.28999998</v>
      </c>
      <c r="J496" s="687"/>
    </row>
    <row r="497" spans="1:9">
      <c r="A497" s="682" t="s">
        <v>4296</v>
      </c>
      <c r="C497" s="692"/>
      <c r="D497" s="692"/>
      <c r="E497" s="692"/>
      <c r="F497" s="692"/>
      <c r="G497" s="692"/>
      <c r="H497" s="692"/>
      <c r="I497" s="692">
        <f t="shared" si="11"/>
        <v>0</v>
      </c>
    </row>
    <row r="498" spans="1:9">
      <c r="A498" s="682" t="s">
        <v>3963</v>
      </c>
      <c r="B498" s="683" t="s">
        <v>1904</v>
      </c>
      <c r="C498" s="695">
        <v>0</v>
      </c>
      <c r="D498" s="695">
        <v>25392783.370000001</v>
      </c>
      <c r="E498" s="695">
        <v>0</v>
      </c>
      <c r="F498" s="695">
        <v>0</v>
      </c>
      <c r="G498" s="695">
        <v>0</v>
      </c>
      <c r="H498" s="695">
        <v>25392783.370000001</v>
      </c>
      <c r="I498" s="695">
        <f t="shared" si="11"/>
        <v>-25392783.370000001</v>
      </c>
    </row>
    <row r="499" spans="1:9">
      <c r="A499" s="682" t="s">
        <v>3964</v>
      </c>
      <c r="B499" s="686" t="s">
        <v>2178</v>
      </c>
      <c r="C499" s="695">
        <v>0</v>
      </c>
      <c r="D499" s="695">
        <v>1086365.1299999999</v>
      </c>
      <c r="E499" s="695">
        <v>0</v>
      </c>
      <c r="F499" s="695">
        <v>0</v>
      </c>
      <c r="G499" s="695">
        <v>0</v>
      </c>
      <c r="H499" s="695">
        <v>1086365.1299999999</v>
      </c>
      <c r="I499" s="695">
        <f t="shared" si="11"/>
        <v>-1086365.1299999999</v>
      </c>
    </row>
    <row r="500" spans="1:9">
      <c r="A500" s="682" t="s">
        <v>3965</v>
      </c>
      <c r="B500" s="683" t="s">
        <v>2177</v>
      </c>
      <c r="C500" s="695">
        <v>0</v>
      </c>
      <c r="D500" s="695">
        <v>171955.71</v>
      </c>
      <c r="E500" s="695">
        <v>0</v>
      </c>
      <c r="F500" s="695">
        <v>0</v>
      </c>
      <c r="G500" s="695">
        <v>0</v>
      </c>
      <c r="H500" s="695">
        <v>171955.71</v>
      </c>
      <c r="I500" s="695">
        <f t="shared" si="11"/>
        <v>-171955.71</v>
      </c>
    </row>
    <row r="501" spans="1:9">
      <c r="A501" s="682" t="s">
        <v>3966</v>
      </c>
      <c r="B501" s="683" t="s">
        <v>3967</v>
      </c>
      <c r="C501" s="695">
        <v>2098008.65</v>
      </c>
      <c r="D501" s="695">
        <v>0</v>
      </c>
      <c r="E501" s="695">
        <v>0</v>
      </c>
      <c r="F501" s="695">
        <v>158855</v>
      </c>
      <c r="G501" s="695">
        <v>1939153.65</v>
      </c>
      <c r="H501" s="695">
        <v>0</v>
      </c>
      <c r="I501" s="695">
        <f>G501-H501+158855</f>
        <v>2098008.65</v>
      </c>
    </row>
    <row r="502" spans="1:9">
      <c r="A502" s="696" t="s">
        <v>3968</v>
      </c>
      <c r="B502" s="696" t="s">
        <v>3969</v>
      </c>
      <c r="C502" s="698">
        <v>0</v>
      </c>
      <c r="D502" s="698">
        <v>5595608.5700000003</v>
      </c>
      <c r="E502" s="698">
        <v>0</v>
      </c>
      <c r="F502" s="698">
        <v>0</v>
      </c>
      <c r="G502" s="698"/>
      <c r="H502" s="698">
        <v>5595608.5700000003</v>
      </c>
      <c r="I502" s="698">
        <f>G502-H502</f>
        <v>-5595608.5700000003</v>
      </c>
    </row>
    <row r="503" spans="1:9">
      <c r="B503" s="683" t="s">
        <v>4297</v>
      </c>
      <c r="C503" s="695">
        <v>2098008.65</v>
      </c>
      <c r="D503" s="695">
        <v>32246712.780000001</v>
      </c>
      <c r="E503" s="695">
        <v>0</v>
      </c>
      <c r="F503" s="695">
        <v>158855</v>
      </c>
      <c r="G503" s="695">
        <v>1939153.65</v>
      </c>
      <c r="H503" s="695">
        <v>32246712.780000001</v>
      </c>
      <c r="I503" s="695">
        <f>SUM(I498:I502)</f>
        <v>-30148704.130000003</v>
      </c>
    </row>
    <row r="504" spans="1:9">
      <c r="A504" s="682" t="s">
        <v>4298</v>
      </c>
      <c r="C504" s="692"/>
      <c r="D504" s="692"/>
      <c r="E504" s="692"/>
      <c r="F504" s="692"/>
      <c r="G504" s="692"/>
      <c r="H504" s="692"/>
      <c r="I504" s="692">
        <f t="shared" si="11"/>
        <v>0</v>
      </c>
    </row>
    <row r="505" spans="1:9">
      <c r="A505" s="682" t="s">
        <v>3629</v>
      </c>
      <c r="B505" s="682" t="s">
        <v>2326</v>
      </c>
      <c r="C505" s="692">
        <v>22278915.460000001</v>
      </c>
      <c r="D505" s="692">
        <v>0</v>
      </c>
      <c r="E505" s="692">
        <v>0</v>
      </c>
      <c r="F505" s="692">
        <v>0</v>
      </c>
      <c r="G505" s="692">
        <v>22278915.460000001</v>
      </c>
      <c r="H505" s="692">
        <v>0</v>
      </c>
      <c r="I505" s="692">
        <f t="shared" si="11"/>
        <v>22278915.460000001</v>
      </c>
    </row>
    <row r="506" spans="1:9">
      <c r="B506" s="682" t="s">
        <v>4299</v>
      </c>
      <c r="C506" s="692">
        <v>22278915.460000001</v>
      </c>
      <c r="D506" s="692">
        <v>0</v>
      </c>
      <c r="E506" s="692">
        <v>0</v>
      </c>
      <c r="F506" s="692">
        <v>0</v>
      </c>
      <c r="G506" s="692">
        <v>22278915.460000001</v>
      </c>
      <c r="H506" s="692">
        <v>0</v>
      </c>
      <c r="I506" s="692">
        <f t="shared" si="11"/>
        <v>22278915.460000001</v>
      </c>
    </row>
    <row r="507" spans="1:9">
      <c r="A507" s="682" t="s">
        <v>10</v>
      </c>
      <c r="C507" s="692"/>
      <c r="D507" s="692"/>
      <c r="E507" s="692"/>
      <c r="F507" s="692"/>
      <c r="G507" s="692"/>
      <c r="H507" s="692"/>
      <c r="I507" s="692">
        <f t="shared" si="11"/>
        <v>0</v>
      </c>
    </row>
    <row r="508" spans="1:9">
      <c r="A508" s="682" t="s">
        <v>3630</v>
      </c>
      <c r="B508" s="682" t="s">
        <v>3631</v>
      </c>
      <c r="C508" s="692">
        <v>0</v>
      </c>
      <c r="D508" s="692">
        <v>22278915.460000001</v>
      </c>
      <c r="E508" s="692">
        <v>0</v>
      </c>
      <c r="F508" s="692">
        <v>0</v>
      </c>
      <c r="G508" s="692">
        <v>0</v>
      </c>
      <c r="H508" s="692">
        <v>22278915.460000001</v>
      </c>
      <c r="I508" s="692">
        <f t="shared" si="11"/>
        <v>-22278915.460000001</v>
      </c>
    </row>
    <row r="509" spans="1:9">
      <c r="B509" s="682" t="s">
        <v>4300</v>
      </c>
      <c r="C509" s="692">
        <v>0</v>
      </c>
      <c r="D509" s="692">
        <v>22278915.460000001</v>
      </c>
      <c r="E509" s="692">
        <v>0</v>
      </c>
      <c r="F509" s="692">
        <v>0</v>
      </c>
      <c r="G509" s="692">
        <v>0</v>
      </c>
      <c r="H509" s="692">
        <v>22278915.460000001</v>
      </c>
      <c r="I509" s="692">
        <f t="shared" si="11"/>
        <v>-22278915.460000001</v>
      </c>
    </row>
    <row r="510" spans="1:9">
      <c r="B510" s="682" t="s">
        <v>4301</v>
      </c>
      <c r="C510" s="692">
        <v>339148639.39999998</v>
      </c>
      <c r="D510" s="692">
        <v>339148639.38999999</v>
      </c>
      <c r="E510" s="688">
        <f>E114+E271+E366+E496+E506+E503</f>
        <v>6656114033.460001</v>
      </c>
      <c r="F510" s="688">
        <f>F114+F271+F366+F496+F506+F503</f>
        <v>6656553964.1299973</v>
      </c>
      <c r="G510" s="688">
        <f>G114+G271+G366+G496+G506+G503</f>
        <v>370034534.80999988</v>
      </c>
      <c r="H510" s="688">
        <f>H114+H271+H366+H496+H506+H503+H509</f>
        <v>380312359.20000011</v>
      </c>
      <c r="I510" s="692">
        <f>SUM(I3:I509)</f>
        <v>0.28000005334615707</v>
      </c>
    </row>
    <row r="511" spans="1:9">
      <c r="C511" s="692"/>
      <c r="D511" s="692"/>
      <c r="E511" s="692"/>
      <c r="F511" s="692"/>
      <c r="G511" s="692" t="s">
        <v>4302</v>
      </c>
      <c r="H511" s="692">
        <v>-8.9999995231628424E-2</v>
      </c>
      <c r="I511" s="692"/>
    </row>
    <row r="512" spans="1:9">
      <c r="I512" s="687"/>
    </row>
    <row r="513" spans="3:9">
      <c r="I513" s="687"/>
    </row>
    <row r="514" spans="3:9">
      <c r="C514" s="687"/>
      <c r="D514" s="687"/>
      <c r="E514" s="687"/>
      <c r="F514" s="687"/>
      <c r="I514" s="687"/>
    </row>
    <row r="515" spans="3:9">
      <c r="G515" s="689"/>
      <c r="H515" s="68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6"/>
  <sheetViews>
    <sheetView view="pageBreakPreview" topLeftCell="A12" zoomScaleSheetLayoutView="100" workbookViewId="0">
      <selection activeCell="K22" sqref="K22"/>
    </sheetView>
  </sheetViews>
  <sheetFormatPr defaultRowHeight="12.5"/>
  <cols>
    <col min="1" max="1" width="42.26953125" bestFit="1" customWidth="1"/>
    <col min="2" max="2" width="14" customWidth="1"/>
    <col min="3" max="3" width="19" bestFit="1" customWidth="1"/>
    <col min="4" max="4" width="45.1796875" bestFit="1" customWidth="1"/>
    <col min="5" max="5" width="14.81640625" bestFit="1" customWidth="1"/>
    <col min="6" max="6" width="14.7265625" bestFit="1" customWidth="1"/>
    <col min="7" max="7" width="14.1796875" bestFit="1" customWidth="1"/>
    <col min="8" max="8" width="15.1796875" bestFit="1" customWidth="1"/>
    <col min="9" max="10" width="14.7265625" bestFit="1" customWidth="1"/>
    <col min="11" max="11" width="14.1796875" bestFit="1" customWidth="1"/>
    <col min="12" max="12" width="14.7265625" bestFit="1" customWidth="1"/>
    <col min="13" max="13" width="15.1796875" bestFit="1" customWidth="1"/>
    <col min="15" max="15" width="16.54296875" bestFit="1" customWidth="1"/>
  </cols>
  <sheetData>
    <row r="2" spans="1:3" ht="13">
      <c r="A2" s="1" t="s">
        <v>393</v>
      </c>
    </row>
    <row r="3" spans="1:3">
      <c r="C3" s="148"/>
    </row>
    <row r="4" spans="1:3">
      <c r="A4" s="45"/>
      <c r="C4" s="149"/>
    </row>
    <row r="5" spans="1:3">
      <c r="A5" s="45"/>
      <c r="C5" s="149"/>
    </row>
    <row r="6" spans="1:3">
      <c r="A6" s="45"/>
      <c r="C6" s="149"/>
    </row>
    <row r="7" spans="1:3">
      <c r="A7" s="45"/>
      <c r="C7" s="149"/>
    </row>
    <row r="8" spans="1:3">
      <c r="A8" s="45"/>
      <c r="C8" s="149"/>
    </row>
    <row r="10" spans="1:3">
      <c r="C10" s="149"/>
    </row>
    <row r="12" spans="1:3">
      <c r="C12" s="149"/>
    </row>
    <row r="14" spans="1:3" ht="13">
      <c r="A14" s="1" t="s">
        <v>394</v>
      </c>
    </row>
    <row r="16" spans="1:3">
      <c r="C16" s="148"/>
    </row>
    <row r="17" spans="1:15">
      <c r="A17" s="45"/>
      <c r="C17" s="150"/>
    </row>
    <row r="18" spans="1:15">
      <c r="A18" s="45"/>
      <c r="C18" s="150"/>
    </row>
    <row r="19" spans="1:15">
      <c r="C19" s="148"/>
    </row>
    <row r="20" spans="1:15">
      <c r="C20" s="150"/>
    </row>
    <row r="21" spans="1:15">
      <c r="C21" s="148"/>
    </row>
    <row r="23" spans="1:15" ht="14.5">
      <c r="A23" s="151" t="s">
        <v>410</v>
      </c>
    </row>
    <row r="25" spans="1:15" ht="14.5">
      <c r="A25" s="148"/>
      <c r="B25" s="197" t="s">
        <v>409</v>
      </c>
      <c r="C25" s="197" t="s">
        <v>74</v>
      </c>
      <c r="D25" s="197" t="s">
        <v>79</v>
      </c>
      <c r="E25" s="197" t="s">
        <v>69</v>
      </c>
      <c r="F25" s="197" t="s">
        <v>75</v>
      </c>
      <c r="G25" s="197" t="s">
        <v>70</v>
      </c>
      <c r="H25" s="197" t="s">
        <v>76</v>
      </c>
      <c r="I25" s="197" t="s">
        <v>71</v>
      </c>
      <c r="J25" s="197" t="s">
        <v>77</v>
      </c>
      <c r="K25" s="197" t="s">
        <v>72</v>
      </c>
      <c r="L25" s="197" t="s">
        <v>78</v>
      </c>
      <c r="M25" s="197" t="s">
        <v>73</v>
      </c>
      <c r="N25" s="148"/>
      <c r="O25" s="152" t="s">
        <v>12</v>
      </c>
    </row>
    <row r="26" spans="1:15">
      <c r="B26" s="69"/>
      <c r="C26" s="69"/>
      <c r="D26" s="69"/>
      <c r="E26" s="69"/>
      <c r="F26" s="69"/>
      <c r="G26" s="69"/>
      <c r="H26" s="69"/>
      <c r="I26" s="69"/>
      <c r="J26" s="69"/>
      <c r="K26" s="69"/>
      <c r="L26" s="69"/>
      <c r="M26" s="69"/>
      <c r="N26" s="69"/>
      <c r="O26" s="69">
        <f>SUM(B26:M26)</f>
        <v>0</v>
      </c>
    </row>
    <row r="27" spans="1:15">
      <c r="B27" s="69"/>
      <c r="C27" s="69"/>
      <c r="D27" s="69"/>
      <c r="E27" s="69"/>
      <c r="F27" s="69"/>
      <c r="G27" s="69"/>
      <c r="H27" s="69"/>
      <c r="I27" s="69"/>
      <c r="J27" s="69"/>
      <c r="K27" s="69"/>
      <c r="L27" s="69"/>
      <c r="M27" s="69"/>
      <c r="N27" s="69"/>
      <c r="O27" s="69">
        <f t="shared" ref="O27:O38" si="0">SUM(B27:M27)</f>
        <v>0</v>
      </c>
    </row>
    <row r="28" spans="1:15">
      <c r="B28" s="69"/>
      <c r="C28" s="69"/>
      <c r="D28" s="69"/>
      <c r="E28" s="69"/>
      <c r="F28" s="69"/>
      <c r="G28" s="69"/>
      <c r="H28" s="69"/>
      <c r="I28" s="69"/>
      <c r="J28" s="69"/>
      <c r="K28" s="69"/>
      <c r="L28" s="69"/>
      <c r="M28" s="69"/>
      <c r="N28" s="69"/>
      <c r="O28" s="69">
        <f t="shared" si="0"/>
        <v>0</v>
      </c>
    </row>
    <row r="29" spans="1:15">
      <c r="B29" s="69"/>
      <c r="C29" s="69"/>
      <c r="D29" s="69"/>
      <c r="E29" s="69"/>
      <c r="F29" s="69"/>
      <c r="G29" s="69"/>
      <c r="H29" s="69"/>
      <c r="I29" s="69"/>
      <c r="J29" s="69"/>
      <c r="K29" s="69"/>
      <c r="L29" s="69"/>
      <c r="M29" s="69"/>
      <c r="N29" s="69"/>
      <c r="O29" s="69">
        <f t="shared" si="0"/>
        <v>0</v>
      </c>
    </row>
    <row r="30" spans="1:15">
      <c r="B30" s="69"/>
      <c r="C30" s="69"/>
      <c r="D30" s="69"/>
      <c r="E30" s="69"/>
      <c r="F30" s="69"/>
      <c r="G30" s="69"/>
      <c r="H30" s="69"/>
      <c r="I30" s="69"/>
      <c r="J30" s="69"/>
      <c r="K30" s="69"/>
      <c r="L30" s="69"/>
      <c r="M30" s="69"/>
      <c r="N30" s="69"/>
      <c r="O30" s="69">
        <f t="shared" si="0"/>
        <v>0</v>
      </c>
    </row>
    <row r="31" spans="1:15">
      <c r="B31" s="69"/>
      <c r="C31" s="69"/>
      <c r="D31" s="69"/>
      <c r="E31" s="69"/>
      <c r="F31" s="69"/>
      <c r="G31" s="69"/>
      <c r="H31" s="69"/>
      <c r="I31" s="69"/>
      <c r="J31" s="69"/>
      <c r="K31" s="69"/>
      <c r="L31" s="69"/>
      <c r="M31" s="69"/>
      <c r="N31" s="69"/>
      <c r="O31" s="69">
        <f t="shared" si="0"/>
        <v>0</v>
      </c>
    </row>
    <row r="32" spans="1:15">
      <c r="B32" s="69"/>
      <c r="C32" s="69"/>
      <c r="D32" s="69"/>
      <c r="E32" s="69"/>
      <c r="F32" s="69"/>
      <c r="G32" s="69"/>
      <c r="H32" s="69"/>
      <c r="I32" s="69"/>
      <c r="J32" s="69"/>
      <c r="K32" s="69"/>
      <c r="L32" s="69"/>
      <c r="M32" s="69"/>
      <c r="N32" s="69"/>
      <c r="O32" s="69">
        <f t="shared" si="0"/>
        <v>0</v>
      </c>
    </row>
    <row r="33" spans="1:15">
      <c r="B33" s="69"/>
      <c r="C33" s="69"/>
      <c r="D33" s="69"/>
      <c r="E33" s="69"/>
      <c r="F33" s="69"/>
      <c r="G33" s="69"/>
      <c r="H33" s="69"/>
      <c r="I33" s="69"/>
      <c r="J33" s="69"/>
      <c r="K33" s="69"/>
      <c r="L33" s="69"/>
      <c r="M33" s="69"/>
      <c r="N33" s="69"/>
      <c r="O33" s="69">
        <f t="shared" si="0"/>
        <v>0</v>
      </c>
    </row>
    <row r="34" spans="1:15">
      <c r="B34" s="69"/>
      <c r="C34" s="69"/>
      <c r="D34" s="69"/>
      <c r="E34" s="69"/>
      <c r="F34" s="69"/>
      <c r="G34" s="69"/>
      <c r="H34" s="69"/>
      <c r="I34" s="69"/>
      <c r="J34" s="69"/>
      <c r="K34" s="69"/>
      <c r="L34" s="69"/>
      <c r="M34" s="69"/>
      <c r="N34" s="69"/>
      <c r="O34" s="69">
        <f t="shared" si="0"/>
        <v>0</v>
      </c>
    </row>
    <row r="35" spans="1:15">
      <c r="B35" s="69"/>
      <c r="C35" s="69"/>
      <c r="D35" s="69"/>
      <c r="E35" s="69"/>
      <c r="F35" s="69"/>
      <c r="G35" s="69"/>
      <c r="H35" s="69"/>
      <c r="I35" s="69"/>
      <c r="J35" s="69"/>
      <c r="K35" s="69"/>
      <c r="L35" s="69"/>
      <c r="M35" s="69"/>
      <c r="N35" s="69"/>
      <c r="O35" s="69">
        <f t="shared" si="0"/>
        <v>0</v>
      </c>
    </row>
    <row r="36" spans="1:15">
      <c r="B36" s="69"/>
      <c r="C36" s="69"/>
      <c r="D36" s="69"/>
      <c r="E36" s="69"/>
      <c r="F36" s="69"/>
      <c r="G36" s="69"/>
      <c r="H36" s="69"/>
      <c r="I36" s="69"/>
      <c r="J36" s="69"/>
      <c r="K36" s="69"/>
      <c r="L36" s="69"/>
      <c r="M36" s="69"/>
      <c r="N36" s="69"/>
      <c r="O36" s="69">
        <f t="shared" si="0"/>
        <v>0</v>
      </c>
    </row>
    <row r="37" spans="1:15">
      <c r="B37" s="69"/>
      <c r="C37" s="69"/>
      <c r="D37" s="69"/>
      <c r="E37" s="69"/>
      <c r="H37" s="69"/>
      <c r="I37" s="69"/>
      <c r="J37" s="69"/>
      <c r="K37" s="69"/>
      <c r="L37" s="69"/>
      <c r="M37" s="69"/>
      <c r="N37" s="69"/>
      <c r="O37" s="69">
        <f t="shared" si="0"/>
        <v>0</v>
      </c>
    </row>
    <row r="38" spans="1:15">
      <c r="B38" s="69"/>
      <c r="C38" s="69"/>
      <c r="D38" s="69"/>
      <c r="E38" s="69"/>
      <c r="F38" s="69"/>
      <c r="G38" s="69"/>
      <c r="I38" s="69"/>
      <c r="J38" s="69"/>
      <c r="K38" s="69"/>
      <c r="L38" s="69"/>
      <c r="M38" s="69"/>
      <c r="N38" s="69"/>
      <c r="O38" s="69">
        <f t="shared" si="0"/>
        <v>0</v>
      </c>
    </row>
    <row r="39" spans="1:15">
      <c r="B39" s="69"/>
      <c r="C39" s="69"/>
      <c r="D39" s="69"/>
      <c r="E39" s="69"/>
      <c r="F39" s="69"/>
      <c r="G39" s="69"/>
      <c r="H39" s="69"/>
      <c r="I39" s="69"/>
      <c r="J39" s="69"/>
      <c r="K39" s="69"/>
      <c r="L39" s="69"/>
      <c r="M39" s="69"/>
      <c r="N39" s="69"/>
      <c r="O39" s="69">
        <v>0</v>
      </c>
    </row>
    <row r="40" spans="1:15">
      <c r="A40" t="s">
        <v>395</v>
      </c>
      <c r="B40" s="69">
        <f>SUM(B26:B39)</f>
        <v>0</v>
      </c>
      <c r="C40" s="69">
        <f>SUM(C26:C39)</f>
        <v>0</v>
      </c>
      <c r="D40" s="69">
        <f>SUM(D26:D39)</f>
        <v>0</v>
      </c>
      <c r="E40" s="69">
        <f t="shared" ref="E40:M40" si="1">SUM(E26:E39)</f>
        <v>0</v>
      </c>
      <c r="F40" s="69">
        <f t="shared" si="1"/>
        <v>0</v>
      </c>
      <c r="G40" s="69">
        <f t="shared" si="1"/>
        <v>0</v>
      </c>
      <c r="H40" s="69">
        <f t="shared" si="1"/>
        <v>0</v>
      </c>
      <c r="I40" s="69">
        <f t="shared" si="1"/>
        <v>0</v>
      </c>
      <c r="J40" s="69">
        <f t="shared" si="1"/>
        <v>0</v>
      </c>
      <c r="K40" s="69">
        <f t="shared" si="1"/>
        <v>0</v>
      </c>
      <c r="L40" s="69">
        <f t="shared" si="1"/>
        <v>0</v>
      </c>
      <c r="M40" s="69">
        <f t="shared" si="1"/>
        <v>0</v>
      </c>
      <c r="N40" s="69">
        <f>SUM(N26:N39)</f>
        <v>0</v>
      </c>
      <c r="O40" s="69">
        <f>SUM(O26:O39)</f>
        <v>0</v>
      </c>
    </row>
    <row r="41" spans="1:15">
      <c r="O41" s="153"/>
    </row>
    <row r="43" spans="1:15">
      <c r="D43" t="s">
        <v>396</v>
      </c>
      <c r="E43" s="153">
        <f>O26+O29</f>
        <v>0</v>
      </c>
    </row>
    <row r="44" spans="1:15">
      <c r="D44" t="s">
        <v>397</v>
      </c>
      <c r="E44" s="153">
        <f>+O33+O37</f>
        <v>0</v>
      </c>
    </row>
    <row r="46" spans="1:15">
      <c r="D46" t="s">
        <v>398</v>
      </c>
      <c r="E46" s="153">
        <f>SUM(E43:E45)</f>
        <v>0</v>
      </c>
    </row>
  </sheetData>
  <pageMargins left="0.7" right="0.7" top="0.75" bottom="0.75" header="0.3" footer="0.3"/>
  <pageSetup scale="2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V185"/>
  <sheetViews>
    <sheetView showGridLines="0" view="pageBreakPreview" zoomScale="95" zoomScaleNormal="100" zoomScaleSheetLayoutView="95" workbookViewId="0">
      <selection activeCell="I1" sqref="I1"/>
    </sheetView>
  </sheetViews>
  <sheetFormatPr defaultColWidth="4.1796875" defaultRowHeight="13"/>
  <cols>
    <col min="1" max="1" width="47.54296875" style="399" customWidth="1"/>
    <col min="2" max="2" width="2.26953125" style="399" customWidth="1"/>
    <col min="3" max="3" width="15" style="399" customWidth="1"/>
    <col min="4" max="4" width="2.453125" style="399" customWidth="1"/>
    <col min="5" max="5" width="14.54296875" style="399" customWidth="1"/>
    <col min="6" max="6" width="3.81640625" style="399" customWidth="1"/>
    <col min="7" max="7" width="13.81640625" style="399" bestFit="1" customWidth="1"/>
    <col min="8" max="8" width="2" style="399" customWidth="1"/>
    <col min="9" max="9" width="16" style="399" customWidth="1"/>
    <col min="10" max="10" width="3.81640625" style="399" customWidth="1"/>
    <col min="11" max="11" width="17" style="399" bestFit="1" customWidth="1"/>
    <col min="12" max="12" width="3.26953125" style="399" customWidth="1"/>
    <col min="13" max="13" width="13.81640625" style="399" bestFit="1" customWidth="1"/>
    <col min="14" max="14" width="10.26953125" style="399" customWidth="1"/>
    <col min="15" max="15" width="13.7265625" style="399" bestFit="1" customWidth="1"/>
    <col min="16" max="255" width="5.7265625" style="399" customWidth="1"/>
    <col min="256" max="256" width="4.1796875" style="399"/>
    <col min="257" max="257" width="47.54296875" style="399" customWidth="1"/>
    <col min="258" max="258" width="2.26953125" style="399" customWidth="1"/>
    <col min="259" max="259" width="15" style="399" customWidth="1"/>
    <col min="260" max="260" width="2.453125" style="399" customWidth="1"/>
    <col min="261" max="261" width="14.54296875" style="399" customWidth="1"/>
    <col min="262" max="262" width="3.81640625" style="399" customWidth="1"/>
    <col min="263" max="263" width="13.81640625" style="399" bestFit="1" customWidth="1"/>
    <col min="264" max="264" width="2" style="399" customWidth="1"/>
    <col min="265" max="265" width="16" style="399" customWidth="1"/>
    <col min="266" max="266" width="3.81640625" style="399" customWidth="1"/>
    <col min="267" max="267" width="17" style="399" bestFit="1" customWidth="1"/>
    <col min="268" max="268" width="3.26953125" style="399" customWidth="1"/>
    <col min="269" max="269" width="13.81640625" style="399" bestFit="1" customWidth="1"/>
    <col min="270" max="270" width="10.26953125" style="399" customWidth="1"/>
    <col min="271" max="271" width="13.7265625" style="399" bestFit="1" customWidth="1"/>
    <col min="272" max="511" width="5.7265625" style="399" customWidth="1"/>
    <col min="512" max="512" width="4.1796875" style="399"/>
    <col min="513" max="513" width="47.54296875" style="399" customWidth="1"/>
    <col min="514" max="514" width="2.26953125" style="399" customWidth="1"/>
    <col min="515" max="515" width="15" style="399" customWidth="1"/>
    <col min="516" max="516" width="2.453125" style="399" customWidth="1"/>
    <col min="517" max="517" width="14.54296875" style="399" customWidth="1"/>
    <col min="518" max="518" width="3.81640625" style="399" customWidth="1"/>
    <col min="519" max="519" width="13.81640625" style="399" bestFit="1" customWidth="1"/>
    <col min="520" max="520" width="2" style="399" customWidth="1"/>
    <col min="521" max="521" width="16" style="399" customWidth="1"/>
    <col min="522" max="522" width="3.81640625" style="399" customWidth="1"/>
    <col min="523" max="523" width="17" style="399" bestFit="1" customWidth="1"/>
    <col min="524" max="524" width="3.26953125" style="399" customWidth="1"/>
    <col min="525" max="525" width="13.81640625" style="399" bestFit="1" customWidth="1"/>
    <col min="526" max="526" width="10.26953125" style="399" customWidth="1"/>
    <col min="527" max="527" width="13.7265625" style="399" bestFit="1" customWidth="1"/>
    <col min="528" max="767" width="5.7265625" style="399" customWidth="1"/>
    <col min="768" max="768" width="4.1796875" style="399"/>
    <col min="769" max="769" width="47.54296875" style="399" customWidth="1"/>
    <col min="770" max="770" width="2.26953125" style="399" customWidth="1"/>
    <col min="771" max="771" width="15" style="399" customWidth="1"/>
    <col min="772" max="772" width="2.453125" style="399" customWidth="1"/>
    <col min="773" max="773" width="14.54296875" style="399" customWidth="1"/>
    <col min="774" max="774" width="3.81640625" style="399" customWidth="1"/>
    <col min="775" max="775" width="13.81640625" style="399" bestFit="1" customWidth="1"/>
    <col min="776" max="776" width="2" style="399" customWidth="1"/>
    <col min="777" max="777" width="16" style="399" customWidth="1"/>
    <col min="778" max="778" width="3.81640625" style="399" customWidth="1"/>
    <col min="779" max="779" width="17" style="399" bestFit="1" customWidth="1"/>
    <col min="780" max="780" width="3.26953125" style="399" customWidth="1"/>
    <col min="781" max="781" width="13.81640625" style="399" bestFit="1" customWidth="1"/>
    <col min="782" max="782" width="10.26953125" style="399" customWidth="1"/>
    <col min="783" max="783" width="13.7265625" style="399" bestFit="1" customWidth="1"/>
    <col min="784" max="1023" width="5.7265625" style="399" customWidth="1"/>
    <col min="1024" max="1024" width="4.1796875" style="399"/>
    <col min="1025" max="1025" width="47.54296875" style="399" customWidth="1"/>
    <col min="1026" max="1026" width="2.26953125" style="399" customWidth="1"/>
    <col min="1027" max="1027" width="15" style="399" customWidth="1"/>
    <col min="1028" max="1028" width="2.453125" style="399" customWidth="1"/>
    <col min="1029" max="1029" width="14.54296875" style="399" customWidth="1"/>
    <col min="1030" max="1030" width="3.81640625" style="399" customWidth="1"/>
    <col min="1031" max="1031" width="13.81640625" style="399" bestFit="1" customWidth="1"/>
    <col min="1032" max="1032" width="2" style="399" customWidth="1"/>
    <col min="1033" max="1033" width="16" style="399" customWidth="1"/>
    <col min="1034" max="1034" width="3.81640625" style="399" customWidth="1"/>
    <col min="1035" max="1035" width="17" style="399" bestFit="1" customWidth="1"/>
    <col min="1036" max="1036" width="3.26953125" style="399" customWidth="1"/>
    <col min="1037" max="1037" width="13.81640625" style="399" bestFit="1" customWidth="1"/>
    <col min="1038" max="1038" width="10.26953125" style="399" customWidth="1"/>
    <col min="1039" max="1039" width="13.7265625" style="399" bestFit="1" customWidth="1"/>
    <col min="1040" max="1279" width="5.7265625" style="399" customWidth="1"/>
    <col min="1280" max="1280" width="4.1796875" style="399"/>
    <col min="1281" max="1281" width="47.54296875" style="399" customWidth="1"/>
    <col min="1282" max="1282" width="2.26953125" style="399" customWidth="1"/>
    <col min="1283" max="1283" width="15" style="399" customWidth="1"/>
    <col min="1284" max="1284" width="2.453125" style="399" customWidth="1"/>
    <col min="1285" max="1285" width="14.54296875" style="399" customWidth="1"/>
    <col min="1286" max="1286" width="3.81640625" style="399" customWidth="1"/>
    <col min="1287" max="1287" width="13.81640625" style="399" bestFit="1" customWidth="1"/>
    <col min="1288" max="1288" width="2" style="399" customWidth="1"/>
    <col min="1289" max="1289" width="16" style="399" customWidth="1"/>
    <col min="1290" max="1290" width="3.81640625" style="399" customWidth="1"/>
    <col min="1291" max="1291" width="17" style="399" bestFit="1" customWidth="1"/>
    <col min="1292" max="1292" width="3.26953125" style="399" customWidth="1"/>
    <col min="1293" max="1293" width="13.81640625" style="399" bestFit="1" customWidth="1"/>
    <col min="1294" max="1294" width="10.26953125" style="399" customWidth="1"/>
    <col min="1295" max="1295" width="13.7265625" style="399" bestFit="1" customWidth="1"/>
    <col min="1296" max="1535" width="5.7265625" style="399" customWidth="1"/>
    <col min="1536" max="1536" width="4.1796875" style="399"/>
    <col min="1537" max="1537" width="47.54296875" style="399" customWidth="1"/>
    <col min="1538" max="1538" width="2.26953125" style="399" customWidth="1"/>
    <col min="1539" max="1539" width="15" style="399" customWidth="1"/>
    <col min="1540" max="1540" width="2.453125" style="399" customWidth="1"/>
    <col min="1541" max="1541" width="14.54296875" style="399" customWidth="1"/>
    <col min="1542" max="1542" width="3.81640625" style="399" customWidth="1"/>
    <col min="1543" max="1543" width="13.81640625" style="399" bestFit="1" customWidth="1"/>
    <col min="1544" max="1544" width="2" style="399" customWidth="1"/>
    <col min="1545" max="1545" width="16" style="399" customWidth="1"/>
    <col min="1546" max="1546" width="3.81640625" style="399" customWidth="1"/>
    <col min="1547" max="1547" width="17" style="399" bestFit="1" customWidth="1"/>
    <col min="1548" max="1548" width="3.26953125" style="399" customWidth="1"/>
    <col min="1549" max="1549" width="13.81640625" style="399" bestFit="1" customWidth="1"/>
    <col min="1550" max="1550" width="10.26953125" style="399" customWidth="1"/>
    <col min="1551" max="1551" width="13.7265625" style="399" bestFit="1" customWidth="1"/>
    <col min="1552" max="1791" width="5.7265625" style="399" customWidth="1"/>
    <col min="1792" max="1792" width="4.1796875" style="399"/>
    <col min="1793" max="1793" width="47.54296875" style="399" customWidth="1"/>
    <col min="1794" max="1794" width="2.26953125" style="399" customWidth="1"/>
    <col min="1795" max="1795" width="15" style="399" customWidth="1"/>
    <col min="1796" max="1796" width="2.453125" style="399" customWidth="1"/>
    <col min="1797" max="1797" width="14.54296875" style="399" customWidth="1"/>
    <col min="1798" max="1798" width="3.81640625" style="399" customWidth="1"/>
    <col min="1799" max="1799" width="13.81640625" style="399" bestFit="1" customWidth="1"/>
    <col min="1800" max="1800" width="2" style="399" customWidth="1"/>
    <col min="1801" max="1801" width="16" style="399" customWidth="1"/>
    <col min="1802" max="1802" width="3.81640625" style="399" customWidth="1"/>
    <col min="1803" max="1803" width="17" style="399" bestFit="1" customWidth="1"/>
    <col min="1804" max="1804" width="3.26953125" style="399" customWidth="1"/>
    <col min="1805" max="1805" width="13.81640625" style="399" bestFit="1" customWidth="1"/>
    <col min="1806" max="1806" width="10.26953125" style="399" customWidth="1"/>
    <col min="1807" max="1807" width="13.7265625" style="399" bestFit="1" customWidth="1"/>
    <col min="1808" max="2047" width="5.7265625" style="399" customWidth="1"/>
    <col min="2048" max="2048" width="4.1796875" style="399"/>
    <col min="2049" max="2049" width="47.54296875" style="399" customWidth="1"/>
    <col min="2050" max="2050" width="2.26953125" style="399" customWidth="1"/>
    <col min="2051" max="2051" width="15" style="399" customWidth="1"/>
    <col min="2052" max="2052" width="2.453125" style="399" customWidth="1"/>
    <col min="2053" max="2053" width="14.54296875" style="399" customWidth="1"/>
    <col min="2054" max="2054" width="3.81640625" style="399" customWidth="1"/>
    <col min="2055" max="2055" width="13.81640625" style="399" bestFit="1" customWidth="1"/>
    <col min="2056" max="2056" width="2" style="399" customWidth="1"/>
    <col min="2057" max="2057" width="16" style="399" customWidth="1"/>
    <col min="2058" max="2058" width="3.81640625" style="399" customWidth="1"/>
    <col min="2059" max="2059" width="17" style="399" bestFit="1" customWidth="1"/>
    <col min="2060" max="2060" width="3.26953125" style="399" customWidth="1"/>
    <col min="2061" max="2061" width="13.81640625" style="399" bestFit="1" customWidth="1"/>
    <col min="2062" max="2062" width="10.26953125" style="399" customWidth="1"/>
    <col min="2063" max="2063" width="13.7265625" style="399" bestFit="1" customWidth="1"/>
    <col min="2064" max="2303" width="5.7265625" style="399" customWidth="1"/>
    <col min="2304" max="2304" width="4.1796875" style="399"/>
    <col min="2305" max="2305" width="47.54296875" style="399" customWidth="1"/>
    <col min="2306" max="2306" width="2.26953125" style="399" customWidth="1"/>
    <col min="2307" max="2307" width="15" style="399" customWidth="1"/>
    <col min="2308" max="2308" width="2.453125" style="399" customWidth="1"/>
    <col min="2309" max="2309" width="14.54296875" style="399" customWidth="1"/>
    <col min="2310" max="2310" width="3.81640625" style="399" customWidth="1"/>
    <col min="2311" max="2311" width="13.81640625" style="399" bestFit="1" customWidth="1"/>
    <col min="2312" max="2312" width="2" style="399" customWidth="1"/>
    <col min="2313" max="2313" width="16" style="399" customWidth="1"/>
    <col min="2314" max="2314" width="3.81640625" style="399" customWidth="1"/>
    <col min="2315" max="2315" width="17" style="399" bestFit="1" customWidth="1"/>
    <col min="2316" max="2316" width="3.26953125" style="399" customWidth="1"/>
    <col min="2317" max="2317" width="13.81640625" style="399" bestFit="1" customWidth="1"/>
    <col min="2318" max="2318" width="10.26953125" style="399" customWidth="1"/>
    <col min="2319" max="2319" width="13.7265625" style="399" bestFit="1" customWidth="1"/>
    <col min="2320" max="2559" width="5.7265625" style="399" customWidth="1"/>
    <col min="2560" max="2560" width="4.1796875" style="399"/>
    <col min="2561" max="2561" width="47.54296875" style="399" customWidth="1"/>
    <col min="2562" max="2562" width="2.26953125" style="399" customWidth="1"/>
    <col min="2563" max="2563" width="15" style="399" customWidth="1"/>
    <col min="2564" max="2564" width="2.453125" style="399" customWidth="1"/>
    <col min="2565" max="2565" width="14.54296875" style="399" customWidth="1"/>
    <col min="2566" max="2566" width="3.81640625" style="399" customWidth="1"/>
    <col min="2567" max="2567" width="13.81640625" style="399" bestFit="1" customWidth="1"/>
    <col min="2568" max="2568" width="2" style="399" customWidth="1"/>
    <col min="2569" max="2569" width="16" style="399" customWidth="1"/>
    <col min="2570" max="2570" width="3.81640625" style="399" customWidth="1"/>
    <col min="2571" max="2571" width="17" style="399" bestFit="1" customWidth="1"/>
    <col min="2572" max="2572" width="3.26953125" style="399" customWidth="1"/>
    <col min="2573" max="2573" width="13.81640625" style="399" bestFit="1" customWidth="1"/>
    <col min="2574" max="2574" width="10.26953125" style="399" customWidth="1"/>
    <col min="2575" max="2575" width="13.7265625" style="399" bestFit="1" customWidth="1"/>
    <col min="2576" max="2815" width="5.7265625" style="399" customWidth="1"/>
    <col min="2816" max="2816" width="4.1796875" style="399"/>
    <col min="2817" max="2817" width="47.54296875" style="399" customWidth="1"/>
    <col min="2818" max="2818" width="2.26953125" style="399" customWidth="1"/>
    <col min="2819" max="2819" width="15" style="399" customWidth="1"/>
    <col min="2820" max="2820" width="2.453125" style="399" customWidth="1"/>
    <col min="2821" max="2821" width="14.54296875" style="399" customWidth="1"/>
    <col min="2822" max="2822" width="3.81640625" style="399" customWidth="1"/>
    <col min="2823" max="2823" width="13.81640625" style="399" bestFit="1" customWidth="1"/>
    <col min="2824" max="2824" width="2" style="399" customWidth="1"/>
    <col min="2825" max="2825" width="16" style="399" customWidth="1"/>
    <col min="2826" max="2826" width="3.81640625" style="399" customWidth="1"/>
    <col min="2827" max="2827" width="17" style="399" bestFit="1" customWidth="1"/>
    <col min="2828" max="2828" width="3.26953125" style="399" customWidth="1"/>
    <col min="2829" max="2829" width="13.81640625" style="399" bestFit="1" customWidth="1"/>
    <col min="2830" max="2830" width="10.26953125" style="399" customWidth="1"/>
    <col min="2831" max="2831" width="13.7265625" style="399" bestFit="1" customWidth="1"/>
    <col min="2832" max="3071" width="5.7265625" style="399" customWidth="1"/>
    <col min="3072" max="3072" width="4.1796875" style="399"/>
    <col min="3073" max="3073" width="47.54296875" style="399" customWidth="1"/>
    <col min="3074" max="3074" width="2.26953125" style="399" customWidth="1"/>
    <col min="3075" max="3075" width="15" style="399" customWidth="1"/>
    <col min="3076" max="3076" width="2.453125" style="399" customWidth="1"/>
    <col min="3077" max="3077" width="14.54296875" style="399" customWidth="1"/>
    <col min="3078" max="3078" width="3.81640625" style="399" customWidth="1"/>
    <col min="3079" max="3079" width="13.81640625" style="399" bestFit="1" customWidth="1"/>
    <col min="3080" max="3080" width="2" style="399" customWidth="1"/>
    <col min="3081" max="3081" width="16" style="399" customWidth="1"/>
    <col min="3082" max="3082" width="3.81640625" style="399" customWidth="1"/>
    <col min="3083" max="3083" width="17" style="399" bestFit="1" customWidth="1"/>
    <col min="3084" max="3084" width="3.26953125" style="399" customWidth="1"/>
    <col min="3085" max="3085" width="13.81640625" style="399" bestFit="1" customWidth="1"/>
    <col min="3086" max="3086" width="10.26953125" style="399" customWidth="1"/>
    <col min="3087" max="3087" width="13.7265625" style="399" bestFit="1" customWidth="1"/>
    <col min="3088" max="3327" width="5.7265625" style="399" customWidth="1"/>
    <col min="3328" max="3328" width="4.1796875" style="399"/>
    <col min="3329" max="3329" width="47.54296875" style="399" customWidth="1"/>
    <col min="3330" max="3330" width="2.26953125" style="399" customWidth="1"/>
    <col min="3331" max="3331" width="15" style="399" customWidth="1"/>
    <col min="3332" max="3332" width="2.453125" style="399" customWidth="1"/>
    <col min="3333" max="3333" width="14.54296875" style="399" customWidth="1"/>
    <col min="3334" max="3334" width="3.81640625" style="399" customWidth="1"/>
    <col min="3335" max="3335" width="13.81640625" style="399" bestFit="1" customWidth="1"/>
    <col min="3336" max="3336" width="2" style="399" customWidth="1"/>
    <col min="3337" max="3337" width="16" style="399" customWidth="1"/>
    <col min="3338" max="3338" width="3.81640625" style="399" customWidth="1"/>
    <col min="3339" max="3339" width="17" style="399" bestFit="1" customWidth="1"/>
    <col min="3340" max="3340" width="3.26953125" style="399" customWidth="1"/>
    <col min="3341" max="3341" width="13.81640625" style="399" bestFit="1" customWidth="1"/>
    <col min="3342" max="3342" width="10.26953125" style="399" customWidth="1"/>
    <col min="3343" max="3343" width="13.7265625" style="399" bestFit="1" customWidth="1"/>
    <col min="3344" max="3583" width="5.7265625" style="399" customWidth="1"/>
    <col min="3584" max="3584" width="4.1796875" style="399"/>
    <col min="3585" max="3585" width="47.54296875" style="399" customWidth="1"/>
    <col min="3586" max="3586" width="2.26953125" style="399" customWidth="1"/>
    <col min="3587" max="3587" width="15" style="399" customWidth="1"/>
    <col min="3588" max="3588" width="2.453125" style="399" customWidth="1"/>
    <col min="3589" max="3589" width="14.54296875" style="399" customWidth="1"/>
    <col min="3590" max="3590" width="3.81640625" style="399" customWidth="1"/>
    <col min="3591" max="3591" width="13.81640625" style="399" bestFit="1" customWidth="1"/>
    <col min="3592" max="3592" width="2" style="399" customWidth="1"/>
    <col min="3593" max="3593" width="16" style="399" customWidth="1"/>
    <col min="3594" max="3594" width="3.81640625" style="399" customWidth="1"/>
    <col min="3595" max="3595" width="17" style="399" bestFit="1" customWidth="1"/>
    <col min="3596" max="3596" width="3.26953125" style="399" customWidth="1"/>
    <col min="3597" max="3597" width="13.81640625" style="399" bestFit="1" customWidth="1"/>
    <col min="3598" max="3598" width="10.26953125" style="399" customWidth="1"/>
    <col min="3599" max="3599" width="13.7265625" style="399" bestFit="1" customWidth="1"/>
    <col min="3600" max="3839" width="5.7265625" style="399" customWidth="1"/>
    <col min="3840" max="3840" width="4.1796875" style="399"/>
    <col min="3841" max="3841" width="47.54296875" style="399" customWidth="1"/>
    <col min="3842" max="3842" width="2.26953125" style="399" customWidth="1"/>
    <col min="3843" max="3843" width="15" style="399" customWidth="1"/>
    <col min="3844" max="3844" width="2.453125" style="399" customWidth="1"/>
    <col min="3845" max="3845" width="14.54296875" style="399" customWidth="1"/>
    <col min="3846" max="3846" width="3.81640625" style="399" customWidth="1"/>
    <col min="3847" max="3847" width="13.81640625" style="399" bestFit="1" customWidth="1"/>
    <col min="3848" max="3848" width="2" style="399" customWidth="1"/>
    <col min="3849" max="3849" width="16" style="399" customWidth="1"/>
    <col min="3850" max="3850" width="3.81640625" style="399" customWidth="1"/>
    <col min="3851" max="3851" width="17" style="399" bestFit="1" customWidth="1"/>
    <col min="3852" max="3852" width="3.26953125" style="399" customWidth="1"/>
    <col min="3853" max="3853" width="13.81640625" style="399" bestFit="1" customWidth="1"/>
    <col min="3854" max="3854" width="10.26953125" style="399" customWidth="1"/>
    <col min="3855" max="3855" width="13.7265625" style="399" bestFit="1" customWidth="1"/>
    <col min="3856" max="4095" width="5.7265625" style="399" customWidth="1"/>
    <col min="4096" max="4096" width="4.1796875" style="399"/>
    <col min="4097" max="4097" width="47.54296875" style="399" customWidth="1"/>
    <col min="4098" max="4098" width="2.26953125" style="399" customWidth="1"/>
    <col min="4099" max="4099" width="15" style="399" customWidth="1"/>
    <col min="4100" max="4100" width="2.453125" style="399" customWidth="1"/>
    <col min="4101" max="4101" width="14.54296875" style="399" customWidth="1"/>
    <col min="4102" max="4102" width="3.81640625" style="399" customWidth="1"/>
    <col min="4103" max="4103" width="13.81640625" style="399" bestFit="1" customWidth="1"/>
    <col min="4104" max="4104" width="2" style="399" customWidth="1"/>
    <col min="4105" max="4105" width="16" style="399" customWidth="1"/>
    <col min="4106" max="4106" width="3.81640625" style="399" customWidth="1"/>
    <col min="4107" max="4107" width="17" style="399" bestFit="1" customWidth="1"/>
    <col min="4108" max="4108" width="3.26953125" style="399" customWidth="1"/>
    <col min="4109" max="4109" width="13.81640625" style="399" bestFit="1" customWidth="1"/>
    <col min="4110" max="4110" width="10.26953125" style="399" customWidth="1"/>
    <col min="4111" max="4111" width="13.7265625" style="399" bestFit="1" customWidth="1"/>
    <col min="4112" max="4351" width="5.7265625" style="399" customWidth="1"/>
    <col min="4352" max="4352" width="4.1796875" style="399"/>
    <col min="4353" max="4353" width="47.54296875" style="399" customWidth="1"/>
    <col min="4354" max="4354" width="2.26953125" style="399" customWidth="1"/>
    <col min="4355" max="4355" width="15" style="399" customWidth="1"/>
    <col min="4356" max="4356" width="2.453125" style="399" customWidth="1"/>
    <col min="4357" max="4357" width="14.54296875" style="399" customWidth="1"/>
    <col min="4358" max="4358" width="3.81640625" style="399" customWidth="1"/>
    <col min="4359" max="4359" width="13.81640625" style="399" bestFit="1" customWidth="1"/>
    <col min="4360" max="4360" width="2" style="399" customWidth="1"/>
    <col min="4361" max="4361" width="16" style="399" customWidth="1"/>
    <col min="4362" max="4362" width="3.81640625" style="399" customWidth="1"/>
    <col min="4363" max="4363" width="17" style="399" bestFit="1" customWidth="1"/>
    <col min="4364" max="4364" width="3.26953125" style="399" customWidth="1"/>
    <col min="4365" max="4365" width="13.81640625" style="399" bestFit="1" customWidth="1"/>
    <col min="4366" max="4366" width="10.26953125" style="399" customWidth="1"/>
    <col min="4367" max="4367" width="13.7265625" style="399" bestFit="1" customWidth="1"/>
    <col min="4368" max="4607" width="5.7265625" style="399" customWidth="1"/>
    <col min="4608" max="4608" width="4.1796875" style="399"/>
    <col min="4609" max="4609" width="47.54296875" style="399" customWidth="1"/>
    <col min="4610" max="4610" width="2.26953125" style="399" customWidth="1"/>
    <col min="4611" max="4611" width="15" style="399" customWidth="1"/>
    <col min="4612" max="4612" width="2.453125" style="399" customWidth="1"/>
    <col min="4613" max="4613" width="14.54296875" style="399" customWidth="1"/>
    <col min="4614" max="4614" width="3.81640625" style="399" customWidth="1"/>
    <col min="4615" max="4615" width="13.81640625" style="399" bestFit="1" customWidth="1"/>
    <col min="4616" max="4616" width="2" style="399" customWidth="1"/>
    <col min="4617" max="4617" width="16" style="399" customWidth="1"/>
    <col min="4618" max="4618" width="3.81640625" style="399" customWidth="1"/>
    <col min="4619" max="4619" width="17" style="399" bestFit="1" customWidth="1"/>
    <col min="4620" max="4620" width="3.26953125" style="399" customWidth="1"/>
    <col min="4621" max="4621" width="13.81640625" style="399" bestFit="1" customWidth="1"/>
    <col min="4622" max="4622" width="10.26953125" style="399" customWidth="1"/>
    <col min="4623" max="4623" width="13.7265625" style="399" bestFit="1" customWidth="1"/>
    <col min="4624" max="4863" width="5.7265625" style="399" customWidth="1"/>
    <col min="4864" max="4864" width="4.1796875" style="399"/>
    <col min="4865" max="4865" width="47.54296875" style="399" customWidth="1"/>
    <col min="4866" max="4866" width="2.26953125" style="399" customWidth="1"/>
    <col min="4867" max="4867" width="15" style="399" customWidth="1"/>
    <col min="4868" max="4868" width="2.453125" style="399" customWidth="1"/>
    <col min="4869" max="4869" width="14.54296875" style="399" customWidth="1"/>
    <col min="4870" max="4870" width="3.81640625" style="399" customWidth="1"/>
    <col min="4871" max="4871" width="13.81640625" style="399" bestFit="1" customWidth="1"/>
    <col min="4872" max="4872" width="2" style="399" customWidth="1"/>
    <col min="4873" max="4873" width="16" style="399" customWidth="1"/>
    <col min="4874" max="4874" width="3.81640625" style="399" customWidth="1"/>
    <col min="4875" max="4875" width="17" style="399" bestFit="1" customWidth="1"/>
    <col min="4876" max="4876" width="3.26953125" style="399" customWidth="1"/>
    <col min="4877" max="4877" width="13.81640625" style="399" bestFit="1" customWidth="1"/>
    <col min="4878" max="4878" width="10.26953125" style="399" customWidth="1"/>
    <col min="4879" max="4879" width="13.7265625" style="399" bestFit="1" customWidth="1"/>
    <col min="4880" max="5119" width="5.7265625" style="399" customWidth="1"/>
    <col min="5120" max="5120" width="4.1796875" style="399"/>
    <col min="5121" max="5121" width="47.54296875" style="399" customWidth="1"/>
    <col min="5122" max="5122" width="2.26953125" style="399" customWidth="1"/>
    <col min="5123" max="5123" width="15" style="399" customWidth="1"/>
    <col min="5124" max="5124" width="2.453125" style="399" customWidth="1"/>
    <col min="5125" max="5125" width="14.54296875" style="399" customWidth="1"/>
    <col min="5126" max="5126" width="3.81640625" style="399" customWidth="1"/>
    <col min="5127" max="5127" width="13.81640625" style="399" bestFit="1" customWidth="1"/>
    <col min="5128" max="5128" width="2" style="399" customWidth="1"/>
    <col min="5129" max="5129" width="16" style="399" customWidth="1"/>
    <col min="5130" max="5130" width="3.81640625" style="399" customWidth="1"/>
    <col min="5131" max="5131" width="17" style="399" bestFit="1" customWidth="1"/>
    <col min="5132" max="5132" width="3.26953125" style="399" customWidth="1"/>
    <col min="5133" max="5133" width="13.81640625" style="399" bestFit="1" customWidth="1"/>
    <col min="5134" max="5134" width="10.26953125" style="399" customWidth="1"/>
    <col min="5135" max="5135" width="13.7265625" style="399" bestFit="1" customWidth="1"/>
    <col min="5136" max="5375" width="5.7265625" style="399" customWidth="1"/>
    <col min="5376" max="5376" width="4.1796875" style="399"/>
    <col min="5377" max="5377" width="47.54296875" style="399" customWidth="1"/>
    <col min="5378" max="5378" width="2.26953125" style="399" customWidth="1"/>
    <col min="5379" max="5379" width="15" style="399" customWidth="1"/>
    <col min="5380" max="5380" width="2.453125" style="399" customWidth="1"/>
    <col min="5381" max="5381" width="14.54296875" style="399" customWidth="1"/>
    <col min="5382" max="5382" width="3.81640625" style="399" customWidth="1"/>
    <col min="5383" max="5383" width="13.81640625" style="399" bestFit="1" customWidth="1"/>
    <col min="5384" max="5384" width="2" style="399" customWidth="1"/>
    <col min="5385" max="5385" width="16" style="399" customWidth="1"/>
    <col min="5386" max="5386" width="3.81640625" style="399" customWidth="1"/>
    <col min="5387" max="5387" width="17" style="399" bestFit="1" customWidth="1"/>
    <col min="5388" max="5388" width="3.26953125" style="399" customWidth="1"/>
    <col min="5389" max="5389" width="13.81640625" style="399" bestFit="1" customWidth="1"/>
    <col min="5390" max="5390" width="10.26953125" style="399" customWidth="1"/>
    <col min="5391" max="5391" width="13.7265625" style="399" bestFit="1" customWidth="1"/>
    <col min="5392" max="5631" width="5.7265625" style="399" customWidth="1"/>
    <col min="5632" max="5632" width="4.1796875" style="399"/>
    <col min="5633" max="5633" width="47.54296875" style="399" customWidth="1"/>
    <col min="5634" max="5634" width="2.26953125" style="399" customWidth="1"/>
    <col min="5635" max="5635" width="15" style="399" customWidth="1"/>
    <col min="5636" max="5636" width="2.453125" style="399" customWidth="1"/>
    <col min="5637" max="5637" width="14.54296875" style="399" customWidth="1"/>
    <col min="5638" max="5638" width="3.81640625" style="399" customWidth="1"/>
    <col min="5639" max="5639" width="13.81640625" style="399" bestFit="1" customWidth="1"/>
    <col min="5640" max="5640" width="2" style="399" customWidth="1"/>
    <col min="5641" max="5641" width="16" style="399" customWidth="1"/>
    <col min="5642" max="5642" width="3.81640625" style="399" customWidth="1"/>
    <col min="5643" max="5643" width="17" style="399" bestFit="1" customWidth="1"/>
    <col min="5644" max="5644" width="3.26953125" style="399" customWidth="1"/>
    <col min="5645" max="5645" width="13.81640625" style="399" bestFit="1" customWidth="1"/>
    <col min="5646" max="5646" width="10.26953125" style="399" customWidth="1"/>
    <col min="5647" max="5647" width="13.7265625" style="399" bestFit="1" customWidth="1"/>
    <col min="5648" max="5887" width="5.7265625" style="399" customWidth="1"/>
    <col min="5888" max="5888" width="4.1796875" style="399"/>
    <col min="5889" max="5889" width="47.54296875" style="399" customWidth="1"/>
    <col min="5890" max="5890" width="2.26953125" style="399" customWidth="1"/>
    <col min="5891" max="5891" width="15" style="399" customWidth="1"/>
    <col min="5892" max="5892" width="2.453125" style="399" customWidth="1"/>
    <col min="5893" max="5893" width="14.54296875" style="399" customWidth="1"/>
    <col min="5894" max="5894" width="3.81640625" style="399" customWidth="1"/>
    <col min="5895" max="5895" width="13.81640625" style="399" bestFit="1" customWidth="1"/>
    <col min="5896" max="5896" width="2" style="399" customWidth="1"/>
    <col min="5897" max="5897" width="16" style="399" customWidth="1"/>
    <col min="5898" max="5898" width="3.81640625" style="399" customWidth="1"/>
    <col min="5899" max="5899" width="17" style="399" bestFit="1" customWidth="1"/>
    <col min="5900" max="5900" width="3.26953125" style="399" customWidth="1"/>
    <col min="5901" max="5901" width="13.81640625" style="399" bestFit="1" customWidth="1"/>
    <col min="5902" max="5902" width="10.26953125" style="399" customWidth="1"/>
    <col min="5903" max="5903" width="13.7265625" style="399" bestFit="1" customWidth="1"/>
    <col min="5904" max="6143" width="5.7265625" style="399" customWidth="1"/>
    <col min="6144" max="6144" width="4.1796875" style="399"/>
    <col min="6145" max="6145" width="47.54296875" style="399" customWidth="1"/>
    <col min="6146" max="6146" width="2.26953125" style="399" customWidth="1"/>
    <col min="6147" max="6147" width="15" style="399" customWidth="1"/>
    <col min="6148" max="6148" width="2.453125" style="399" customWidth="1"/>
    <col min="6149" max="6149" width="14.54296875" style="399" customWidth="1"/>
    <col min="6150" max="6150" width="3.81640625" style="399" customWidth="1"/>
    <col min="6151" max="6151" width="13.81640625" style="399" bestFit="1" customWidth="1"/>
    <col min="6152" max="6152" width="2" style="399" customWidth="1"/>
    <col min="6153" max="6153" width="16" style="399" customWidth="1"/>
    <col min="6154" max="6154" width="3.81640625" style="399" customWidth="1"/>
    <col min="6155" max="6155" width="17" style="399" bestFit="1" customWidth="1"/>
    <col min="6156" max="6156" width="3.26953125" style="399" customWidth="1"/>
    <col min="6157" max="6157" width="13.81640625" style="399" bestFit="1" customWidth="1"/>
    <col min="6158" max="6158" width="10.26953125" style="399" customWidth="1"/>
    <col min="6159" max="6159" width="13.7265625" style="399" bestFit="1" customWidth="1"/>
    <col min="6160" max="6399" width="5.7265625" style="399" customWidth="1"/>
    <col min="6400" max="6400" width="4.1796875" style="399"/>
    <col min="6401" max="6401" width="47.54296875" style="399" customWidth="1"/>
    <col min="6402" max="6402" width="2.26953125" style="399" customWidth="1"/>
    <col min="6403" max="6403" width="15" style="399" customWidth="1"/>
    <col min="6404" max="6404" width="2.453125" style="399" customWidth="1"/>
    <col min="6405" max="6405" width="14.54296875" style="399" customWidth="1"/>
    <col min="6406" max="6406" width="3.81640625" style="399" customWidth="1"/>
    <col min="6407" max="6407" width="13.81640625" style="399" bestFit="1" customWidth="1"/>
    <col min="6408" max="6408" width="2" style="399" customWidth="1"/>
    <col min="6409" max="6409" width="16" style="399" customWidth="1"/>
    <col min="6410" max="6410" width="3.81640625" style="399" customWidth="1"/>
    <col min="6411" max="6411" width="17" style="399" bestFit="1" customWidth="1"/>
    <col min="6412" max="6412" width="3.26953125" style="399" customWidth="1"/>
    <col min="6413" max="6413" width="13.81640625" style="399" bestFit="1" customWidth="1"/>
    <col min="6414" max="6414" width="10.26953125" style="399" customWidth="1"/>
    <col min="6415" max="6415" width="13.7265625" style="399" bestFit="1" customWidth="1"/>
    <col min="6416" max="6655" width="5.7265625" style="399" customWidth="1"/>
    <col min="6656" max="6656" width="4.1796875" style="399"/>
    <col min="6657" max="6657" width="47.54296875" style="399" customWidth="1"/>
    <col min="6658" max="6658" width="2.26953125" style="399" customWidth="1"/>
    <col min="6659" max="6659" width="15" style="399" customWidth="1"/>
    <col min="6660" max="6660" width="2.453125" style="399" customWidth="1"/>
    <col min="6661" max="6661" width="14.54296875" style="399" customWidth="1"/>
    <col min="6662" max="6662" width="3.81640625" style="399" customWidth="1"/>
    <col min="6663" max="6663" width="13.81640625" style="399" bestFit="1" customWidth="1"/>
    <col min="6664" max="6664" width="2" style="399" customWidth="1"/>
    <col min="6665" max="6665" width="16" style="399" customWidth="1"/>
    <col min="6666" max="6666" width="3.81640625" style="399" customWidth="1"/>
    <col min="6667" max="6667" width="17" style="399" bestFit="1" customWidth="1"/>
    <col min="6668" max="6668" width="3.26953125" style="399" customWidth="1"/>
    <col min="6669" max="6669" width="13.81640625" style="399" bestFit="1" customWidth="1"/>
    <col min="6670" max="6670" width="10.26953125" style="399" customWidth="1"/>
    <col min="6671" max="6671" width="13.7265625" style="399" bestFit="1" customWidth="1"/>
    <col min="6672" max="6911" width="5.7265625" style="399" customWidth="1"/>
    <col min="6912" max="6912" width="4.1796875" style="399"/>
    <col min="6913" max="6913" width="47.54296875" style="399" customWidth="1"/>
    <col min="6914" max="6914" width="2.26953125" style="399" customWidth="1"/>
    <col min="6915" max="6915" width="15" style="399" customWidth="1"/>
    <col min="6916" max="6916" width="2.453125" style="399" customWidth="1"/>
    <col min="6917" max="6917" width="14.54296875" style="399" customWidth="1"/>
    <col min="6918" max="6918" width="3.81640625" style="399" customWidth="1"/>
    <col min="6919" max="6919" width="13.81640625" style="399" bestFit="1" customWidth="1"/>
    <col min="6920" max="6920" width="2" style="399" customWidth="1"/>
    <col min="6921" max="6921" width="16" style="399" customWidth="1"/>
    <col min="6922" max="6922" width="3.81640625" style="399" customWidth="1"/>
    <col min="6923" max="6923" width="17" style="399" bestFit="1" customWidth="1"/>
    <col min="6924" max="6924" width="3.26953125" style="399" customWidth="1"/>
    <col min="6925" max="6925" width="13.81640625" style="399" bestFit="1" customWidth="1"/>
    <col min="6926" max="6926" width="10.26953125" style="399" customWidth="1"/>
    <col min="6927" max="6927" width="13.7265625" style="399" bestFit="1" customWidth="1"/>
    <col min="6928" max="7167" width="5.7265625" style="399" customWidth="1"/>
    <col min="7168" max="7168" width="4.1796875" style="399"/>
    <col min="7169" max="7169" width="47.54296875" style="399" customWidth="1"/>
    <col min="7170" max="7170" width="2.26953125" style="399" customWidth="1"/>
    <col min="7171" max="7171" width="15" style="399" customWidth="1"/>
    <col min="7172" max="7172" width="2.453125" style="399" customWidth="1"/>
    <col min="7173" max="7173" width="14.54296875" style="399" customWidth="1"/>
    <col min="7174" max="7174" width="3.81640625" style="399" customWidth="1"/>
    <col min="7175" max="7175" width="13.81640625" style="399" bestFit="1" customWidth="1"/>
    <col min="7176" max="7176" width="2" style="399" customWidth="1"/>
    <col min="7177" max="7177" width="16" style="399" customWidth="1"/>
    <col min="7178" max="7178" width="3.81640625" style="399" customWidth="1"/>
    <col min="7179" max="7179" width="17" style="399" bestFit="1" customWidth="1"/>
    <col min="7180" max="7180" width="3.26953125" style="399" customWidth="1"/>
    <col min="7181" max="7181" width="13.81640625" style="399" bestFit="1" customWidth="1"/>
    <col min="7182" max="7182" width="10.26953125" style="399" customWidth="1"/>
    <col min="7183" max="7183" width="13.7265625" style="399" bestFit="1" customWidth="1"/>
    <col min="7184" max="7423" width="5.7265625" style="399" customWidth="1"/>
    <col min="7424" max="7424" width="4.1796875" style="399"/>
    <col min="7425" max="7425" width="47.54296875" style="399" customWidth="1"/>
    <col min="7426" max="7426" width="2.26953125" style="399" customWidth="1"/>
    <col min="7427" max="7427" width="15" style="399" customWidth="1"/>
    <col min="7428" max="7428" width="2.453125" style="399" customWidth="1"/>
    <col min="7429" max="7429" width="14.54296875" style="399" customWidth="1"/>
    <col min="7430" max="7430" width="3.81640625" style="399" customWidth="1"/>
    <col min="7431" max="7431" width="13.81640625" style="399" bestFit="1" customWidth="1"/>
    <col min="7432" max="7432" width="2" style="399" customWidth="1"/>
    <col min="7433" max="7433" width="16" style="399" customWidth="1"/>
    <col min="7434" max="7434" width="3.81640625" style="399" customWidth="1"/>
    <col min="7435" max="7435" width="17" style="399" bestFit="1" customWidth="1"/>
    <col min="7436" max="7436" width="3.26953125" style="399" customWidth="1"/>
    <col min="7437" max="7437" width="13.81640625" style="399" bestFit="1" customWidth="1"/>
    <col min="7438" max="7438" width="10.26953125" style="399" customWidth="1"/>
    <col min="7439" max="7439" width="13.7265625" style="399" bestFit="1" customWidth="1"/>
    <col min="7440" max="7679" width="5.7265625" style="399" customWidth="1"/>
    <col min="7680" max="7680" width="4.1796875" style="399"/>
    <col min="7681" max="7681" width="47.54296875" style="399" customWidth="1"/>
    <col min="7682" max="7682" width="2.26953125" style="399" customWidth="1"/>
    <col min="7683" max="7683" width="15" style="399" customWidth="1"/>
    <col min="7684" max="7684" width="2.453125" style="399" customWidth="1"/>
    <col min="7685" max="7685" width="14.54296875" style="399" customWidth="1"/>
    <col min="7686" max="7686" width="3.81640625" style="399" customWidth="1"/>
    <col min="7687" max="7687" width="13.81640625" style="399" bestFit="1" customWidth="1"/>
    <col min="7688" max="7688" width="2" style="399" customWidth="1"/>
    <col min="7689" max="7689" width="16" style="399" customWidth="1"/>
    <col min="7690" max="7690" width="3.81640625" style="399" customWidth="1"/>
    <col min="7691" max="7691" width="17" style="399" bestFit="1" customWidth="1"/>
    <col min="7692" max="7692" width="3.26953125" style="399" customWidth="1"/>
    <col min="7693" max="7693" width="13.81640625" style="399" bestFit="1" customWidth="1"/>
    <col min="7694" max="7694" width="10.26953125" style="399" customWidth="1"/>
    <col min="7695" max="7695" width="13.7265625" style="399" bestFit="1" customWidth="1"/>
    <col min="7696" max="7935" width="5.7265625" style="399" customWidth="1"/>
    <col min="7936" max="7936" width="4.1796875" style="399"/>
    <col min="7937" max="7937" width="47.54296875" style="399" customWidth="1"/>
    <col min="7938" max="7938" width="2.26953125" style="399" customWidth="1"/>
    <col min="7939" max="7939" width="15" style="399" customWidth="1"/>
    <col min="7940" max="7940" width="2.453125" style="399" customWidth="1"/>
    <col min="7941" max="7941" width="14.54296875" style="399" customWidth="1"/>
    <col min="7942" max="7942" width="3.81640625" style="399" customWidth="1"/>
    <col min="7943" max="7943" width="13.81640625" style="399" bestFit="1" customWidth="1"/>
    <col min="7944" max="7944" width="2" style="399" customWidth="1"/>
    <col min="7945" max="7945" width="16" style="399" customWidth="1"/>
    <col min="7946" max="7946" width="3.81640625" style="399" customWidth="1"/>
    <col min="7947" max="7947" width="17" style="399" bestFit="1" customWidth="1"/>
    <col min="7948" max="7948" width="3.26953125" style="399" customWidth="1"/>
    <col min="7949" max="7949" width="13.81640625" style="399" bestFit="1" customWidth="1"/>
    <col min="7950" max="7950" width="10.26953125" style="399" customWidth="1"/>
    <col min="7951" max="7951" width="13.7265625" style="399" bestFit="1" customWidth="1"/>
    <col min="7952" max="8191" width="5.7265625" style="399" customWidth="1"/>
    <col min="8192" max="8192" width="4.1796875" style="399"/>
    <col min="8193" max="8193" width="47.54296875" style="399" customWidth="1"/>
    <col min="8194" max="8194" width="2.26953125" style="399" customWidth="1"/>
    <col min="8195" max="8195" width="15" style="399" customWidth="1"/>
    <col min="8196" max="8196" width="2.453125" style="399" customWidth="1"/>
    <col min="8197" max="8197" width="14.54296875" style="399" customWidth="1"/>
    <col min="8198" max="8198" width="3.81640625" style="399" customWidth="1"/>
    <col min="8199" max="8199" width="13.81640625" style="399" bestFit="1" customWidth="1"/>
    <col min="8200" max="8200" width="2" style="399" customWidth="1"/>
    <col min="8201" max="8201" width="16" style="399" customWidth="1"/>
    <col min="8202" max="8202" width="3.81640625" style="399" customWidth="1"/>
    <col min="8203" max="8203" width="17" style="399" bestFit="1" customWidth="1"/>
    <col min="8204" max="8204" width="3.26953125" style="399" customWidth="1"/>
    <col min="8205" max="8205" width="13.81640625" style="399" bestFit="1" customWidth="1"/>
    <col min="8206" max="8206" width="10.26953125" style="399" customWidth="1"/>
    <col min="8207" max="8207" width="13.7265625" style="399" bestFit="1" customWidth="1"/>
    <col min="8208" max="8447" width="5.7265625" style="399" customWidth="1"/>
    <col min="8448" max="8448" width="4.1796875" style="399"/>
    <col min="8449" max="8449" width="47.54296875" style="399" customWidth="1"/>
    <col min="8450" max="8450" width="2.26953125" style="399" customWidth="1"/>
    <col min="8451" max="8451" width="15" style="399" customWidth="1"/>
    <col min="8452" max="8452" width="2.453125" style="399" customWidth="1"/>
    <col min="8453" max="8453" width="14.54296875" style="399" customWidth="1"/>
    <col min="8454" max="8454" width="3.81640625" style="399" customWidth="1"/>
    <col min="8455" max="8455" width="13.81640625" style="399" bestFit="1" customWidth="1"/>
    <col min="8456" max="8456" width="2" style="399" customWidth="1"/>
    <col min="8457" max="8457" width="16" style="399" customWidth="1"/>
    <col min="8458" max="8458" width="3.81640625" style="399" customWidth="1"/>
    <col min="8459" max="8459" width="17" style="399" bestFit="1" customWidth="1"/>
    <col min="8460" max="8460" width="3.26953125" style="399" customWidth="1"/>
    <col min="8461" max="8461" width="13.81640625" style="399" bestFit="1" customWidth="1"/>
    <col min="8462" max="8462" width="10.26953125" style="399" customWidth="1"/>
    <col min="8463" max="8463" width="13.7265625" style="399" bestFit="1" customWidth="1"/>
    <col min="8464" max="8703" width="5.7265625" style="399" customWidth="1"/>
    <col min="8704" max="8704" width="4.1796875" style="399"/>
    <col min="8705" max="8705" width="47.54296875" style="399" customWidth="1"/>
    <col min="8706" max="8706" width="2.26953125" style="399" customWidth="1"/>
    <col min="8707" max="8707" width="15" style="399" customWidth="1"/>
    <col min="8708" max="8708" width="2.453125" style="399" customWidth="1"/>
    <col min="8709" max="8709" width="14.54296875" style="399" customWidth="1"/>
    <col min="8710" max="8710" width="3.81640625" style="399" customWidth="1"/>
    <col min="8711" max="8711" width="13.81640625" style="399" bestFit="1" customWidth="1"/>
    <col min="8712" max="8712" width="2" style="399" customWidth="1"/>
    <col min="8713" max="8713" width="16" style="399" customWidth="1"/>
    <col min="8714" max="8714" width="3.81640625" style="399" customWidth="1"/>
    <col min="8715" max="8715" width="17" style="399" bestFit="1" customWidth="1"/>
    <col min="8716" max="8716" width="3.26953125" style="399" customWidth="1"/>
    <col min="8717" max="8717" width="13.81640625" style="399" bestFit="1" customWidth="1"/>
    <col min="8718" max="8718" width="10.26953125" style="399" customWidth="1"/>
    <col min="8719" max="8719" width="13.7265625" style="399" bestFit="1" customWidth="1"/>
    <col min="8720" max="8959" width="5.7265625" style="399" customWidth="1"/>
    <col min="8960" max="8960" width="4.1796875" style="399"/>
    <col min="8961" max="8961" width="47.54296875" style="399" customWidth="1"/>
    <col min="8962" max="8962" width="2.26953125" style="399" customWidth="1"/>
    <col min="8963" max="8963" width="15" style="399" customWidth="1"/>
    <col min="8964" max="8964" width="2.453125" style="399" customWidth="1"/>
    <col min="8965" max="8965" width="14.54296875" style="399" customWidth="1"/>
    <col min="8966" max="8966" width="3.81640625" style="399" customWidth="1"/>
    <col min="8967" max="8967" width="13.81640625" style="399" bestFit="1" customWidth="1"/>
    <col min="8968" max="8968" width="2" style="399" customWidth="1"/>
    <col min="8969" max="8969" width="16" style="399" customWidth="1"/>
    <col min="8970" max="8970" width="3.81640625" style="399" customWidth="1"/>
    <col min="8971" max="8971" width="17" style="399" bestFit="1" customWidth="1"/>
    <col min="8972" max="8972" width="3.26953125" style="399" customWidth="1"/>
    <col min="8973" max="8973" width="13.81640625" style="399" bestFit="1" customWidth="1"/>
    <col min="8974" max="8974" width="10.26953125" style="399" customWidth="1"/>
    <col min="8975" max="8975" width="13.7265625" style="399" bestFit="1" customWidth="1"/>
    <col min="8976" max="9215" width="5.7265625" style="399" customWidth="1"/>
    <col min="9216" max="9216" width="4.1796875" style="399"/>
    <col min="9217" max="9217" width="47.54296875" style="399" customWidth="1"/>
    <col min="9218" max="9218" width="2.26953125" style="399" customWidth="1"/>
    <col min="9219" max="9219" width="15" style="399" customWidth="1"/>
    <col min="9220" max="9220" width="2.453125" style="399" customWidth="1"/>
    <col min="9221" max="9221" width="14.54296875" style="399" customWidth="1"/>
    <col min="9222" max="9222" width="3.81640625" style="399" customWidth="1"/>
    <col min="9223" max="9223" width="13.81640625" style="399" bestFit="1" customWidth="1"/>
    <col min="9224" max="9224" width="2" style="399" customWidth="1"/>
    <col min="9225" max="9225" width="16" style="399" customWidth="1"/>
    <col min="9226" max="9226" width="3.81640625" style="399" customWidth="1"/>
    <col min="9227" max="9227" width="17" style="399" bestFit="1" customWidth="1"/>
    <col min="9228" max="9228" width="3.26953125" style="399" customWidth="1"/>
    <col min="9229" max="9229" width="13.81640625" style="399" bestFit="1" customWidth="1"/>
    <col min="9230" max="9230" width="10.26953125" style="399" customWidth="1"/>
    <col min="9231" max="9231" width="13.7265625" style="399" bestFit="1" customWidth="1"/>
    <col min="9232" max="9471" width="5.7265625" style="399" customWidth="1"/>
    <col min="9472" max="9472" width="4.1796875" style="399"/>
    <col min="9473" max="9473" width="47.54296875" style="399" customWidth="1"/>
    <col min="9474" max="9474" width="2.26953125" style="399" customWidth="1"/>
    <col min="9475" max="9475" width="15" style="399" customWidth="1"/>
    <col min="9476" max="9476" width="2.453125" style="399" customWidth="1"/>
    <col min="9477" max="9477" width="14.54296875" style="399" customWidth="1"/>
    <col min="9478" max="9478" width="3.81640625" style="399" customWidth="1"/>
    <col min="9479" max="9479" width="13.81640625" style="399" bestFit="1" customWidth="1"/>
    <col min="9480" max="9480" width="2" style="399" customWidth="1"/>
    <col min="9481" max="9481" width="16" style="399" customWidth="1"/>
    <col min="9482" max="9482" width="3.81640625" style="399" customWidth="1"/>
    <col min="9483" max="9483" width="17" style="399" bestFit="1" customWidth="1"/>
    <col min="9484" max="9484" width="3.26953125" style="399" customWidth="1"/>
    <col min="9485" max="9485" width="13.81640625" style="399" bestFit="1" customWidth="1"/>
    <col min="9486" max="9486" width="10.26953125" style="399" customWidth="1"/>
    <col min="9487" max="9487" width="13.7265625" style="399" bestFit="1" customWidth="1"/>
    <col min="9488" max="9727" width="5.7265625" style="399" customWidth="1"/>
    <col min="9728" max="9728" width="4.1796875" style="399"/>
    <col min="9729" max="9729" width="47.54296875" style="399" customWidth="1"/>
    <col min="9730" max="9730" width="2.26953125" style="399" customWidth="1"/>
    <col min="9731" max="9731" width="15" style="399" customWidth="1"/>
    <col min="9732" max="9732" width="2.453125" style="399" customWidth="1"/>
    <col min="9733" max="9733" width="14.54296875" style="399" customWidth="1"/>
    <col min="9734" max="9734" width="3.81640625" style="399" customWidth="1"/>
    <col min="9735" max="9735" width="13.81640625" style="399" bestFit="1" customWidth="1"/>
    <col min="9736" max="9736" width="2" style="399" customWidth="1"/>
    <col min="9737" max="9737" width="16" style="399" customWidth="1"/>
    <col min="9738" max="9738" width="3.81640625" style="399" customWidth="1"/>
    <col min="9739" max="9739" width="17" style="399" bestFit="1" customWidth="1"/>
    <col min="9740" max="9740" width="3.26953125" style="399" customWidth="1"/>
    <col min="9741" max="9741" width="13.81640625" style="399" bestFit="1" customWidth="1"/>
    <col min="9742" max="9742" width="10.26953125" style="399" customWidth="1"/>
    <col min="9743" max="9743" width="13.7265625" style="399" bestFit="1" customWidth="1"/>
    <col min="9744" max="9983" width="5.7265625" style="399" customWidth="1"/>
    <col min="9984" max="9984" width="4.1796875" style="399"/>
    <col min="9985" max="9985" width="47.54296875" style="399" customWidth="1"/>
    <col min="9986" max="9986" width="2.26953125" style="399" customWidth="1"/>
    <col min="9987" max="9987" width="15" style="399" customWidth="1"/>
    <col min="9988" max="9988" width="2.453125" style="399" customWidth="1"/>
    <col min="9989" max="9989" width="14.54296875" style="399" customWidth="1"/>
    <col min="9990" max="9990" width="3.81640625" style="399" customWidth="1"/>
    <col min="9991" max="9991" width="13.81640625" style="399" bestFit="1" customWidth="1"/>
    <col min="9992" max="9992" width="2" style="399" customWidth="1"/>
    <col min="9993" max="9993" width="16" style="399" customWidth="1"/>
    <col min="9994" max="9994" width="3.81640625" style="399" customWidth="1"/>
    <col min="9995" max="9995" width="17" style="399" bestFit="1" customWidth="1"/>
    <col min="9996" max="9996" width="3.26953125" style="399" customWidth="1"/>
    <col min="9997" max="9997" width="13.81640625" style="399" bestFit="1" customWidth="1"/>
    <col min="9998" max="9998" width="10.26953125" style="399" customWidth="1"/>
    <col min="9999" max="9999" width="13.7265625" style="399" bestFit="1" customWidth="1"/>
    <col min="10000" max="10239" width="5.7265625" style="399" customWidth="1"/>
    <col min="10240" max="10240" width="4.1796875" style="399"/>
    <col min="10241" max="10241" width="47.54296875" style="399" customWidth="1"/>
    <col min="10242" max="10242" width="2.26953125" style="399" customWidth="1"/>
    <col min="10243" max="10243" width="15" style="399" customWidth="1"/>
    <col min="10244" max="10244" width="2.453125" style="399" customWidth="1"/>
    <col min="10245" max="10245" width="14.54296875" style="399" customWidth="1"/>
    <col min="10246" max="10246" width="3.81640625" style="399" customWidth="1"/>
    <col min="10247" max="10247" width="13.81640625" style="399" bestFit="1" customWidth="1"/>
    <col min="10248" max="10248" width="2" style="399" customWidth="1"/>
    <col min="10249" max="10249" width="16" style="399" customWidth="1"/>
    <col min="10250" max="10250" width="3.81640625" style="399" customWidth="1"/>
    <col min="10251" max="10251" width="17" style="399" bestFit="1" customWidth="1"/>
    <col min="10252" max="10252" width="3.26953125" style="399" customWidth="1"/>
    <col min="10253" max="10253" width="13.81640625" style="399" bestFit="1" customWidth="1"/>
    <col min="10254" max="10254" width="10.26953125" style="399" customWidth="1"/>
    <col min="10255" max="10255" width="13.7265625" style="399" bestFit="1" customWidth="1"/>
    <col min="10256" max="10495" width="5.7265625" style="399" customWidth="1"/>
    <col min="10496" max="10496" width="4.1796875" style="399"/>
    <col min="10497" max="10497" width="47.54296875" style="399" customWidth="1"/>
    <col min="10498" max="10498" width="2.26953125" style="399" customWidth="1"/>
    <col min="10499" max="10499" width="15" style="399" customWidth="1"/>
    <col min="10500" max="10500" width="2.453125" style="399" customWidth="1"/>
    <col min="10501" max="10501" width="14.54296875" style="399" customWidth="1"/>
    <col min="10502" max="10502" width="3.81640625" style="399" customWidth="1"/>
    <col min="10503" max="10503" width="13.81640625" style="399" bestFit="1" customWidth="1"/>
    <col min="10504" max="10504" width="2" style="399" customWidth="1"/>
    <col min="10505" max="10505" width="16" style="399" customWidth="1"/>
    <col min="10506" max="10506" width="3.81640625" style="399" customWidth="1"/>
    <col min="10507" max="10507" width="17" style="399" bestFit="1" customWidth="1"/>
    <col min="10508" max="10508" width="3.26953125" style="399" customWidth="1"/>
    <col min="10509" max="10509" width="13.81640625" style="399" bestFit="1" customWidth="1"/>
    <col min="10510" max="10510" width="10.26953125" style="399" customWidth="1"/>
    <col min="10511" max="10511" width="13.7265625" style="399" bestFit="1" customWidth="1"/>
    <col min="10512" max="10751" width="5.7265625" style="399" customWidth="1"/>
    <col min="10752" max="10752" width="4.1796875" style="399"/>
    <col min="10753" max="10753" width="47.54296875" style="399" customWidth="1"/>
    <col min="10754" max="10754" width="2.26953125" style="399" customWidth="1"/>
    <col min="10755" max="10755" width="15" style="399" customWidth="1"/>
    <col min="10756" max="10756" width="2.453125" style="399" customWidth="1"/>
    <col min="10757" max="10757" width="14.54296875" style="399" customWidth="1"/>
    <col min="10758" max="10758" width="3.81640625" style="399" customWidth="1"/>
    <col min="10759" max="10759" width="13.81640625" style="399" bestFit="1" customWidth="1"/>
    <col min="10760" max="10760" width="2" style="399" customWidth="1"/>
    <col min="10761" max="10761" width="16" style="399" customWidth="1"/>
    <col min="10762" max="10762" width="3.81640625" style="399" customWidth="1"/>
    <col min="10763" max="10763" width="17" style="399" bestFit="1" customWidth="1"/>
    <col min="10764" max="10764" width="3.26953125" style="399" customWidth="1"/>
    <col min="10765" max="10765" width="13.81640625" style="399" bestFit="1" customWidth="1"/>
    <col min="10766" max="10766" width="10.26953125" style="399" customWidth="1"/>
    <col min="10767" max="10767" width="13.7265625" style="399" bestFit="1" customWidth="1"/>
    <col min="10768" max="11007" width="5.7265625" style="399" customWidth="1"/>
    <col min="11008" max="11008" width="4.1796875" style="399"/>
    <col min="11009" max="11009" width="47.54296875" style="399" customWidth="1"/>
    <col min="11010" max="11010" width="2.26953125" style="399" customWidth="1"/>
    <col min="11011" max="11011" width="15" style="399" customWidth="1"/>
    <col min="11012" max="11012" width="2.453125" style="399" customWidth="1"/>
    <col min="11013" max="11013" width="14.54296875" style="399" customWidth="1"/>
    <col min="11014" max="11014" width="3.81640625" style="399" customWidth="1"/>
    <col min="11015" max="11015" width="13.81640625" style="399" bestFit="1" customWidth="1"/>
    <col min="11016" max="11016" width="2" style="399" customWidth="1"/>
    <col min="11017" max="11017" width="16" style="399" customWidth="1"/>
    <col min="11018" max="11018" width="3.81640625" style="399" customWidth="1"/>
    <col min="11019" max="11019" width="17" style="399" bestFit="1" customWidth="1"/>
    <col min="11020" max="11020" width="3.26953125" style="399" customWidth="1"/>
    <col min="11021" max="11021" width="13.81640625" style="399" bestFit="1" customWidth="1"/>
    <col min="11022" max="11022" width="10.26953125" style="399" customWidth="1"/>
    <col min="11023" max="11023" width="13.7265625" style="399" bestFit="1" customWidth="1"/>
    <col min="11024" max="11263" width="5.7265625" style="399" customWidth="1"/>
    <col min="11264" max="11264" width="4.1796875" style="399"/>
    <col min="11265" max="11265" width="47.54296875" style="399" customWidth="1"/>
    <col min="11266" max="11266" width="2.26953125" style="399" customWidth="1"/>
    <col min="11267" max="11267" width="15" style="399" customWidth="1"/>
    <col min="11268" max="11268" width="2.453125" style="399" customWidth="1"/>
    <col min="11269" max="11269" width="14.54296875" style="399" customWidth="1"/>
    <col min="11270" max="11270" width="3.81640625" style="399" customWidth="1"/>
    <col min="11271" max="11271" width="13.81640625" style="399" bestFit="1" customWidth="1"/>
    <col min="11272" max="11272" width="2" style="399" customWidth="1"/>
    <col min="11273" max="11273" width="16" style="399" customWidth="1"/>
    <col min="11274" max="11274" width="3.81640625" style="399" customWidth="1"/>
    <col min="11275" max="11275" width="17" style="399" bestFit="1" customWidth="1"/>
    <col min="11276" max="11276" width="3.26953125" style="399" customWidth="1"/>
    <col min="11277" max="11277" width="13.81640625" style="399" bestFit="1" customWidth="1"/>
    <col min="11278" max="11278" width="10.26953125" style="399" customWidth="1"/>
    <col min="11279" max="11279" width="13.7265625" style="399" bestFit="1" customWidth="1"/>
    <col min="11280" max="11519" width="5.7265625" style="399" customWidth="1"/>
    <col min="11520" max="11520" width="4.1796875" style="399"/>
    <col min="11521" max="11521" width="47.54296875" style="399" customWidth="1"/>
    <col min="11522" max="11522" width="2.26953125" style="399" customWidth="1"/>
    <col min="11523" max="11523" width="15" style="399" customWidth="1"/>
    <col min="11524" max="11524" width="2.453125" style="399" customWidth="1"/>
    <col min="11525" max="11525" width="14.54296875" style="399" customWidth="1"/>
    <col min="11526" max="11526" width="3.81640625" style="399" customWidth="1"/>
    <col min="11527" max="11527" width="13.81640625" style="399" bestFit="1" customWidth="1"/>
    <col min="11528" max="11528" width="2" style="399" customWidth="1"/>
    <col min="11529" max="11529" width="16" style="399" customWidth="1"/>
    <col min="11530" max="11530" width="3.81640625" style="399" customWidth="1"/>
    <col min="11531" max="11531" width="17" style="399" bestFit="1" customWidth="1"/>
    <col min="11532" max="11532" width="3.26953125" style="399" customWidth="1"/>
    <col min="11533" max="11533" width="13.81640625" style="399" bestFit="1" customWidth="1"/>
    <col min="11534" max="11534" width="10.26953125" style="399" customWidth="1"/>
    <col min="11535" max="11535" width="13.7265625" style="399" bestFit="1" customWidth="1"/>
    <col min="11536" max="11775" width="5.7265625" style="399" customWidth="1"/>
    <col min="11776" max="11776" width="4.1796875" style="399"/>
    <col min="11777" max="11777" width="47.54296875" style="399" customWidth="1"/>
    <col min="11778" max="11778" width="2.26953125" style="399" customWidth="1"/>
    <col min="11779" max="11779" width="15" style="399" customWidth="1"/>
    <col min="11780" max="11780" width="2.453125" style="399" customWidth="1"/>
    <col min="11781" max="11781" width="14.54296875" style="399" customWidth="1"/>
    <col min="11782" max="11782" width="3.81640625" style="399" customWidth="1"/>
    <col min="11783" max="11783" width="13.81640625" style="399" bestFit="1" customWidth="1"/>
    <col min="11784" max="11784" width="2" style="399" customWidth="1"/>
    <col min="11785" max="11785" width="16" style="399" customWidth="1"/>
    <col min="11786" max="11786" width="3.81640625" style="399" customWidth="1"/>
    <col min="11787" max="11787" width="17" style="399" bestFit="1" customWidth="1"/>
    <col min="11788" max="11788" width="3.26953125" style="399" customWidth="1"/>
    <col min="11789" max="11789" width="13.81640625" style="399" bestFit="1" customWidth="1"/>
    <col min="11790" max="11790" width="10.26953125" style="399" customWidth="1"/>
    <col min="11791" max="11791" width="13.7265625" style="399" bestFit="1" customWidth="1"/>
    <col min="11792" max="12031" width="5.7265625" style="399" customWidth="1"/>
    <col min="12032" max="12032" width="4.1796875" style="399"/>
    <col min="12033" max="12033" width="47.54296875" style="399" customWidth="1"/>
    <col min="12034" max="12034" width="2.26953125" style="399" customWidth="1"/>
    <col min="12035" max="12035" width="15" style="399" customWidth="1"/>
    <col min="12036" max="12036" width="2.453125" style="399" customWidth="1"/>
    <col min="12037" max="12037" width="14.54296875" style="399" customWidth="1"/>
    <col min="12038" max="12038" width="3.81640625" style="399" customWidth="1"/>
    <col min="12039" max="12039" width="13.81640625" style="399" bestFit="1" customWidth="1"/>
    <col min="12040" max="12040" width="2" style="399" customWidth="1"/>
    <col min="12041" max="12041" width="16" style="399" customWidth="1"/>
    <col min="12042" max="12042" width="3.81640625" style="399" customWidth="1"/>
    <col min="12043" max="12043" width="17" style="399" bestFit="1" customWidth="1"/>
    <col min="12044" max="12044" width="3.26953125" style="399" customWidth="1"/>
    <col min="12045" max="12045" width="13.81640625" style="399" bestFit="1" customWidth="1"/>
    <col min="12046" max="12046" width="10.26953125" style="399" customWidth="1"/>
    <col min="12047" max="12047" width="13.7265625" style="399" bestFit="1" customWidth="1"/>
    <col min="12048" max="12287" width="5.7265625" style="399" customWidth="1"/>
    <col min="12288" max="12288" width="4.1796875" style="399"/>
    <col min="12289" max="12289" width="47.54296875" style="399" customWidth="1"/>
    <col min="12290" max="12290" width="2.26953125" style="399" customWidth="1"/>
    <col min="12291" max="12291" width="15" style="399" customWidth="1"/>
    <col min="12292" max="12292" width="2.453125" style="399" customWidth="1"/>
    <col min="12293" max="12293" width="14.54296875" style="399" customWidth="1"/>
    <col min="12294" max="12294" width="3.81640625" style="399" customWidth="1"/>
    <col min="12295" max="12295" width="13.81640625" style="399" bestFit="1" customWidth="1"/>
    <col min="12296" max="12296" width="2" style="399" customWidth="1"/>
    <col min="12297" max="12297" width="16" style="399" customWidth="1"/>
    <col min="12298" max="12298" width="3.81640625" style="399" customWidth="1"/>
    <col min="12299" max="12299" width="17" style="399" bestFit="1" customWidth="1"/>
    <col min="12300" max="12300" width="3.26953125" style="399" customWidth="1"/>
    <col min="12301" max="12301" width="13.81640625" style="399" bestFit="1" customWidth="1"/>
    <col min="12302" max="12302" width="10.26953125" style="399" customWidth="1"/>
    <col min="12303" max="12303" width="13.7265625" style="399" bestFit="1" customWidth="1"/>
    <col min="12304" max="12543" width="5.7265625" style="399" customWidth="1"/>
    <col min="12544" max="12544" width="4.1796875" style="399"/>
    <col min="12545" max="12545" width="47.54296875" style="399" customWidth="1"/>
    <col min="12546" max="12546" width="2.26953125" style="399" customWidth="1"/>
    <col min="12547" max="12547" width="15" style="399" customWidth="1"/>
    <col min="12548" max="12548" width="2.453125" style="399" customWidth="1"/>
    <col min="12549" max="12549" width="14.54296875" style="399" customWidth="1"/>
    <col min="12550" max="12550" width="3.81640625" style="399" customWidth="1"/>
    <col min="12551" max="12551" width="13.81640625" style="399" bestFit="1" customWidth="1"/>
    <col min="12552" max="12552" width="2" style="399" customWidth="1"/>
    <col min="12553" max="12553" width="16" style="399" customWidth="1"/>
    <col min="12554" max="12554" width="3.81640625" style="399" customWidth="1"/>
    <col min="12555" max="12555" width="17" style="399" bestFit="1" customWidth="1"/>
    <col min="12556" max="12556" width="3.26953125" style="399" customWidth="1"/>
    <col min="12557" max="12557" width="13.81640625" style="399" bestFit="1" customWidth="1"/>
    <col min="12558" max="12558" width="10.26953125" style="399" customWidth="1"/>
    <col min="12559" max="12559" width="13.7265625" style="399" bestFit="1" customWidth="1"/>
    <col min="12560" max="12799" width="5.7265625" style="399" customWidth="1"/>
    <col min="12800" max="12800" width="4.1796875" style="399"/>
    <col min="12801" max="12801" width="47.54296875" style="399" customWidth="1"/>
    <col min="12802" max="12802" width="2.26953125" style="399" customWidth="1"/>
    <col min="12803" max="12803" width="15" style="399" customWidth="1"/>
    <col min="12804" max="12804" width="2.453125" style="399" customWidth="1"/>
    <col min="12805" max="12805" width="14.54296875" style="399" customWidth="1"/>
    <col min="12806" max="12806" width="3.81640625" style="399" customWidth="1"/>
    <col min="12807" max="12807" width="13.81640625" style="399" bestFit="1" customWidth="1"/>
    <col min="12808" max="12808" width="2" style="399" customWidth="1"/>
    <col min="12809" max="12809" width="16" style="399" customWidth="1"/>
    <col min="12810" max="12810" width="3.81640625" style="399" customWidth="1"/>
    <col min="12811" max="12811" width="17" style="399" bestFit="1" customWidth="1"/>
    <col min="12812" max="12812" width="3.26953125" style="399" customWidth="1"/>
    <col min="12813" max="12813" width="13.81640625" style="399" bestFit="1" customWidth="1"/>
    <col min="12814" max="12814" width="10.26953125" style="399" customWidth="1"/>
    <col min="12815" max="12815" width="13.7265625" style="399" bestFit="1" customWidth="1"/>
    <col min="12816" max="13055" width="5.7265625" style="399" customWidth="1"/>
    <col min="13056" max="13056" width="4.1796875" style="399"/>
    <col min="13057" max="13057" width="47.54296875" style="399" customWidth="1"/>
    <col min="13058" max="13058" width="2.26953125" style="399" customWidth="1"/>
    <col min="13059" max="13059" width="15" style="399" customWidth="1"/>
    <col min="13060" max="13060" width="2.453125" style="399" customWidth="1"/>
    <col min="13061" max="13061" width="14.54296875" style="399" customWidth="1"/>
    <col min="13062" max="13062" width="3.81640625" style="399" customWidth="1"/>
    <col min="13063" max="13063" width="13.81640625" style="399" bestFit="1" customWidth="1"/>
    <col min="13064" max="13064" width="2" style="399" customWidth="1"/>
    <col min="13065" max="13065" width="16" style="399" customWidth="1"/>
    <col min="13066" max="13066" width="3.81640625" style="399" customWidth="1"/>
    <col min="13067" max="13067" width="17" style="399" bestFit="1" customWidth="1"/>
    <col min="13068" max="13068" width="3.26953125" style="399" customWidth="1"/>
    <col min="13069" max="13069" width="13.81640625" style="399" bestFit="1" customWidth="1"/>
    <col min="13070" max="13070" width="10.26953125" style="399" customWidth="1"/>
    <col min="13071" max="13071" width="13.7265625" style="399" bestFit="1" customWidth="1"/>
    <col min="13072" max="13311" width="5.7265625" style="399" customWidth="1"/>
    <col min="13312" max="13312" width="4.1796875" style="399"/>
    <col min="13313" max="13313" width="47.54296875" style="399" customWidth="1"/>
    <col min="13314" max="13314" width="2.26953125" style="399" customWidth="1"/>
    <col min="13315" max="13315" width="15" style="399" customWidth="1"/>
    <col min="13316" max="13316" width="2.453125" style="399" customWidth="1"/>
    <col min="13317" max="13317" width="14.54296875" style="399" customWidth="1"/>
    <col min="13318" max="13318" width="3.81640625" style="399" customWidth="1"/>
    <col min="13319" max="13319" width="13.81640625" style="399" bestFit="1" customWidth="1"/>
    <col min="13320" max="13320" width="2" style="399" customWidth="1"/>
    <col min="13321" max="13321" width="16" style="399" customWidth="1"/>
    <col min="13322" max="13322" width="3.81640625" style="399" customWidth="1"/>
    <col min="13323" max="13323" width="17" style="399" bestFit="1" customWidth="1"/>
    <col min="13324" max="13324" width="3.26953125" style="399" customWidth="1"/>
    <col min="13325" max="13325" width="13.81640625" style="399" bestFit="1" customWidth="1"/>
    <col min="13326" max="13326" width="10.26953125" style="399" customWidth="1"/>
    <col min="13327" max="13327" width="13.7265625" style="399" bestFit="1" customWidth="1"/>
    <col min="13328" max="13567" width="5.7265625" style="399" customWidth="1"/>
    <col min="13568" max="13568" width="4.1796875" style="399"/>
    <col min="13569" max="13569" width="47.54296875" style="399" customWidth="1"/>
    <col min="13570" max="13570" width="2.26953125" style="399" customWidth="1"/>
    <col min="13571" max="13571" width="15" style="399" customWidth="1"/>
    <col min="13572" max="13572" width="2.453125" style="399" customWidth="1"/>
    <col min="13573" max="13573" width="14.54296875" style="399" customWidth="1"/>
    <col min="13574" max="13574" width="3.81640625" style="399" customWidth="1"/>
    <col min="13575" max="13575" width="13.81640625" style="399" bestFit="1" customWidth="1"/>
    <col min="13576" max="13576" width="2" style="399" customWidth="1"/>
    <col min="13577" max="13577" width="16" style="399" customWidth="1"/>
    <col min="13578" max="13578" width="3.81640625" style="399" customWidth="1"/>
    <col min="13579" max="13579" width="17" style="399" bestFit="1" customWidth="1"/>
    <col min="13580" max="13580" width="3.26953125" style="399" customWidth="1"/>
    <col min="13581" max="13581" width="13.81640625" style="399" bestFit="1" customWidth="1"/>
    <col min="13582" max="13582" width="10.26953125" style="399" customWidth="1"/>
    <col min="13583" max="13583" width="13.7265625" style="399" bestFit="1" customWidth="1"/>
    <col min="13584" max="13823" width="5.7265625" style="399" customWidth="1"/>
    <col min="13824" max="13824" width="4.1796875" style="399"/>
    <col min="13825" max="13825" width="47.54296875" style="399" customWidth="1"/>
    <col min="13826" max="13826" width="2.26953125" style="399" customWidth="1"/>
    <col min="13827" max="13827" width="15" style="399" customWidth="1"/>
    <col min="13828" max="13828" width="2.453125" style="399" customWidth="1"/>
    <col min="13829" max="13829" width="14.54296875" style="399" customWidth="1"/>
    <col min="13830" max="13830" width="3.81640625" style="399" customWidth="1"/>
    <col min="13831" max="13831" width="13.81640625" style="399" bestFit="1" customWidth="1"/>
    <col min="13832" max="13832" width="2" style="399" customWidth="1"/>
    <col min="13833" max="13833" width="16" style="399" customWidth="1"/>
    <col min="13834" max="13834" width="3.81640625" style="399" customWidth="1"/>
    <col min="13835" max="13835" width="17" style="399" bestFit="1" customWidth="1"/>
    <col min="13836" max="13836" width="3.26953125" style="399" customWidth="1"/>
    <col min="13837" max="13837" width="13.81640625" style="399" bestFit="1" customWidth="1"/>
    <col min="13838" max="13838" width="10.26953125" style="399" customWidth="1"/>
    <col min="13839" max="13839" width="13.7265625" style="399" bestFit="1" customWidth="1"/>
    <col min="13840" max="14079" width="5.7265625" style="399" customWidth="1"/>
    <col min="14080" max="14080" width="4.1796875" style="399"/>
    <col min="14081" max="14081" width="47.54296875" style="399" customWidth="1"/>
    <col min="14082" max="14082" width="2.26953125" style="399" customWidth="1"/>
    <col min="14083" max="14083" width="15" style="399" customWidth="1"/>
    <col min="14084" max="14084" width="2.453125" style="399" customWidth="1"/>
    <col min="14085" max="14085" width="14.54296875" style="399" customWidth="1"/>
    <col min="14086" max="14086" width="3.81640625" style="399" customWidth="1"/>
    <col min="14087" max="14087" width="13.81640625" style="399" bestFit="1" customWidth="1"/>
    <col min="14088" max="14088" width="2" style="399" customWidth="1"/>
    <col min="14089" max="14089" width="16" style="399" customWidth="1"/>
    <col min="14090" max="14090" width="3.81640625" style="399" customWidth="1"/>
    <col min="14091" max="14091" width="17" style="399" bestFit="1" customWidth="1"/>
    <col min="14092" max="14092" width="3.26953125" style="399" customWidth="1"/>
    <col min="14093" max="14093" width="13.81640625" style="399" bestFit="1" customWidth="1"/>
    <col min="14094" max="14094" width="10.26953125" style="399" customWidth="1"/>
    <col min="14095" max="14095" width="13.7265625" style="399" bestFit="1" customWidth="1"/>
    <col min="14096" max="14335" width="5.7265625" style="399" customWidth="1"/>
    <col min="14336" max="14336" width="4.1796875" style="399"/>
    <col min="14337" max="14337" width="47.54296875" style="399" customWidth="1"/>
    <col min="14338" max="14338" width="2.26953125" style="399" customWidth="1"/>
    <col min="14339" max="14339" width="15" style="399" customWidth="1"/>
    <col min="14340" max="14340" width="2.453125" style="399" customWidth="1"/>
    <col min="14341" max="14341" width="14.54296875" style="399" customWidth="1"/>
    <col min="14342" max="14342" width="3.81640625" style="399" customWidth="1"/>
    <col min="14343" max="14343" width="13.81640625" style="399" bestFit="1" customWidth="1"/>
    <col min="14344" max="14344" width="2" style="399" customWidth="1"/>
    <col min="14345" max="14345" width="16" style="399" customWidth="1"/>
    <col min="14346" max="14346" width="3.81640625" style="399" customWidth="1"/>
    <col min="14347" max="14347" width="17" style="399" bestFit="1" customWidth="1"/>
    <col min="14348" max="14348" width="3.26953125" style="399" customWidth="1"/>
    <col min="14349" max="14349" width="13.81640625" style="399" bestFit="1" customWidth="1"/>
    <col min="14350" max="14350" width="10.26953125" style="399" customWidth="1"/>
    <col min="14351" max="14351" width="13.7265625" style="399" bestFit="1" customWidth="1"/>
    <col min="14352" max="14591" width="5.7265625" style="399" customWidth="1"/>
    <col min="14592" max="14592" width="4.1796875" style="399"/>
    <col min="14593" max="14593" width="47.54296875" style="399" customWidth="1"/>
    <col min="14594" max="14594" width="2.26953125" style="399" customWidth="1"/>
    <col min="14595" max="14595" width="15" style="399" customWidth="1"/>
    <col min="14596" max="14596" width="2.453125" style="399" customWidth="1"/>
    <col min="14597" max="14597" width="14.54296875" style="399" customWidth="1"/>
    <col min="14598" max="14598" width="3.81640625" style="399" customWidth="1"/>
    <col min="14599" max="14599" width="13.81640625" style="399" bestFit="1" customWidth="1"/>
    <col min="14600" max="14600" width="2" style="399" customWidth="1"/>
    <col min="14601" max="14601" width="16" style="399" customWidth="1"/>
    <col min="14602" max="14602" width="3.81640625" style="399" customWidth="1"/>
    <col min="14603" max="14603" width="17" style="399" bestFit="1" customWidth="1"/>
    <col min="14604" max="14604" width="3.26953125" style="399" customWidth="1"/>
    <col min="14605" max="14605" width="13.81640625" style="399" bestFit="1" customWidth="1"/>
    <col min="14606" max="14606" width="10.26953125" style="399" customWidth="1"/>
    <col min="14607" max="14607" width="13.7265625" style="399" bestFit="1" customWidth="1"/>
    <col min="14608" max="14847" width="5.7265625" style="399" customWidth="1"/>
    <col min="14848" max="14848" width="4.1796875" style="399"/>
    <col min="14849" max="14849" width="47.54296875" style="399" customWidth="1"/>
    <col min="14850" max="14850" width="2.26953125" style="399" customWidth="1"/>
    <col min="14851" max="14851" width="15" style="399" customWidth="1"/>
    <col min="14852" max="14852" width="2.453125" style="399" customWidth="1"/>
    <col min="14853" max="14853" width="14.54296875" style="399" customWidth="1"/>
    <col min="14854" max="14854" width="3.81640625" style="399" customWidth="1"/>
    <col min="14855" max="14855" width="13.81640625" style="399" bestFit="1" customWidth="1"/>
    <col min="14856" max="14856" width="2" style="399" customWidth="1"/>
    <col min="14857" max="14857" width="16" style="399" customWidth="1"/>
    <col min="14858" max="14858" width="3.81640625" style="399" customWidth="1"/>
    <col min="14859" max="14859" width="17" style="399" bestFit="1" customWidth="1"/>
    <col min="14860" max="14860" width="3.26953125" style="399" customWidth="1"/>
    <col min="14861" max="14861" width="13.81640625" style="399" bestFit="1" customWidth="1"/>
    <col min="14862" max="14862" width="10.26953125" style="399" customWidth="1"/>
    <col min="14863" max="14863" width="13.7265625" style="399" bestFit="1" customWidth="1"/>
    <col min="14864" max="15103" width="5.7265625" style="399" customWidth="1"/>
    <col min="15104" max="15104" width="4.1796875" style="399"/>
    <col min="15105" max="15105" width="47.54296875" style="399" customWidth="1"/>
    <col min="15106" max="15106" width="2.26953125" style="399" customWidth="1"/>
    <col min="15107" max="15107" width="15" style="399" customWidth="1"/>
    <col min="15108" max="15108" width="2.453125" style="399" customWidth="1"/>
    <col min="15109" max="15109" width="14.54296875" style="399" customWidth="1"/>
    <col min="15110" max="15110" width="3.81640625" style="399" customWidth="1"/>
    <col min="15111" max="15111" width="13.81640625" style="399" bestFit="1" customWidth="1"/>
    <col min="15112" max="15112" width="2" style="399" customWidth="1"/>
    <col min="15113" max="15113" width="16" style="399" customWidth="1"/>
    <col min="15114" max="15114" width="3.81640625" style="399" customWidth="1"/>
    <col min="15115" max="15115" width="17" style="399" bestFit="1" customWidth="1"/>
    <col min="15116" max="15116" width="3.26953125" style="399" customWidth="1"/>
    <col min="15117" max="15117" width="13.81640625" style="399" bestFit="1" customWidth="1"/>
    <col min="15118" max="15118" width="10.26953125" style="399" customWidth="1"/>
    <col min="15119" max="15119" width="13.7265625" style="399" bestFit="1" customWidth="1"/>
    <col min="15120" max="15359" width="5.7265625" style="399" customWidth="1"/>
    <col min="15360" max="15360" width="4.1796875" style="399"/>
    <col min="15361" max="15361" width="47.54296875" style="399" customWidth="1"/>
    <col min="15362" max="15362" width="2.26953125" style="399" customWidth="1"/>
    <col min="15363" max="15363" width="15" style="399" customWidth="1"/>
    <col min="15364" max="15364" width="2.453125" style="399" customWidth="1"/>
    <col min="15365" max="15365" width="14.54296875" style="399" customWidth="1"/>
    <col min="15366" max="15366" width="3.81640625" style="399" customWidth="1"/>
    <col min="15367" max="15367" width="13.81640625" style="399" bestFit="1" customWidth="1"/>
    <col min="15368" max="15368" width="2" style="399" customWidth="1"/>
    <col min="15369" max="15369" width="16" style="399" customWidth="1"/>
    <col min="15370" max="15370" width="3.81640625" style="399" customWidth="1"/>
    <col min="15371" max="15371" width="17" style="399" bestFit="1" customWidth="1"/>
    <col min="15372" max="15372" width="3.26953125" style="399" customWidth="1"/>
    <col min="15373" max="15373" width="13.81640625" style="399" bestFit="1" customWidth="1"/>
    <col min="15374" max="15374" width="10.26953125" style="399" customWidth="1"/>
    <col min="15375" max="15375" width="13.7265625" style="399" bestFit="1" customWidth="1"/>
    <col min="15376" max="15615" width="5.7265625" style="399" customWidth="1"/>
    <col min="15616" max="15616" width="4.1796875" style="399"/>
    <col min="15617" max="15617" width="47.54296875" style="399" customWidth="1"/>
    <col min="15618" max="15618" width="2.26953125" style="399" customWidth="1"/>
    <col min="15619" max="15619" width="15" style="399" customWidth="1"/>
    <col min="15620" max="15620" width="2.453125" style="399" customWidth="1"/>
    <col min="15621" max="15621" width="14.54296875" style="399" customWidth="1"/>
    <col min="15622" max="15622" width="3.81640625" style="399" customWidth="1"/>
    <col min="15623" max="15623" width="13.81640625" style="399" bestFit="1" customWidth="1"/>
    <col min="15624" max="15624" width="2" style="399" customWidth="1"/>
    <col min="15625" max="15625" width="16" style="399" customWidth="1"/>
    <col min="15626" max="15626" width="3.81640625" style="399" customWidth="1"/>
    <col min="15627" max="15627" width="17" style="399" bestFit="1" customWidth="1"/>
    <col min="15628" max="15628" width="3.26953125" style="399" customWidth="1"/>
    <col min="15629" max="15629" width="13.81640625" style="399" bestFit="1" customWidth="1"/>
    <col min="15630" max="15630" width="10.26953125" style="399" customWidth="1"/>
    <col min="15631" max="15631" width="13.7265625" style="399" bestFit="1" customWidth="1"/>
    <col min="15632" max="15871" width="5.7265625" style="399" customWidth="1"/>
    <col min="15872" max="15872" width="4.1796875" style="399"/>
    <col min="15873" max="15873" width="47.54296875" style="399" customWidth="1"/>
    <col min="15874" max="15874" width="2.26953125" style="399" customWidth="1"/>
    <col min="15875" max="15875" width="15" style="399" customWidth="1"/>
    <col min="15876" max="15876" width="2.453125" style="399" customWidth="1"/>
    <col min="15877" max="15877" width="14.54296875" style="399" customWidth="1"/>
    <col min="15878" max="15878" width="3.81640625" style="399" customWidth="1"/>
    <col min="15879" max="15879" width="13.81640625" style="399" bestFit="1" customWidth="1"/>
    <col min="15880" max="15880" width="2" style="399" customWidth="1"/>
    <col min="15881" max="15881" width="16" style="399" customWidth="1"/>
    <col min="15882" max="15882" width="3.81640625" style="399" customWidth="1"/>
    <col min="15883" max="15883" width="17" style="399" bestFit="1" customWidth="1"/>
    <col min="15884" max="15884" width="3.26953125" style="399" customWidth="1"/>
    <col min="15885" max="15885" width="13.81640625" style="399" bestFit="1" customWidth="1"/>
    <col min="15886" max="15886" width="10.26953125" style="399" customWidth="1"/>
    <col min="15887" max="15887" width="13.7265625" style="399" bestFit="1" customWidth="1"/>
    <col min="15888" max="16127" width="5.7265625" style="399" customWidth="1"/>
    <col min="16128" max="16128" width="4.1796875" style="399"/>
    <col min="16129" max="16129" width="47.54296875" style="399" customWidth="1"/>
    <col min="16130" max="16130" width="2.26953125" style="399" customWidth="1"/>
    <col min="16131" max="16131" width="15" style="399" customWidth="1"/>
    <col min="16132" max="16132" width="2.453125" style="399" customWidth="1"/>
    <col min="16133" max="16133" width="14.54296875" style="399" customWidth="1"/>
    <col min="16134" max="16134" width="3.81640625" style="399" customWidth="1"/>
    <col min="16135" max="16135" width="13.81640625" style="399" bestFit="1" customWidth="1"/>
    <col min="16136" max="16136" width="2" style="399" customWidth="1"/>
    <col min="16137" max="16137" width="16" style="399" customWidth="1"/>
    <col min="16138" max="16138" width="3.81640625" style="399" customWidth="1"/>
    <col min="16139" max="16139" width="17" style="399" bestFit="1" customWidth="1"/>
    <col min="16140" max="16140" width="3.26953125" style="399" customWidth="1"/>
    <col min="16141" max="16141" width="13.81640625" style="399" bestFit="1" customWidth="1"/>
    <col min="16142" max="16142" width="10.26953125" style="399" customWidth="1"/>
    <col min="16143" max="16143" width="13.7265625" style="399" bestFit="1" customWidth="1"/>
    <col min="16144" max="16383" width="5.7265625" style="399" customWidth="1"/>
    <col min="16384" max="16384" width="4.1796875" style="399"/>
  </cols>
  <sheetData>
    <row r="1" spans="1:256" ht="14">
      <c r="A1" s="398"/>
      <c r="C1" s="400"/>
    </row>
    <row r="2" spans="1:256" s="404" customFormat="1" ht="14.5">
      <c r="A2" s="961" t="s">
        <v>422</v>
      </c>
      <c r="B2" s="961"/>
      <c r="C2" s="961"/>
      <c r="D2" s="961"/>
      <c r="E2" s="961"/>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02"/>
      <c r="DQ2" s="402"/>
      <c r="DR2" s="402"/>
      <c r="DS2" s="402"/>
      <c r="DT2" s="402"/>
      <c r="DU2" s="402"/>
      <c r="DV2" s="402"/>
      <c r="DW2" s="402"/>
      <c r="DX2" s="402"/>
      <c r="DY2" s="402"/>
      <c r="DZ2" s="402"/>
      <c r="EA2" s="402"/>
      <c r="EB2" s="402"/>
      <c r="EC2" s="402"/>
      <c r="ED2" s="402"/>
      <c r="EE2" s="402"/>
      <c r="EF2" s="402"/>
      <c r="EG2" s="402"/>
      <c r="EH2" s="402"/>
      <c r="EI2" s="402"/>
      <c r="EJ2" s="402"/>
      <c r="EK2" s="402"/>
      <c r="EL2" s="402"/>
      <c r="EM2" s="402"/>
      <c r="EN2" s="402"/>
      <c r="EO2" s="402"/>
      <c r="EP2" s="402"/>
      <c r="EQ2" s="402"/>
      <c r="ER2" s="402"/>
      <c r="ES2" s="402"/>
      <c r="ET2" s="402"/>
      <c r="EU2" s="402"/>
      <c r="EV2" s="402"/>
      <c r="EW2" s="402"/>
      <c r="EX2" s="402"/>
      <c r="EY2" s="402"/>
      <c r="EZ2" s="402"/>
      <c r="FA2" s="402"/>
      <c r="FB2" s="402"/>
      <c r="FC2" s="402"/>
      <c r="FD2" s="402"/>
      <c r="FE2" s="402"/>
      <c r="FF2" s="402"/>
      <c r="FG2" s="402"/>
      <c r="FH2" s="402"/>
      <c r="FI2" s="402"/>
      <c r="FJ2" s="402"/>
      <c r="FK2" s="402"/>
      <c r="FL2" s="402"/>
      <c r="FM2" s="402"/>
      <c r="FN2" s="402"/>
      <c r="FO2" s="402"/>
      <c r="FP2" s="402"/>
      <c r="FQ2" s="402"/>
      <c r="FR2" s="402"/>
      <c r="FS2" s="402"/>
      <c r="FT2" s="402"/>
      <c r="FU2" s="402"/>
      <c r="FV2" s="402"/>
      <c r="FW2" s="402"/>
      <c r="FX2" s="402"/>
      <c r="FY2" s="402"/>
      <c r="FZ2" s="402"/>
      <c r="GA2" s="402"/>
      <c r="GB2" s="402"/>
      <c r="GC2" s="402"/>
      <c r="GD2" s="402"/>
      <c r="GE2" s="402"/>
      <c r="GF2" s="402"/>
      <c r="GG2" s="402"/>
      <c r="GH2" s="402"/>
      <c r="GI2" s="402"/>
      <c r="GJ2" s="402"/>
      <c r="GK2" s="402"/>
      <c r="GL2" s="402"/>
      <c r="GM2" s="402"/>
      <c r="GN2" s="402"/>
      <c r="GO2" s="402"/>
      <c r="GP2" s="402"/>
      <c r="GQ2" s="402"/>
      <c r="GR2" s="402"/>
      <c r="GS2" s="402"/>
      <c r="GT2" s="402"/>
      <c r="GU2" s="402"/>
      <c r="GV2" s="402"/>
      <c r="GW2" s="402"/>
      <c r="GX2" s="402"/>
      <c r="GY2" s="402"/>
      <c r="GZ2" s="402"/>
      <c r="HA2" s="402"/>
      <c r="HB2" s="402"/>
      <c r="HC2" s="402"/>
      <c r="HD2" s="402"/>
      <c r="HE2" s="402"/>
      <c r="HF2" s="402"/>
      <c r="HG2" s="402"/>
      <c r="HH2" s="402"/>
      <c r="HI2" s="402"/>
      <c r="HJ2" s="402"/>
      <c r="HK2" s="402"/>
      <c r="HL2" s="402"/>
      <c r="HM2" s="402"/>
      <c r="HN2" s="402"/>
      <c r="HO2" s="402"/>
      <c r="HP2" s="402"/>
      <c r="HQ2" s="402"/>
      <c r="HR2" s="402"/>
      <c r="HS2" s="402"/>
      <c r="HT2" s="402"/>
      <c r="HU2" s="402"/>
      <c r="HV2" s="402"/>
      <c r="HW2" s="402"/>
      <c r="HX2" s="402"/>
      <c r="HY2" s="402"/>
      <c r="HZ2" s="402"/>
      <c r="IA2" s="402"/>
      <c r="IB2" s="402"/>
      <c r="IC2" s="402"/>
      <c r="ID2" s="402"/>
      <c r="IE2" s="402"/>
      <c r="IF2" s="402"/>
      <c r="IG2" s="402"/>
      <c r="IH2" s="402"/>
      <c r="II2" s="402"/>
      <c r="IJ2" s="402"/>
      <c r="IK2" s="402"/>
      <c r="IL2" s="402"/>
      <c r="IM2" s="402"/>
      <c r="IN2" s="402"/>
      <c r="IO2" s="402"/>
      <c r="IP2" s="402"/>
      <c r="IQ2" s="402"/>
      <c r="IR2" s="402"/>
      <c r="IS2" s="402"/>
      <c r="IT2" s="402"/>
      <c r="IU2" s="402"/>
      <c r="IV2" s="402"/>
    </row>
    <row r="3" spans="1:256" s="406" customFormat="1" ht="14.5">
      <c r="A3" s="405" t="s">
        <v>3016</v>
      </c>
    </row>
    <row r="4" spans="1:256" s="406" customFormat="1" ht="15" thickBot="1">
      <c r="A4" s="407" t="s">
        <v>3037</v>
      </c>
      <c r="B4" s="408"/>
      <c r="C4" s="408"/>
      <c r="D4" s="408"/>
      <c r="E4" s="408"/>
      <c r="F4" s="408"/>
      <c r="G4" s="408"/>
      <c r="H4" s="408"/>
      <c r="I4" s="408"/>
      <c r="J4" s="408"/>
      <c r="K4" s="408"/>
      <c r="L4" s="408"/>
      <c r="M4" s="408"/>
    </row>
    <row r="5" spans="1:256" s="404" customFormat="1" ht="14.5">
      <c r="A5" s="402"/>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c r="CH5" s="402"/>
      <c r="CI5" s="402"/>
      <c r="CJ5" s="402"/>
      <c r="CK5" s="402"/>
      <c r="CL5" s="402"/>
      <c r="CM5" s="402"/>
      <c r="CN5" s="402"/>
      <c r="CO5" s="402"/>
      <c r="CP5" s="402"/>
      <c r="CQ5" s="402"/>
      <c r="CR5" s="402"/>
      <c r="CS5" s="402"/>
      <c r="CT5" s="402"/>
      <c r="CU5" s="402"/>
      <c r="CV5" s="402"/>
      <c r="CW5" s="402"/>
      <c r="CX5" s="402"/>
      <c r="CY5" s="402"/>
      <c r="CZ5" s="402"/>
      <c r="DA5" s="402"/>
      <c r="DB5" s="402"/>
      <c r="DC5" s="402"/>
      <c r="DD5" s="402"/>
      <c r="DE5" s="402"/>
      <c r="DF5" s="402"/>
      <c r="DG5" s="402"/>
      <c r="DH5" s="402"/>
      <c r="DI5" s="402"/>
      <c r="DJ5" s="402"/>
      <c r="DK5" s="402"/>
      <c r="DL5" s="402"/>
      <c r="DM5" s="402"/>
      <c r="DN5" s="402"/>
      <c r="DO5" s="402"/>
      <c r="DP5" s="402"/>
      <c r="DQ5" s="402"/>
      <c r="DR5" s="402"/>
      <c r="DS5" s="402"/>
      <c r="DT5" s="402"/>
      <c r="DU5" s="402"/>
      <c r="DV5" s="402"/>
      <c r="DW5" s="402"/>
      <c r="DX5" s="402"/>
      <c r="DY5" s="402"/>
      <c r="DZ5" s="402"/>
      <c r="EA5" s="402"/>
      <c r="EB5" s="402"/>
      <c r="EC5" s="402"/>
      <c r="ED5" s="402"/>
      <c r="EE5" s="402"/>
      <c r="EF5" s="402"/>
      <c r="EG5" s="402"/>
      <c r="EH5" s="402"/>
      <c r="EI5" s="402"/>
      <c r="EJ5" s="402"/>
      <c r="EK5" s="402"/>
      <c r="EL5" s="402"/>
      <c r="EM5" s="402"/>
      <c r="EN5" s="402"/>
      <c r="EO5" s="402"/>
      <c r="EP5" s="402"/>
      <c r="EQ5" s="402"/>
      <c r="ER5" s="402"/>
      <c r="ES5" s="402"/>
      <c r="ET5" s="402"/>
      <c r="EU5" s="402"/>
      <c r="EV5" s="402"/>
      <c r="EW5" s="402"/>
      <c r="EX5" s="402"/>
      <c r="EY5" s="402"/>
      <c r="EZ5" s="402"/>
      <c r="FA5" s="402"/>
      <c r="FB5" s="402"/>
      <c r="FC5" s="402"/>
      <c r="FD5" s="402"/>
      <c r="FE5" s="402"/>
      <c r="FF5" s="402"/>
      <c r="FG5" s="402"/>
      <c r="FH5" s="402"/>
      <c r="FI5" s="402"/>
      <c r="FJ5" s="402"/>
      <c r="FK5" s="402"/>
      <c r="FL5" s="402"/>
      <c r="FM5" s="402"/>
      <c r="FN5" s="402"/>
      <c r="FO5" s="402"/>
      <c r="FP5" s="402"/>
      <c r="FQ5" s="402"/>
      <c r="FR5" s="402"/>
      <c r="FS5" s="402"/>
      <c r="FT5" s="402"/>
      <c r="FU5" s="402"/>
      <c r="FV5" s="402"/>
      <c r="FW5" s="402"/>
      <c r="FX5" s="402"/>
      <c r="FY5" s="402"/>
      <c r="FZ5" s="402"/>
      <c r="GA5" s="402"/>
      <c r="GB5" s="402"/>
      <c r="GC5" s="402"/>
      <c r="GD5" s="402"/>
      <c r="GE5" s="402"/>
      <c r="GF5" s="402"/>
      <c r="GG5" s="402"/>
      <c r="GH5" s="402"/>
      <c r="GI5" s="402"/>
      <c r="GJ5" s="402"/>
      <c r="GK5" s="402"/>
      <c r="GL5" s="402"/>
      <c r="GM5" s="402"/>
      <c r="GN5" s="402"/>
      <c r="GO5" s="402"/>
      <c r="GP5" s="402"/>
      <c r="GQ5" s="402"/>
      <c r="GR5" s="402"/>
      <c r="GS5" s="402"/>
      <c r="GT5" s="402"/>
      <c r="GU5" s="402"/>
      <c r="GV5" s="402"/>
      <c r="GW5" s="402"/>
      <c r="GX5" s="402"/>
      <c r="GY5" s="402"/>
      <c r="GZ5" s="402"/>
      <c r="HA5" s="402"/>
      <c r="HB5" s="402"/>
      <c r="HC5" s="402"/>
      <c r="HD5" s="402"/>
      <c r="HE5" s="402"/>
      <c r="HF5" s="402"/>
      <c r="HG5" s="402"/>
      <c r="HH5" s="402"/>
      <c r="HI5" s="402"/>
      <c r="HJ5" s="402"/>
      <c r="HK5" s="402"/>
      <c r="HL5" s="402"/>
      <c r="HM5" s="402"/>
      <c r="HN5" s="402"/>
      <c r="HO5" s="402"/>
      <c r="HP5" s="402"/>
      <c r="HQ5" s="402"/>
      <c r="HR5" s="402"/>
      <c r="HS5" s="402"/>
      <c r="HT5" s="402"/>
      <c r="HU5" s="402"/>
      <c r="HV5" s="402"/>
      <c r="HW5" s="402"/>
      <c r="HX5" s="402"/>
      <c r="HY5" s="402"/>
      <c r="HZ5" s="402"/>
      <c r="IA5" s="402"/>
      <c r="IB5" s="402"/>
      <c r="IC5" s="402"/>
      <c r="ID5" s="402"/>
      <c r="IE5" s="402"/>
      <c r="IF5" s="402"/>
      <c r="IG5" s="402"/>
      <c r="IH5" s="402"/>
      <c r="II5" s="402"/>
      <c r="IJ5" s="402"/>
      <c r="IK5" s="402"/>
      <c r="IL5" s="402"/>
      <c r="IM5" s="402"/>
      <c r="IN5" s="402"/>
      <c r="IO5" s="402"/>
      <c r="IP5" s="402"/>
      <c r="IQ5" s="402"/>
      <c r="IR5" s="402"/>
      <c r="IS5" s="402"/>
      <c r="IT5" s="402"/>
      <c r="IU5" s="402"/>
      <c r="IV5" s="402"/>
    </row>
    <row r="6" spans="1:256" s="404" customFormat="1" ht="14.5">
      <c r="A6" s="406" t="s">
        <v>3017</v>
      </c>
      <c r="B6" s="402"/>
      <c r="C6" s="402"/>
      <c r="D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c r="CH6" s="402"/>
      <c r="CI6" s="402"/>
      <c r="CJ6" s="402"/>
      <c r="CK6" s="402"/>
      <c r="CL6" s="402"/>
      <c r="CM6" s="402"/>
      <c r="CN6" s="402"/>
      <c r="CO6" s="402"/>
      <c r="CP6" s="402"/>
      <c r="CQ6" s="402"/>
      <c r="CR6" s="402"/>
      <c r="CS6" s="402"/>
      <c r="CT6" s="402"/>
      <c r="CU6" s="402"/>
      <c r="CV6" s="402"/>
      <c r="CW6" s="402"/>
      <c r="CX6" s="402"/>
      <c r="CY6" s="402"/>
      <c r="CZ6" s="402"/>
      <c r="DA6" s="402"/>
      <c r="DB6" s="402"/>
      <c r="DC6" s="402"/>
      <c r="DD6" s="402"/>
      <c r="DE6" s="402"/>
      <c r="DF6" s="402"/>
      <c r="DG6" s="402"/>
      <c r="DH6" s="402"/>
      <c r="DI6" s="402"/>
      <c r="DJ6" s="402"/>
      <c r="DK6" s="402"/>
      <c r="DL6" s="402"/>
      <c r="DM6" s="402"/>
      <c r="DN6" s="402"/>
      <c r="DO6" s="402"/>
      <c r="DP6" s="402"/>
      <c r="DQ6" s="402"/>
      <c r="DR6" s="402"/>
      <c r="DS6" s="402"/>
      <c r="DT6" s="402"/>
      <c r="DU6" s="402"/>
      <c r="DV6" s="402"/>
      <c r="DW6" s="402"/>
      <c r="DX6" s="402"/>
      <c r="DY6" s="402"/>
      <c r="DZ6" s="402"/>
      <c r="EA6" s="402"/>
      <c r="EB6" s="402"/>
      <c r="EC6" s="402"/>
      <c r="ED6" s="402"/>
      <c r="EE6" s="402"/>
      <c r="EF6" s="402"/>
      <c r="EG6" s="402"/>
      <c r="EH6" s="402"/>
      <c r="EI6" s="402"/>
      <c r="EJ6" s="402"/>
      <c r="EK6" s="402"/>
      <c r="EL6" s="402"/>
      <c r="EM6" s="402"/>
      <c r="EN6" s="402"/>
      <c r="EO6" s="402"/>
      <c r="EP6" s="402"/>
      <c r="EQ6" s="402"/>
      <c r="ER6" s="402"/>
      <c r="ES6" s="402"/>
      <c r="ET6" s="402"/>
      <c r="EU6" s="402"/>
      <c r="EV6" s="402"/>
      <c r="EW6" s="402"/>
      <c r="EX6" s="402"/>
      <c r="EY6" s="402"/>
      <c r="EZ6" s="402"/>
      <c r="FA6" s="402"/>
      <c r="FB6" s="402"/>
      <c r="FC6" s="402"/>
      <c r="FD6" s="402"/>
      <c r="FE6" s="402"/>
      <c r="FF6" s="402"/>
      <c r="FG6" s="402"/>
      <c r="FH6" s="402"/>
      <c r="FI6" s="402"/>
      <c r="FJ6" s="402"/>
      <c r="FK6" s="402"/>
      <c r="FL6" s="402"/>
      <c r="FM6" s="402"/>
      <c r="FN6" s="402"/>
      <c r="FO6" s="402"/>
      <c r="FP6" s="402"/>
      <c r="FQ6" s="402"/>
      <c r="FR6" s="402"/>
      <c r="FS6" s="402"/>
      <c r="FT6" s="402"/>
      <c r="FU6" s="402"/>
      <c r="FV6" s="402"/>
      <c r="FW6" s="402"/>
      <c r="FX6" s="402"/>
      <c r="FY6" s="402"/>
      <c r="FZ6" s="402"/>
      <c r="GA6" s="402"/>
      <c r="GB6" s="402"/>
      <c r="GC6" s="402"/>
      <c r="GD6" s="402"/>
      <c r="GE6" s="402"/>
      <c r="GF6" s="402"/>
      <c r="GG6" s="402"/>
      <c r="GH6" s="402"/>
      <c r="GI6" s="402"/>
      <c r="GJ6" s="402"/>
      <c r="GK6" s="402"/>
      <c r="GL6" s="402"/>
      <c r="GM6" s="402"/>
      <c r="GN6" s="402"/>
      <c r="GO6" s="402"/>
      <c r="GP6" s="402"/>
      <c r="GQ6" s="402"/>
      <c r="GR6" s="402"/>
      <c r="GS6" s="402"/>
      <c r="GT6" s="402"/>
      <c r="GU6" s="402"/>
      <c r="GV6" s="402"/>
      <c r="GW6" s="402"/>
      <c r="GX6" s="402"/>
      <c r="GY6" s="402"/>
      <c r="GZ6" s="402"/>
      <c r="HA6" s="402"/>
      <c r="HB6" s="402"/>
      <c r="HC6" s="402"/>
      <c r="HD6" s="402"/>
      <c r="HE6" s="402"/>
      <c r="HF6" s="402"/>
      <c r="HG6" s="402"/>
      <c r="HH6" s="402"/>
      <c r="HI6" s="402"/>
      <c r="HJ6" s="402"/>
      <c r="HK6" s="402"/>
      <c r="HL6" s="402"/>
      <c r="HM6" s="402"/>
      <c r="HN6" s="402"/>
      <c r="HO6" s="402"/>
      <c r="HP6" s="402"/>
      <c r="HQ6" s="402"/>
      <c r="HR6" s="402"/>
      <c r="HS6" s="402"/>
      <c r="HT6" s="402"/>
      <c r="HU6" s="402"/>
      <c r="HV6" s="402"/>
      <c r="HW6" s="402"/>
      <c r="HX6" s="402"/>
      <c r="HY6" s="402"/>
      <c r="HZ6" s="402"/>
      <c r="IA6" s="402"/>
      <c r="IB6" s="402"/>
      <c r="IC6" s="402"/>
      <c r="ID6" s="402"/>
      <c r="IE6" s="402"/>
      <c r="IF6" s="402"/>
      <c r="IG6" s="402"/>
      <c r="IH6" s="402"/>
      <c r="II6" s="402"/>
      <c r="IJ6" s="402"/>
      <c r="IK6" s="402"/>
      <c r="IL6" s="402"/>
      <c r="IM6" s="402"/>
      <c r="IN6" s="402"/>
      <c r="IO6" s="402"/>
      <c r="IP6" s="402"/>
      <c r="IQ6" s="402"/>
      <c r="IR6" s="402"/>
      <c r="IS6" s="402"/>
      <c r="IT6" s="402"/>
      <c r="IU6" s="402"/>
      <c r="IV6" s="402"/>
    </row>
    <row r="7" spans="1:256" s="404" customFormat="1" ht="14.5">
      <c r="A7" s="409"/>
      <c r="B7" s="410"/>
      <c r="C7" s="411" t="s">
        <v>3018</v>
      </c>
      <c r="D7" s="409"/>
      <c r="E7" s="411" t="s">
        <v>3019</v>
      </c>
      <c r="F7" s="409"/>
      <c r="G7" s="411" t="s">
        <v>3019</v>
      </c>
      <c r="H7" s="409"/>
      <c r="I7" s="411" t="s">
        <v>3020</v>
      </c>
      <c r="J7" s="409"/>
      <c r="K7" s="411" t="s">
        <v>3021</v>
      </c>
      <c r="L7" s="409"/>
      <c r="M7" s="411" t="s">
        <v>3021</v>
      </c>
      <c r="N7" s="409"/>
      <c r="O7" s="411"/>
      <c r="P7" s="409"/>
      <c r="Q7" s="412"/>
      <c r="R7" s="409"/>
      <c r="S7" s="412"/>
      <c r="T7" s="409"/>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c r="DF7" s="409"/>
      <c r="DG7" s="409"/>
      <c r="DH7" s="409"/>
      <c r="DI7" s="409"/>
      <c r="DJ7" s="409"/>
      <c r="DK7" s="409"/>
      <c r="DL7" s="409"/>
      <c r="DM7" s="409"/>
      <c r="DN7" s="409"/>
      <c r="DO7" s="409"/>
      <c r="DP7" s="409"/>
      <c r="DQ7" s="409"/>
      <c r="DR7" s="409"/>
      <c r="DS7" s="409"/>
      <c r="DT7" s="409"/>
      <c r="DU7" s="409"/>
      <c r="DV7" s="409"/>
      <c r="DW7" s="409"/>
      <c r="DX7" s="409"/>
      <c r="DY7" s="409"/>
      <c r="DZ7" s="409"/>
      <c r="EA7" s="409"/>
      <c r="EB7" s="409"/>
      <c r="EC7" s="409"/>
      <c r="ED7" s="409"/>
      <c r="EE7" s="409"/>
      <c r="EF7" s="409"/>
      <c r="EG7" s="409"/>
      <c r="EH7" s="409"/>
      <c r="EI7" s="409"/>
      <c r="EJ7" s="409"/>
      <c r="EK7" s="409"/>
      <c r="EL7" s="409"/>
      <c r="EM7" s="409"/>
      <c r="EN7" s="409"/>
      <c r="EO7" s="409"/>
      <c r="EP7" s="409"/>
      <c r="EQ7" s="409"/>
      <c r="ER7" s="409"/>
      <c r="ES7" s="409"/>
      <c r="ET7" s="409"/>
      <c r="EU7" s="409"/>
      <c r="EV7" s="409"/>
      <c r="EW7" s="409"/>
      <c r="EX7" s="409"/>
      <c r="EY7" s="409"/>
      <c r="EZ7" s="409"/>
      <c r="FA7" s="409"/>
      <c r="FB7" s="409"/>
      <c r="FC7" s="409"/>
      <c r="FD7" s="409"/>
      <c r="FE7" s="409"/>
      <c r="FF7" s="409"/>
      <c r="FG7" s="409"/>
      <c r="FH7" s="409"/>
      <c r="FI7" s="409"/>
      <c r="FJ7" s="409"/>
      <c r="FK7" s="409"/>
      <c r="FL7" s="409"/>
      <c r="FM7" s="409"/>
      <c r="FN7" s="409"/>
      <c r="FO7" s="409"/>
      <c r="FP7" s="409"/>
      <c r="FQ7" s="409"/>
      <c r="FR7" s="409"/>
      <c r="FS7" s="409"/>
      <c r="FT7" s="409"/>
      <c r="FU7" s="409"/>
      <c r="FV7" s="409"/>
      <c r="FW7" s="409"/>
      <c r="FX7" s="409"/>
      <c r="FY7" s="409"/>
      <c r="FZ7" s="409"/>
      <c r="GA7" s="409"/>
      <c r="GB7" s="409"/>
      <c r="GC7" s="409"/>
      <c r="GD7" s="409"/>
      <c r="GE7" s="409"/>
      <c r="GF7" s="409"/>
      <c r="GG7" s="409"/>
      <c r="GH7" s="409"/>
      <c r="GI7" s="409"/>
      <c r="GJ7" s="409"/>
      <c r="GK7" s="409"/>
      <c r="GL7" s="409"/>
      <c r="GM7" s="409"/>
      <c r="GN7" s="409"/>
      <c r="GO7" s="409"/>
      <c r="GP7" s="409"/>
      <c r="GQ7" s="409"/>
      <c r="GR7" s="409"/>
      <c r="GS7" s="409"/>
      <c r="GT7" s="409"/>
      <c r="GU7" s="409"/>
      <c r="GV7" s="409"/>
      <c r="GW7" s="409"/>
      <c r="GX7" s="409"/>
      <c r="GY7" s="409"/>
      <c r="GZ7" s="409"/>
      <c r="HA7" s="409"/>
      <c r="HB7" s="409"/>
      <c r="HC7" s="409"/>
      <c r="HD7" s="409"/>
      <c r="HE7" s="409"/>
      <c r="HF7" s="409"/>
      <c r="HG7" s="409"/>
      <c r="HH7" s="409"/>
      <c r="HI7" s="409"/>
      <c r="HJ7" s="409"/>
      <c r="HK7" s="409"/>
      <c r="HL7" s="409"/>
      <c r="HM7" s="409"/>
      <c r="HN7" s="409"/>
      <c r="HO7" s="409"/>
      <c r="HP7" s="409"/>
      <c r="HQ7" s="409"/>
      <c r="HR7" s="409"/>
      <c r="HS7" s="409"/>
      <c r="HT7" s="409"/>
      <c r="HU7" s="409"/>
      <c r="HV7" s="409"/>
      <c r="HW7" s="409"/>
      <c r="HX7" s="409"/>
      <c r="HY7" s="409"/>
      <c r="HZ7" s="409"/>
      <c r="IA7" s="409"/>
      <c r="IB7" s="409"/>
      <c r="IC7" s="409"/>
      <c r="ID7" s="409"/>
      <c r="IE7" s="409"/>
      <c r="IF7" s="409"/>
      <c r="IG7" s="409"/>
      <c r="IH7" s="409"/>
      <c r="II7" s="409"/>
      <c r="IJ7" s="409"/>
      <c r="IK7" s="409"/>
      <c r="IL7" s="409"/>
      <c r="IM7" s="409"/>
      <c r="IN7" s="409"/>
      <c r="IO7" s="409"/>
      <c r="IP7" s="409"/>
      <c r="IQ7" s="409"/>
      <c r="IR7" s="409"/>
      <c r="IS7" s="409"/>
      <c r="IT7" s="409"/>
      <c r="IU7" s="409"/>
      <c r="IV7" s="409"/>
    </row>
    <row r="8" spans="1:256" s="404" customFormat="1" ht="14.5">
      <c r="A8" s="413" t="s">
        <v>3022</v>
      </c>
      <c r="B8" s="414"/>
      <c r="C8" s="415" t="s">
        <v>3023</v>
      </c>
      <c r="D8" s="414"/>
      <c r="E8" s="411" t="s">
        <v>3024</v>
      </c>
      <c r="F8" s="411"/>
      <c r="G8" s="411" t="s">
        <v>3025</v>
      </c>
      <c r="H8" s="414"/>
      <c r="I8" s="415" t="s">
        <v>3026</v>
      </c>
      <c r="J8" s="414"/>
      <c r="K8" s="411" t="s">
        <v>3027</v>
      </c>
      <c r="L8" s="414"/>
      <c r="M8" s="411" t="s">
        <v>3028</v>
      </c>
      <c r="N8" s="414"/>
      <c r="O8" s="415"/>
      <c r="P8" s="416"/>
      <c r="Q8" s="416"/>
      <c r="R8" s="416"/>
      <c r="S8" s="416"/>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414"/>
      <c r="CI8" s="414"/>
      <c r="CJ8" s="414"/>
      <c r="CK8" s="414"/>
      <c r="CL8" s="414"/>
      <c r="CM8" s="414"/>
      <c r="CN8" s="414"/>
      <c r="CO8" s="414"/>
      <c r="CP8" s="414"/>
      <c r="CQ8" s="414"/>
      <c r="CR8" s="414"/>
      <c r="CS8" s="414"/>
      <c r="CT8" s="414"/>
      <c r="CU8" s="414"/>
      <c r="CV8" s="414"/>
      <c r="CW8" s="414"/>
      <c r="CX8" s="414"/>
      <c r="CY8" s="414"/>
      <c r="CZ8" s="414"/>
      <c r="DA8" s="414"/>
      <c r="DB8" s="414"/>
      <c r="DC8" s="414"/>
      <c r="DD8" s="414"/>
      <c r="DE8" s="414"/>
      <c r="DF8" s="414"/>
      <c r="DG8" s="414"/>
      <c r="DH8" s="414"/>
      <c r="DI8" s="414"/>
      <c r="DJ8" s="414"/>
      <c r="DK8" s="414"/>
      <c r="DL8" s="414"/>
      <c r="DM8" s="414"/>
      <c r="DN8" s="414"/>
      <c r="DO8" s="414"/>
      <c r="DP8" s="414"/>
      <c r="DQ8" s="414"/>
      <c r="DR8" s="414"/>
      <c r="DS8" s="414"/>
      <c r="DT8" s="414"/>
      <c r="DU8" s="414"/>
      <c r="DV8" s="414"/>
      <c r="DW8" s="414"/>
      <c r="DX8" s="414"/>
      <c r="DY8" s="414"/>
      <c r="DZ8" s="414"/>
      <c r="EA8" s="414"/>
      <c r="EB8" s="414"/>
      <c r="EC8" s="414"/>
      <c r="ED8" s="414"/>
      <c r="EE8" s="414"/>
      <c r="EF8" s="414"/>
      <c r="EG8" s="414"/>
      <c r="EH8" s="414"/>
      <c r="EI8" s="414"/>
      <c r="EJ8" s="414"/>
      <c r="EK8" s="414"/>
      <c r="EL8" s="414"/>
      <c r="EM8" s="414"/>
      <c r="EN8" s="414"/>
      <c r="EO8" s="414"/>
      <c r="EP8" s="414"/>
      <c r="EQ8" s="414"/>
      <c r="ER8" s="414"/>
      <c r="ES8" s="414"/>
      <c r="ET8" s="414"/>
      <c r="EU8" s="414"/>
      <c r="EV8" s="414"/>
      <c r="EW8" s="414"/>
      <c r="EX8" s="414"/>
      <c r="EY8" s="414"/>
      <c r="EZ8" s="414"/>
      <c r="FA8" s="414"/>
      <c r="FB8" s="414"/>
      <c r="FC8" s="414"/>
      <c r="FD8" s="414"/>
      <c r="FE8" s="414"/>
      <c r="FF8" s="414"/>
      <c r="FG8" s="414"/>
      <c r="FH8" s="414"/>
      <c r="FI8" s="414"/>
      <c r="FJ8" s="414"/>
      <c r="FK8" s="414"/>
      <c r="FL8" s="414"/>
      <c r="FM8" s="414"/>
      <c r="FN8" s="414"/>
      <c r="FO8" s="414"/>
      <c r="FP8" s="414"/>
      <c r="FQ8" s="414"/>
      <c r="FR8" s="414"/>
      <c r="FS8" s="414"/>
      <c r="FT8" s="414"/>
      <c r="FU8" s="414"/>
      <c r="FV8" s="414"/>
      <c r="FW8" s="414"/>
      <c r="FX8" s="414"/>
      <c r="FY8" s="414"/>
      <c r="FZ8" s="414"/>
      <c r="GA8" s="414"/>
      <c r="GB8" s="414"/>
      <c r="GC8" s="414"/>
      <c r="GD8" s="414"/>
      <c r="GE8" s="414"/>
      <c r="GF8" s="414"/>
      <c r="GG8" s="414"/>
      <c r="GH8" s="414"/>
      <c r="GI8" s="414"/>
      <c r="GJ8" s="414"/>
      <c r="GK8" s="414"/>
      <c r="GL8" s="414"/>
      <c r="GM8" s="414"/>
      <c r="GN8" s="414"/>
      <c r="GO8" s="414"/>
      <c r="GP8" s="414"/>
      <c r="GQ8" s="414"/>
      <c r="GR8" s="414"/>
      <c r="GS8" s="414"/>
      <c r="GT8" s="414"/>
      <c r="GU8" s="414"/>
      <c r="GV8" s="414"/>
      <c r="GW8" s="414"/>
      <c r="GX8" s="414"/>
      <c r="GY8" s="414"/>
      <c r="GZ8" s="414"/>
      <c r="HA8" s="414"/>
      <c r="HB8" s="414"/>
      <c r="HC8" s="414"/>
      <c r="HD8" s="414"/>
      <c r="HE8" s="414"/>
      <c r="HF8" s="414"/>
      <c r="HG8" s="414"/>
      <c r="HH8" s="414"/>
      <c r="HI8" s="414"/>
      <c r="HJ8" s="414"/>
      <c r="HK8" s="414"/>
      <c r="HL8" s="414"/>
      <c r="HM8" s="414"/>
      <c r="HN8" s="414"/>
      <c r="HO8" s="414"/>
      <c r="HP8" s="414"/>
      <c r="HQ8" s="414"/>
      <c r="HR8" s="414"/>
      <c r="HS8" s="414"/>
      <c r="HT8" s="414"/>
      <c r="HU8" s="414"/>
      <c r="HV8" s="414"/>
      <c r="HW8" s="414"/>
      <c r="HX8" s="414"/>
      <c r="HY8" s="414"/>
      <c r="HZ8" s="414"/>
      <c r="IA8" s="414"/>
      <c r="IB8" s="414"/>
      <c r="IC8" s="414"/>
      <c r="ID8" s="414"/>
      <c r="IE8" s="414"/>
      <c r="IF8" s="414"/>
      <c r="IG8" s="414"/>
      <c r="IH8" s="414"/>
      <c r="II8" s="414"/>
      <c r="IJ8" s="414"/>
      <c r="IK8" s="414"/>
      <c r="IL8" s="414"/>
      <c r="IM8" s="414"/>
      <c r="IN8" s="414"/>
      <c r="IO8" s="414"/>
      <c r="IP8" s="414"/>
      <c r="IQ8" s="414"/>
      <c r="IR8" s="414"/>
      <c r="IS8" s="414"/>
      <c r="IT8" s="414"/>
      <c r="IU8" s="414"/>
      <c r="IV8" s="414"/>
    </row>
    <row r="9" spans="1:256" s="404" customFormat="1" ht="14.5">
      <c r="A9" s="409" t="s">
        <v>3029</v>
      </c>
      <c r="B9" s="417"/>
      <c r="C9" s="409">
        <v>486085</v>
      </c>
      <c r="D9" s="409"/>
      <c r="E9" s="409">
        <v>190483.34462499915</v>
      </c>
      <c r="F9" s="409"/>
      <c r="G9" s="409">
        <v>0</v>
      </c>
      <c r="H9" s="409"/>
      <c r="I9" s="409">
        <v>676568.34462499921</v>
      </c>
      <c r="J9" s="409"/>
      <c r="K9" s="409">
        <v>0</v>
      </c>
      <c r="L9" s="409"/>
      <c r="M9" s="409">
        <v>676568.34462499921</v>
      </c>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row>
    <row r="10" spans="1:256" s="404" customFormat="1" ht="14.5">
      <c r="A10" s="409" t="s">
        <v>3030</v>
      </c>
      <c r="B10" s="417"/>
      <c r="C10" s="409">
        <v>-1227814</v>
      </c>
      <c r="D10" s="409"/>
      <c r="E10" s="409">
        <v>775062.64500000002</v>
      </c>
      <c r="F10" s="409"/>
      <c r="G10" s="409">
        <v>0</v>
      </c>
      <c r="H10" s="409"/>
      <c r="I10" s="409">
        <v>-452751.35499999998</v>
      </c>
      <c r="J10" s="409"/>
      <c r="K10" s="409">
        <v>-452751.35499999998</v>
      </c>
      <c r="L10" s="409"/>
      <c r="M10" s="409">
        <v>0</v>
      </c>
      <c r="N10" s="409"/>
      <c r="O10" s="409"/>
      <c r="P10" s="409"/>
      <c r="Q10" s="409"/>
      <c r="R10" s="409"/>
      <c r="S10" s="409"/>
      <c r="T10" s="409"/>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c r="DF10" s="409"/>
      <c r="DG10" s="409"/>
      <c r="DH10" s="409"/>
      <c r="DI10" s="409"/>
      <c r="DJ10" s="409"/>
      <c r="DK10" s="409"/>
      <c r="DL10" s="409"/>
      <c r="DM10" s="409"/>
      <c r="DN10" s="409"/>
      <c r="DO10" s="409"/>
      <c r="DP10" s="409"/>
      <c r="DQ10" s="409"/>
      <c r="DR10" s="409"/>
      <c r="DS10" s="409"/>
      <c r="DT10" s="409"/>
      <c r="DU10" s="409"/>
      <c r="DV10" s="409"/>
      <c r="DW10" s="409"/>
      <c r="DX10" s="409"/>
      <c r="DY10" s="409"/>
      <c r="DZ10" s="409"/>
      <c r="EA10" s="409"/>
      <c r="EB10" s="409"/>
      <c r="EC10" s="409"/>
      <c r="ED10" s="409"/>
      <c r="EE10" s="409"/>
      <c r="EF10" s="409"/>
      <c r="EG10" s="409"/>
      <c r="EH10" s="409"/>
      <c r="EI10" s="409"/>
      <c r="EJ10" s="409"/>
      <c r="EK10" s="409"/>
      <c r="EL10" s="409"/>
      <c r="EM10" s="409"/>
      <c r="EN10" s="409"/>
      <c r="EO10" s="409"/>
      <c r="EP10" s="409"/>
      <c r="EQ10" s="409"/>
      <c r="ER10" s="409"/>
      <c r="ES10" s="409"/>
      <c r="ET10" s="409"/>
      <c r="EU10" s="409"/>
      <c r="EV10" s="409"/>
      <c r="EW10" s="409"/>
      <c r="EX10" s="409"/>
      <c r="EY10" s="409"/>
      <c r="EZ10" s="409"/>
      <c r="FA10" s="409"/>
      <c r="FB10" s="409"/>
      <c r="FC10" s="409"/>
      <c r="FD10" s="409"/>
      <c r="FE10" s="409"/>
      <c r="FF10" s="409"/>
      <c r="FG10" s="409"/>
      <c r="FH10" s="409"/>
      <c r="FI10" s="409"/>
      <c r="FJ10" s="409"/>
      <c r="FK10" s="409"/>
      <c r="FL10" s="409"/>
      <c r="FM10" s="409"/>
      <c r="FN10" s="409"/>
      <c r="FO10" s="409"/>
      <c r="FP10" s="409"/>
      <c r="FQ10" s="409"/>
      <c r="FR10" s="409"/>
      <c r="FS10" s="409"/>
      <c r="FT10" s="409"/>
      <c r="FU10" s="409"/>
      <c r="FV10" s="409"/>
      <c r="FW10" s="409"/>
      <c r="FX10" s="409"/>
      <c r="FY10" s="409"/>
      <c r="FZ10" s="409"/>
      <c r="GA10" s="409"/>
      <c r="GB10" s="409"/>
      <c r="GC10" s="409"/>
      <c r="GD10" s="409"/>
      <c r="GE10" s="409"/>
      <c r="GF10" s="409"/>
      <c r="GG10" s="409"/>
      <c r="GH10" s="409"/>
      <c r="GI10" s="409"/>
      <c r="GJ10" s="409"/>
      <c r="GK10" s="409"/>
      <c r="GL10" s="409"/>
      <c r="GM10" s="409"/>
      <c r="GN10" s="409"/>
      <c r="GO10" s="409"/>
      <c r="GP10" s="409"/>
      <c r="GQ10" s="409"/>
      <c r="GR10" s="409"/>
      <c r="GS10" s="409"/>
      <c r="GT10" s="409"/>
      <c r="GU10" s="409"/>
      <c r="GV10" s="409"/>
      <c r="GW10" s="409"/>
      <c r="GX10" s="409"/>
      <c r="GY10" s="409"/>
      <c r="GZ10" s="409"/>
      <c r="HA10" s="409"/>
      <c r="HB10" s="409"/>
      <c r="HC10" s="409"/>
      <c r="HD10" s="409"/>
      <c r="HE10" s="409"/>
      <c r="HF10" s="409"/>
      <c r="HG10" s="409"/>
      <c r="HH10" s="409"/>
      <c r="HI10" s="409"/>
      <c r="HJ10" s="409"/>
      <c r="HK10" s="409"/>
      <c r="HL10" s="409"/>
      <c r="HM10" s="409"/>
      <c r="HN10" s="409"/>
      <c r="HO10" s="409"/>
      <c r="HP10" s="409"/>
      <c r="HQ10" s="409"/>
      <c r="HR10" s="409"/>
      <c r="HS10" s="409"/>
      <c r="HT10" s="409"/>
      <c r="HU10" s="409"/>
      <c r="HV10" s="409"/>
      <c r="HW10" s="409"/>
      <c r="HX10" s="409"/>
      <c r="HY10" s="409"/>
      <c r="HZ10" s="409"/>
      <c r="IA10" s="409"/>
      <c r="IB10" s="409"/>
      <c r="IC10" s="409"/>
      <c r="ID10" s="409"/>
      <c r="IE10" s="409"/>
      <c r="IF10" s="409"/>
      <c r="IG10" s="409"/>
      <c r="IH10" s="409"/>
      <c r="II10" s="409"/>
      <c r="IJ10" s="409"/>
      <c r="IK10" s="409"/>
      <c r="IL10" s="409"/>
      <c r="IM10" s="409"/>
      <c r="IN10" s="409"/>
      <c r="IO10" s="409"/>
      <c r="IP10" s="409"/>
      <c r="IQ10" s="409"/>
      <c r="IR10" s="409"/>
      <c r="IS10" s="409"/>
      <c r="IT10" s="409"/>
      <c r="IU10" s="409"/>
      <c r="IV10" s="409"/>
    </row>
    <row r="11" spans="1:256" s="404" customFormat="1" ht="14.5">
      <c r="A11" s="409" t="s">
        <v>3031</v>
      </c>
      <c r="B11" s="417"/>
      <c r="C11" s="409">
        <v>-94859</v>
      </c>
      <c r="D11" s="409"/>
      <c r="E11" s="409">
        <v>0</v>
      </c>
      <c r="F11" s="409"/>
      <c r="G11" s="409">
        <v>0</v>
      </c>
      <c r="H11" s="409"/>
      <c r="I11" s="409">
        <v>-94859</v>
      </c>
      <c r="J11" s="409"/>
      <c r="K11" s="409">
        <v>-94859</v>
      </c>
      <c r="L11" s="409"/>
      <c r="M11" s="409">
        <v>0</v>
      </c>
      <c r="N11" s="409"/>
      <c r="O11" s="409"/>
      <c r="P11" s="409"/>
      <c r="Q11" s="409"/>
      <c r="R11" s="409"/>
      <c r="S11" s="409"/>
      <c r="T11" s="409"/>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c r="DF11" s="409"/>
      <c r="DG11" s="409"/>
      <c r="DH11" s="409"/>
      <c r="DI11" s="409"/>
      <c r="DJ11" s="409"/>
      <c r="DK11" s="409"/>
      <c r="DL11" s="409"/>
      <c r="DM11" s="409"/>
      <c r="DN11" s="409"/>
      <c r="DO11" s="409"/>
      <c r="DP11" s="409"/>
      <c r="DQ11" s="409"/>
      <c r="DR11" s="409"/>
      <c r="DS11" s="409"/>
      <c r="DT11" s="409"/>
      <c r="DU11" s="409"/>
      <c r="DV11" s="409"/>
      <c r="DW11" s="409"/>
      <c r="DX11" s="409"/>
      <c r="DY11" s="409"/>
      <c r="DZ11" s="409"/>
      <c r="EA11" s="409"/>
      <c r="EB11" s="409"/>
      <c r="EC11" s="409"/>
      <c r="ED11" s="409"/>
      <c r="EE11" s="409"/>
      <c r="EF11" s="409"/>
      <c r="EG11" s="409"/>
      <c r="EH11" s="409"/>
      <c r="EI11" s="409"/>
      <c r="EJ11" s="409"/>
      <c r="EK11" s="409"/>
      <c r="EL11" s="409"/>
      <c r="EM11" s="409"/>
      <c r="EN11" s="409"/>
      <c r="EO11" s="409"/>
      <c r="EP11" s="409"/>
      <c r="EQ11" s="409"/>
      <c r="ER11" s="409"/>
      <c r="ES11" s="409"/>
      <c r="ET11" s="409"/>
      <c r="EU11" s="409"/>
      <c r="EV11" s="409"/>
      <c r="EW11" s="409"/>
      <c r="EX11" s="409"/>
      <c r="EY11" s="409"/>
      <c r="EZ11" s="409"/>
      <c r="FA11" s="409"/>
      <c r="FB11" s="409"/>
      <c r="FC11" s="409"/>
      <c r="FD11" s="409"/>
      <c r="FE11" s="409"/>
      <c r="FF11" s="409"/>
      <c r="FG11" s="409"/>
      <c r="FH11" s="409"/>
      <c r="FI11" s="409"/>
      <c r="FJ11" s="409"/>
      <c r="FK11" s="409"/>
      <c r="FL11" s="409"/>
      <c r="FM11" s="409"/>
      <c r="FN11" s="409"/>
      <c r="FO11" s="409"/>
      <c r="FP11" s="409"/>
      <c r="FQ11" s="409"/>
      <c r="FR11" s="409"/>
      <c r="FS11" s="409"/>
      <c r="FT11" s="409"/>
      <c r="FU11" s="409"/>
      <c r="FV11" s="409"/>
      <c r="FW11" s="409"/>
      <c r="FX11" s="409"/>
      <c r="FY11" s="409"/>
      <c r="FZ11" s="409"/>
      <c r="GA11" s="409"/>
      <c r="GB11" s="409"/>
      <c r="GC11" s="409"/>
      <c r="GD11" s="409"/>
      <c r="GE11" s="409"/>
      <c r="GF11" s="409"/>
      <c r="GG11" s="409"/>
      <c r="GH11" s="409"/>
      <c r="GI11" s="409"/>
      <c r="GJ11" s="409"/>
      <c r="GK11" s="409"/>
      <c r="GL11" s="409"/>
      <c r="GM11" s="409"/>
      <c r="GN11" s="409"/>
      <c r="GO11" s="409"/>
      <c r="GP11" s="409"/>
      <c r="GQ11" s="409"/>
      <c r="GR11" s="409"/>
      <c r="GS11" s="409"/>
      <c r="GT11" s="409"/>
      <c r="GU11" s="409"/>
      <c r="GV11" s="409"/>
      <c r="GW11" s="409"/>
      <c r="GX11" s="409"/>
      <c r="GY11" s="409"/>
      <c r="GZ11" s="409"/>
      <c r="HA11" s="409"/>
      <c r="HB11" s="409"/>
      <c r="HC11" s="409"/>
      <c r="HD11" s="409"/>
      <c r="HE11" s="409"/>
      <c r="HF11" s="409"/>
      <c r="HG11" s="409"/>
      <c r="HH11" s="409"/>
      <c r="HI11" s="409"/>
      <c r="HJ11" s="409"/>
      <c r="HK11" s="409"/>
      <c r="HL11" s="409"/>
      <c r="HM11" s="409"/>
      <c r="HN11" s="409"/>
      <c r="HO11" s="409"/>
      <c r="HP11" s="409"/>
      <c r="HQ11" s="409"/>
      <c r="HR11" s="409"/>
      <c r="HS11" s="409"/>
      <c r="HT11" s="409"/>
      <c r="HU11" s="409"/>
      <c r="HV11" s="409"/>
      <c r="HW11" s="409"/>
      <c r="HX11" s="409"/>
      <c r="HY11" s="409"/>
      <c r="HZ11" s="409"/>
      <c r="IA11" s="409"/>
      <c r="IB11" s="409"/>
      <c r="IC11" s="409"/>
      <c r="ID11" s="409"/>
      <c r="IE11" s="409"/>
      <c r="IF11" s="409"/>
      <c r="IG11" s="409"/>
      <c r="IH11" s="409"/>
      <c r="II11" s="409"/>
      <c r="IJ11" s="409"/>
      <c r="IK11" s="409"/>
      <c r="IL11" s="409"/>
      <c r="IM11" s="409"/>
      <c r="IN11" s="409"/>
      <c r="IO11" s="409"/>
      <c r="IP11" s="409"/>
      <c r="IQ11" s="409"/>
      <c r="IR11" s="409"/>
      <c r="IS11" s="409"/>
      <c r="IT11" s="409"/>
      <c r="IU11" s="409"/>
      <c r="IV11" s="409"/>
    </row>
    <row r="12" spans="1:256" s="404" customFormat="1" ht="14.5">
      <c r="A12" s="409" t="s">
        <v>3032</v>
      </c>
      <c r="B12" s="417"/>
      <c r="C12" s="409">
        <v>-50596</v>
      </c>
      <c r="D12" s="409"/>
      <c r="E12" s="409">
        <v>-63554.959999999985</v>
      </c>
      <c r="F12" s="409"/>
      <c r="G12" s="409">
        <v>0</v>
      </c>
      <c r="H12" s="409"/>
      <c r="I12" s="409">
        <v>-114150.95999999999</v>
      </c>
      <c r="J12" s="409"/>
      <c r="K12" s="409">
        <v>-114150.95999999999</v>
      </c>
      <c r="L12" s="409"/>
      <c r="M12" s="409">
        <v>0</v>
      </c>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c r="DF12" s="409"/>
      <c r="DG12" s="409"/>
      <c r="DH12" s="409"/>
      <c r="DI12" s="409"/>
      <c r="DJ12" s="409"/>
      <c r="DK12" s="409"/>
      <c r="DL12" s="409"/>
      <c r="DM12" s="409"/>
      <c r="DN12" s="409"/>
      <c r="DO12" s="409"/>
      <c r="DP12" s="409"/>
      <c r="DQ12" s="409"/>
      <c r="DR12" s="409"/>
      <c r="DS12" s="409"/>
      <c r="DT12" s="409"/>
      <c r="DU12" s="409"/>
      <c r="DV12" s="409"/>
      <c r="DW12" s="409"/>
      <c r="DX12" s="409"/>
      <c r="DY12" s="409"/>
      <c r="DZ12" s="409"/>
      <c r="EA12" s="409"/>
      <c r="EB12" s="409"/>
      <c r="EC12" s="409"/>
      <c r="ED12" s="409"/>
      <c r="EE12" s="409"/>
      <c r="EF12" s="409"/>
      <c r="EG12" s="409"/>
      <c r="EH12" s="409"/>
      <c r="EI12" s="409"/>
      <c r="EJ12" s="409"/>
      <c r="EK12" s="409"/>
      <c r="EL12" s="409"/>
      <c r="EM12" s="409"/>
      <c r="EN12" s="409"/>
      <c r="EO12" s="409"/>
      <c r="EP12" s="409"/>
      <c r="EQ12" s="409"/>
      <c r="ER12" s="409"/>
      <c r="ES12" s="409"/>
      <c r="ET12" s="409"/>
      <c r="EU12" s="409"/>
      <c r="EV12" s="409"/>
      <c r="EW12" s="409"/>
      <c r="EX12" s="409"/>
      <c r="EY12" s="409"/>
      <c r="EZ12" s="409"/>
      <c r="FA12" s="409"/>
      <c r="FB12" s="409"/>
      <c r="FC12" s="409"/>
      <c r="FD12" s="409"/>
      <c r="FE12" s="409"/>
      <c r="FF12" s="409"/>
      <c r="FG12" s="409"/>
      <c r="FH12" s="409"/>
      <c r="FI12" s="409"/>
      <c r="FJ12" s="409"/>
      <c r="FK12" s="409"/>
      <c r="FL12" s="409"/>
      <c r="FM12" s="409"/>
      <c r="FN12" s="409"/>
      <c r="FO12" s="409"/>
      <c r="FP12" s="409"/>
      <c r="FQ12" s="409"/>
      <c r="FR12" s="409"/>
      <c r="FS12" s="409"/>
      <c r="FT12" s="409"/>
      <c r="FU12" s="409"/>
      <c r="FV12" s="409"/>
      <c r="FW12" s="409"/>
      <c r="FX12" s="409"/>
      <c r="FY12" s="409"/>
      <c r="FZ12" s="409"/>
      <c r="GA12" s="409"/>
      <c r="GB12" s="409"/>
      <c r="GC12" s="409"/>
      <c r="GD12" s="409"/>
      <c r="GE12" s="409"/>
      <c r="GF12" s="409"/>
      <c r="GG12" s="409"/>
      <c r="GH12" s="409"/>
      <c r="GI12" s="409"/>
      <c r="GJ12" s="409"/>
      <c r="GK12" s="409"/>
      <c r="GL12" s="409"/>
      <c r="GM12" s="409"/>
      <c r="GN12" s="409"/>
      <c r="GO12" s="409"/>
      <c r="GP12" s="409"/>
      <c r="GQ12" s="409"/>
      <c r="GR12" s="409"/>
      <c r="GS12" s="409"/>
      <c r="GT12" s="409"/>
      <c r="GU12" s="409"/>
      <c r="GV12" s="409"/>
      <c r="GW12" s="409"/>
      <c r="GX12" s="409"/>
      <c r="GY12" s="409"/>
      <c r="GZ12" s="409"/>
      <c r="HA12" s="409"/>
      <c r="HB12" s="409"/>
      <c r="HC12" s="409"/>
      <c r="HD12" s="409"/>
      <c r="HE12" s="409"/>
      <c r="HF12" s="409"/>
      <c r="HG12" s="409"/>
      <c r="HH12" s="409"/>
      <c r="HI12" s="409"/>
      <c r="HJ12" s="409"/>
      <c r="HK12" s="409"/>
      <c r="HL12" s="409"/>
      <c r="HM12" s="409"/>
      <c r="HN12" s="409"/>
      <c r="HO12" s="409"/>
      <c r="HP12" s="409"/>
      <c r="HQ12" s="409"/>
      <c r="HR12" s="409"/>
      <c r="HS12" s="409"/>
      <c r="HT12" s="409"/>
      <c r="HU12" s="409"/>
      <c r="HV12" s="409"/>
      <c r="HW12" s="409"/>
      <c r="HX12" s="409"/>
      <c r="HY12" s="409"/>
      <c r="HZ12" s="409"/>
      <c r="IA12" s="409"/>
      <c r="IB12" s="409"/>
      <c r="IC12" s="409"/>
      <c r="ID12" s="409"/>
      <c r="IE12" s="409"/>
      <c r="IF12" s="409"/>
      <c r="IG12" s="409"/>
      <c r="IH12" s="409"/>
      <c r="II12" s="409"/>
      <c r="IJ12" s="409"/>
      <c r="IK12" s="409"/>
      <c r="IL12" s="409"/>
      <c r="IM12" s="409"/>
      <c r="IN12" s="409"/>
      <c r="IO12" s="409"/>
      <c r="IP12" s="409"/>
      <c r="IQ12" s="409"/>
      <c r="IR12" s="409"/>
      <c r="IS12" s="409"/>
      <c r="IT12" s="409"/>
      <c r="IU12" s="409"/>
      <c r="IV12" s="409"/>
    </row>
    <row r="13" spans="1:256" s="404" customFormat="1" ht="14.5">
      <c r="A13" s="409" t="s">
        <v>3033</v>
      </c>
      <c r="B13" s="417"/>
      <c r="C13" s="409">
        <v>-276093</v>
      </c>
      <c r="D13" s="409"/>
      <c r="E13" s="409">
        <v>0</v>
      </c>
      <c r="F13" s="409"/>
      <c r="G13" s="409">
        <v>0</v>
      </c>
      <c r="H13" s="409"/>
      <c r="I13" s="409">
        <v>-276093</v>
      </c>
      <c r="J13" s="409"/>
      <c r="K13" s="409">
        <v>-276093</v>
      </c>
      <c r="L13" s="409"/>
      <c r="M13" s="409">
        <v>0</v>
      </c>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c r="DF13" s="409"/>
      <c r="DG13" s="409"/>
      <c r="DH13" s="409"/>
      <c r="DI13" s="409"/>
      <c r="DJ13" s="409"/>
      <c r="DK13" s="409"/>
      <c r="DL13" s="409"/>
      <c r="DM13" s="409"/>
      <c r="DN13" s="409"/>
      <c r="DO13" s="409"/>
      <c r="DP13" s="409"/>
      <c r="DQ13" s="409"/>
      <c r="DR13" s="409"/>
      <c r="DS13" s="409"/>
      <c r="DT13" s="409"/>
      <c r="DU13" s="409"/>
      <c r="DV13" s="409"/>
      <c r="DW13" s="409"/>
      <c r="DX13" s="409"/>
      <c r="DY13" s="409"/>
      <c r="DZ13" s="409"/>
      <c r="EA13" s="409"/>
      <c r="EB13" s="409"/>
      <c r="EC13" s="409"/>
      <c r="ED13" s="409"/>
      <c r="EE13" s="409"/>
      <c r="EF13" s="409"/>
      <c r="EG13" s="409"/>
      <c r="EH13" s="409"/>
      <c r="EI13" s="409"/>
      <c r="EJ13" s="409"/>
      <c r="EK13" s="409"/>
      <c r="EL13" s="409"/>
      <c r="EM13" s="409"/>
      <c r="EN13" s="409"/>
      <c r="EO13" s="409"/>
      <c r="EP13" s="409"/>
      <c r="EQ13" s="409"/>
      <c r="ER13" s="409"/>
      <c r="ES13" s="409"/>
      <c r="ET13" s="409"/>
      <c r="EU13" s="409"/>
      <c r="EV13" s="409"/>
      <c r="EW13" s="409"/>
      <c r="EX13" s="409"/>
      <c r="EY13" s="409"/>
      <c r="EZ13" s="409"/>
      <c r="FA13" s="409"/>
      <c r="FB13" s="409"/>
      <c r="FC13" s="409"/>
      <c r="FD13" s="409"/>
      <c r="FE13" s="409"/>
      <c r="FF13" s="409"/>
      <c r="FG13" s="409"/>
      <c r="FH13" s="409"/>
      <c r="FI13" s="409"/>
      <c r="FJ13" s="409"/>
      <c r="FK13" s="409"/>
      <c r="FL13" s="409"/>
      <c r="FM13" s="409"/>
      <c r="FN13" s="409"/>
      <c r="FO13" s="409"/>
      <c r="FP13" s="409"/>
      <c r="FQ13" s="409"/>
      <c r="FR13" s="409"/>
      <c r="FS13" s="409"/>
      <c r="FT13" s="409"/>
      <c r="FU13" s="409"/>
      <c r="FV13" s="409"/>
      <c r="FW13" s="409"/>
      <c r="FX13" s="409"/>
      <c r="FY13" s="409"/>
      <c r="FZ13" s="409"/>
      <c r="GA13" s="409"/>
      <c r="GB13" s="409"/>
      <c r="GC13" s="409"/>
      <c r="GD13" s="409"/>
      <c r="GE13" s="409"/>
      <c r="GF13" s="409"/>
      <c r="GG13" s="409"/>
      <c r="GH13" s="409"/>
      <c r="GI13" s="409"/>
      <c r="GJ13" s="409"/>
      <c r="GK13" s="409"/>
      <c r="GL13" s="409"/>
      <c r="GM13" s="409"/>
      <c r="GN13" s="409"/>
      <c r="GO13" s="409"/>
      <c r="GP13" s="409"/>
      <c r="GQ13" s="409"/>
      <c r="GR13" s="409"/>
      <c r="GS13" s="409"/>
      <c r="GT13" s="409"/>
      <c r="GU13" s="409"/>
      <c r="GV13" s="409"/>
      <c r="GW13" s="409"/>
      <c r="GX13" s="409"/>
      <c r="GY13" s="409"/>
      <c r="GZ13" s="409"/>
      <c r="HA13" s="409"/>
      <c r="HB13" s="409"/>
      <c r="HC13" s="409"/>
      <c r="HD13" s="409"/>
      <c r="HE13" s="409"/>
      <c r="HF13" s="409"/>
      <c r="HG13" s="409"/>
      <c r="HH13" s="409"/>
      <c r="HI13" s="409"/>
      <c r="HJ13" s="409"/>
      <c r="HK13" s="409"/>
      <c r="HL13" s="409"/>
      <c r="HM13" s="409"/>
      <c r="HN13" s="409"/>
      <c r="HO13" s="409"/>
      <c r="HP13" s="409"/>
      <c r="HQ13" s="409"/>
      <c r="HR13" s="409"/>
      <c r="HS13" s="409"/>
      <c r="HT13" s="409"/>
      <c r="HU13" s="409"/>
      <c r="HV13" s="409"/>
      <c r="HW13" s="409"/>
      <c r="HX13" s="409"/>
      <c r="HY13" s="409"/>
      <c r="HZ13" s="409"/>
      <c r="IA13" s="409"/>
      <c r="IB13" s="409"/>
      <c r="IC13" s="409"/>
      <c r="ID13" s="409"/>
      <c r="IE13" s="409"/>
      <c r="IF13" s="409"/>
      <c r="IG13" s="409"/>
      <c r="IH13" s="409"/>
      <c r="II13" s="409"/>
      <c r="IJ13" s="409"/>
      <c r="IK13" s="409"/>
      <c r="IL13" s="409"/>
      <c r="IM13" s="409"/>
      <c r="IN13" s="409"/>
      <c r="IO13" s="409"/>
      <c r="IP13" s="409"/>
      <c r="IQ13" s="409"/>
      <c r="IR13" s="409"/>
      <c r="IS13" s="409"/>
      <c r="IT13" s="409"/>
      <c r="IU13" s="409"/>
      <c r="IV13" s="409"/>
    </row>
    <row r="14" spans="1:256" s="404" customFormat="1" ht="14.5">
      <c r="A14" s="409" t="s">
        <v>3034</v>
      </c>
      <c r="B14" s="417"/>
      <c r="C14" s="409">
        <v>0</v>
      </c>
      <c r="D14" s="409"/>
      <c r="E14" s="409">
        <v>-1599846.776849997</v>
      </c>
      <c r="F14" s="409"/>
      <c r="G14" s="409">
        <v>0</v>
      </c>
      <c r="H14" s="409"/>
      <c r="I14" s="409">
        <v>-1599846.776849997</v>
      </c>
      <c r="J14" s="409"/>
      <c r="K14" s="409">
        <v>-1599846.776849997</v>
      </c>
      <c r="L14" s="409"/>
      <c r="M14" s="418">
        <v>0</v>
      </c>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c r="DF14" s="409"/>
      <c r="DG14" s="409"/>
      <c r="DH14" s="409"/>
      <c r="DI14" s="409"/>
      <c r="DJ14" s="409"/>
      <c r="DK14" s="409"/>
      <c r="DL14" s="409"/>
      <c r="DM14" s="409"/>
      <c r="DN14" s="409"/>
      <c r="DO14" s="409"/>
      <c r="DP14" s="409"/>
      <c r="DQ14" s="409"/>
      <c r="DR14" s="409"/>
      <c r="DS14" s="409"/>
      <c r="DT14" s="409"/>
      <c r="DU14" s="409"/>
      <c r="DV14" s="409"/>
      <c r="DW14" s="409"/>
      <c r="DX14" s="409"/>
      <c r="DY14" s="409"/>
      <c r="DZ14" s="409"/>
      <c r="EA14" s="409"/>
      <c r="EB14" s="409"/>
      <c r="EC14" s="409"/>
      <c r="ED14" s="409"/>
      <c r="EE14" s="409"/>
      <c r="EF14" s="409"/>
      <c r="EG14" s="409"/>
      <c r="EH14" s="409"/>
      <c r="EI14" s="409"/>
      <c r="EJ14" s="409"/>
      <c r="EK14" s="409"/>
      <c r="EL14" s="409"/>
      <c r="EM14" s="409"/>
      <c r="EN14" s="409"/>
      <c r="EO14" s="409"/>
      <c r="EP14" s="409"/>
      <c r="EQ14" s="409"/>
      <c r="ER14" s="409"/>
      <c r="ES14" s="409"/>
      <c r="ET14" s="409"/>
      <c r="EU14" s="409"/>
      <c r="EV14" s="409"/>
      <c r="EW14" s="409"/>
      <c r="EX14" s="409"/>
      <c r="EY14" s="409"/>
      <c r="EZ14" s="409"/>
      <c r="FA14" s="409"/>
      <c r="FB14" s="409"/>
      <c r="FC14" s="409"/>
      <c r="FD14" s="409"/>
      <c r="FE14" s="409"/>
      <c r="FF14" s="409"/>
      <c r="FG14" s="409"/>
      <c r="FH14" s="409"/>
      <c r="FI14" s="409"/>
      <c r="FJ14" s="409"/>
      <c r="FK14" s="409"/>
      <c r="FL14" s="409"/>
      <c r="FM14" s="409"/>
      <c r="FN14" s="409"/>
      <c r="FO14" s="409"/>
      <c r="FP14" s="409"/>
      <c r="FQ14" s="409"/>
      <c r="FR14" s="409"/>
      <c r="FS14" s="409"/>
      <c r="FT14" s="409"/>
      <c r="FU14" s="409"/>
      <c r="FV14" s="409"/>
      <c r="FW14" s="409"/>
      <c r="FX14" s="409"/>
      <c r="FY14" s="409"/>
      <c r="FZ14" s="409"/>
      <c r="GA14" s="409"/>
      <c r="GB14" s="409"/>
      <c r="GC14" s="409"/>
      <c r="GD14" s="409"/>
      <c r="GE14" s="409"/>
      <c r="GF14" s="409"/>
      <c r="GG14" s="409"/>
      <c r="GH14" s="409"/>
      <c r="GI14" s="409"/>
      <c r="GJ14" s="409"/>
      <c r="GK14" s="409"/>
      <c r="GL14" s="409"/>
      <c r="GM14" s="409"/>
      <c r="GN14" s="409"/>
      <c r="GO14" s="409"/>
      <c r="GP14" s="409"/>
      <c r="GQ14" s="409"/>
      <c r="GR14" s="409"/>
      <c r="GS14" s="409"/>
      <c r="GT14" s="409"/>
      <c r="GU14" s="409"/>
      <c r="GV14" s="409"/>
      <c r="GW14" s="409"/>
      <c r="GX14" s="409"/>
      <c r="GY14" s="409"/>
      <c r="GZ14" s="409"/>
      <c r="HA14" s="409"/>
      <c r="HB14" s="409"/>
      <c r="HC14" s="409"/>
      <c r="HD14" s="409"/>
      <c r="HE14" s="409"/>
      <c r="HF14" s="409"/>
      <c r="HG14" s="409"/>
      <c r="HH14" s="409"/>
      <c r="HI14" s="409"/>
      <c r="HJ14" s="409"/>
      <c r="HK14" s="409"/>
      <c r="HL14" s="409"/>
      <c r="HM14" s="409"/>
      <c r="HN14" s="409"/>
      <c r="HO14" s="409"/>
      <c r="HP14" s="409"/>
      <c r="HQ14" s="409"/>
      <c r="HR14" s="409"/>
      <c r="HS14" s="409"/>
      <c r="HT14" s="409"/>
      <c r="HU14" s="409"/>
      <c r="HV14" s="409"/>
      <c r="HW14" s="409"/>
      <c r="HX14" s="409"/>
      <c r="HY14" s="409"/>
      <c r="HZ14" s="409"/>
      <c r="IA14" s="409"/>
      <c r="IB14" s="409"/>
      <c r="IC14" s="409"/>
      <c r="ID14" s="409"/>
      <c r="IE14" s="409"/>
      <c r="IF14" s="409"/>
      <c r="IG14" s="409"/>
      <c r="IH14" s="409"/>
      <c r="II14" s="409"/>
      <c r="IJ14" s="409"/>
      <c r="IK14" s="409"/>
      <c r="IL14" s="409"/>
      <c r="IM14" s="409"/>
      <c r="IN14" s="409"/>
      <c r="IO14" s="409"/>
      <c r="IP14" s="409"/>
      <c r="IQ14" s="409"/>
      <c r="IR14" s="409"/>
      <c r="IS14" s="409"/>
      <c r="IT14" s="409"/>
      <c r="IU14" s="409"/>
      <c r="IV14" s="409"/>
    </row>
    <row r="15" spans="1:256" s="404" customFormat="1" ht="14.5">
      <c r="A15" s="409"/>
      <c r="B15" s="419"/>
      <c r="C15" s="420"/>
      <c r="D15" s="409"/>
      <c r="E15" s="420"/>
      <c r="F15" s="409"/>
      <c r="G15" s="420"/>
      <c r="H15" s="409"/>
      <c r="I15" s="420"/>
      <c r="J15" s="409"/>
      <c r="K15" s="420"/>
      <c r="L15" s="409"/>
      <c r="M15" s="409"/>
      <c r="N15" s="409"/>
      <c r="O15" s="416"/>
      <c r="P15" s="409"/>
      <c r="Q15" s="416"/>
      <c r="R15" s="409"/>
      <c r="S15" s="416"/>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c r="DF15" s="409"/>
      <c r="DG15" s="409"/>
      <c r="DH15" s="409"/>
      <c r="DI15" s="409"/>
      <c r="DJ15" s="409"/>
      <c r="DK15" s="409"/>
      <c r="DL15" s="409"/>
      <c r="DM15" s="409"/>
      <c r="DN15" s="409"/>
      <c r="DO15" s="409"/>
      <c r="DP15" s="409"/>
      <c r="DQ15" s="409"/>
      <c r="DR15" s="409"/>
      <c r="DS15" s="409"/>
      <c r="DT15" s="409"/>
      <c r="DU15" s="409"/>
      <c r="DV15" s="409"/>
      <c r="DW15" s="409"/>
      <c r="DX15" s="409"/>
      <c r="DY15" s="409"/>
      <c r="DZ15" s="409"/>
      <c r="EA15" s="409"/>
      <c r="EB15" s="409"/>
      <c r="EC15" s="409"/>
      <c r="ED15" s="409"/>
      <c r="EE15" s="409"/>
      <c r="EF15" s="409"/>
      <c r="EG15" s="409"/>
      <c r="EH15" s="409"/>
      <c r="EI15" s="409"/>
      <c r="EJ15" s="409"/>
      <c r="EK15" s="409"/>
      <c r="EL15" s="409"/>
      <c r="EM15" s="409"/>
      <c r="EN15" s="409"/>
      <c r="EO15" s="409"/>
      <c r="EP15" s="409"/>
      <c r="EQ15" s="409"/>
      <c r="ER15" s="409"/>
      <c r="ES15" s="409"/>
      <c r="ET15" s="409"/>
      <c r="EU15" s="409"/>
      <c r="EV15" s="409"/>
      <c r="EW15" s="409"/>
      <c r="EX15" s="409"/>
      <c r="EY15" s="409"/>
      <c r="EZ15" s="409"/>
      <c r="FA15" s="409"/>
      <c r="FB15" s="409"/>
      <c r="FC15" s="409"/>
      <c r="FD15" s="409"/>
      <c r="FE15" s="409"/>
      <c r="FF15" s="409"/>
      <c r="FG15" s="409"/>
      <c r="FH15" s="409"/>
      <c r="FI15" s="409"/>
      <c r="FJ15" s="409"/>
      <c r="FK15" s="409"/>
      <c r="FL15" s="409"/>
      <c r="FM15" s="409"/>
      <c r="FN15" s="409"/>
      <c r="FO15" s="409"/>
      <c r="FP15" s="409"/>
      <c r="FQ15" s="409"/>
      <c r="FR15" s="409"/>
      <c r="FS15" s="409"/>
      <c r="FT15" s="409"/>
      <c r="FU15" s="409"/>
      <c r="FV15" s="409"/>
      <c r="FW15" s="409"/>
      <c r="FX15" s="409"/>
      <c r="FY15" s="409"/>
      <c r="FZ15" s="409"/>
      <c r="GA15" s="409"/>
      <c r="GB15" s="409"/>
      <c r="GC15" s="409"/>
      <c r="GD15" s="409"/>
      <c r="GE15" s="409"/>
      <c r="GF15" s="409"/>
      <c r="GG15" s="409"/>
      <c r="GH15" s="409"/>
      <c r="GI15" s="409"/>
      <c r="GJ15" s="409"/>
      <c r="GK15" s="409"/>
      <c r="GL15" s="409"/>
      <c r="GM15" s="409"/>
      <c r="GN15" s="409"/>
      <c r="GO15" s="409"/>
      <c r="GP15" s="409"/>
      <c r="GQ15" s="409"/>
      <c r="GR15" s="409"/>
      <c r="GS15" s="409"/>
      <c r="GT15" s="409"/>
      <c r="GU15" s="409"/>
      <c r="GV15" s="409"/>
      <c r="GW15" s="409"/>
      <c r="GX15" s="409"/>
      <c r="GY15" s="409"/>
      <c r="GZ15" s="409"/>
      <c r="HA15" s="409"/>
      <c r="HB15" s="409"/>
      <c r="HC15" s="409"/>
      <c r="HD15" s="409"/>
      <c r="HE15" s="409"/>
      <c r="HF15" s="409"/>
      <c r="HG15" s="409"/>
      <c r="HH15" s="409"/>
      <c r="HI15" s="409"/>
      <c r="HJ15" s="409"/>
      <c r="HK15" s="409"/>
      <c r="HL15" s="409"/>
      <c r="HM15" s="409"/>
      <c r="HN15" s="409"/>
      <c r="HO15" s="409"/>
      <c r="HP15" s="409"/>
      <c r="HQ15" s="409"/>
      <c r="HR15" s="409"/>
      <c r="HS15" s="409"/>
      <c r="HT15" s="409"/>
      <c r="HU15" s="409"/>
      <c r="HV15" s="409"/>
      <c r="HW15" s="409"/>
      <c r="HX15" s="409"/>
      <c r="HY15" s="409"/>
      <c r="HZ15" s="409"/>
      <c r="IA15" s="409"/>
      <c r="IB15" s="409"/>
      <c r="IC15" s="409"/>
      <c r="ID15" s="409"/>
      <c r="IE15" s="409"/>
      <c r="IF15" s="409"/>
      <c r="IG15" s="409"/>
      <c r="IH15" s="409"/>
      <c r="II15" s="409"/>
      <c r="IJ15" s="409"/>
      <c r="IK15" s="409"/>
      <c r="IL15" s="409"/>
      <c r="IM15" s="409"/>
      <c r="IN15" s="409"/>
      <c r="IO15" s="409"/>
      <c r="IP15" s="409"/>
      <c r="IQ15" s="409"/>
      <c r="IR15" s="409"/>
      <c r="IS15" s="409"/>
      <c r="IT15" s="409"/>
      <c r="IU15" s="409"/>
      <c r="IV15" s="409"/>
    </row>
    <row r="16" spans="1:256" s="404" customFormat="1" ht="15" thickBot="1">
      <c r="A16" s="421"/>
      <c r="B16" s="422"/>
      <c r="C16" s="423">
        <v>-1163277</v>
      </c>
      <c r="D16" s="413"/>
      <c r="E16" s="423">
        <v>-697855.74722499773</v>
      </c>
      <c r="F16" s="413"/>
      <c r="G16" s="423">
        <v>0</v>
      </c>
      <c r="H16" s="413"/>
      <c r="I16" s="423">
        <v>-1861132.7472249977</v>
      </c>
      <c r="J16" s="413"/>
      <c r="K16" s="423">
        <v>-2537701.0918499967</v>
      </c>
      <c r="L16" s="413"/>
      <c r="M16" s="423">
        <v>676568.34462499921</v>
      </c>
      <c r="N16" s="413"/>
      <c r="O16" s="424"/>
      <c r="P16" s="413"/>
      <c r="Q16" s="424"/>
      <c r="R16" s="413"/>
      <c r="S16" s="424"/>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c r="HY16" s="413"/>
      <c r="HZ16" s="413"/>
      <c r="IA16" s="413"/>
      <c r="IB16" s="413"/>
      <c r="IC16" s="413"/>
      <c r="ID16" s="413"/>
      <c r="IE16" s="413"/>
      <c r="IF16" s="413"/>
      <c r="IG16" s="413"/>
      <c r="IH16" s="413"/>
      <c r="II16" s="413"/>
      <c r="IJ16" s="413"/>
      <c r="IK16" s="413"/>
      <c r="IL16" s="413"/>
      <c r="IM16" s="413"/>
      <c r="IN16" s="413"/>
      <c r="IO16" s="413"/>
      <c r="IP16" s="413"/>
      <c r="IQ16" s="413"/>
      <c r="IR16" s="413"/>
      <c r="IS16" s="413"/>
      <c r="IT16" s="413"/>
      <c r="IU16" s="413"/>
      <c r="IV16" s="413"/>
    </row>
    <row r="17" spans="1:256" s="404" customFormat="1" ht="15" thickTop="1">
      <c r="A17" s="421"/>
      <c r="B17" s="419"/>
      <c r="C17" s="416"/>
      <c r="D17" s="409"/>
      <c r="E17" s="416"/>
      <c r="F17" s="409"/>
      <c r="G17" s="416"/>
      <c r="H17" s="409"/>
      <c r="I17" s="416"/>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c r="DF17" s="409"/>
      <c r="DG17" s="409"/>
      <c r="DH17" s="409"/>
      <c r="DI17" s="409"/>
      <c r="DJ17" s="409"/>
      <c r="DK17" s="409"/>
      <c r="DL17" s="409"/>
      <c r="DM17" s="409"/>
      <c r="DN17" s="409"/>
      <c r="DO17" s="409"/>
      <c r="DP17" s="409"/>
      <c r="DQ17" s="409"/>
      <c r="DR17" s="409"/>
      <c r="DS17" s="409"/>
      <c r="DT17" s="409"/>
      <c r="DU17" s="409"/>
      <c r="DV17" s="409"/>
      <c r="DW17" s="409"/>
      <c r="DX17" s="409"/>
      <c r="DY17" s="409"/>
      <c r="DZ17" s="409"/>
      <c r="EA17" s="409"/>
      <c r="EB17" s="409"/>
      <c r="EC17" s="409"/>
      <c r="ED17" s="409"/>
      <c r="EE17" s="409"/>
      <c r="EF17" s="409"/>
      <c r="EG17" s="409"/>
      <c r="EH17" s="409"/>
      <c r="EI17" s="409"/>
      <c r="EJ17" s="409"/>
      <c r="EK17" s="409"/>
      <c r="EL17" s="409"/>
      <c r="EM17" s="409"/>
      <c r="EN17" s="409"/>
      <c r="EO17" s="409"/>
      <c r="EP17" s="409"/>
      <c r="EQ17" s="409"/>
      <c r="ER17" s="409"/>
      <c r="ES17" s="409"/>
      <c r="ET17" s="409"/>
      <c r="EU17" s="409"/>
      <c r="EV17" s="409"/>
      <c r="EW17" s="409"/>
      <c r="EX17" s="409"/>
      <c r="EY17" s="409"/>
      <c r="EZ17" s="409"/>
      <c r="FA17" s="409"/>
      <c r="FB17" s="409"/>
      <c r="FC17" s="409"/>
      <c r="FD17" s="409"/>
      <c r="FE17" s="409"/>
      <c r="FF17" s="409"/>
      <c r="FG17" s="409"/>
      <c r="FH17" s="409"/>
      <c r="FI17" s="409"/>
      <c r="FJ17" s="409"/>
      <c r="FK17" s="409"/>
      <c r="FL17" s="409"/>
      <c r="FM17" s="409"/>
      <c r="FN17" s="409"/>
      <c r="FO17" s="409"/>
      <c r="FP17" s="409"/>
      <c r="FQ17" s="409"/>
      <c r="FR17" s="409"/>
      <c r="FS17" s="409"/>
      <c r="FT17" s="409"/>
      <c r="FU17" s="409"/>
      <c r="FV17" s="409"/>
      <c r="FW17" s="409"/>
      <c r="FX17" s="409"/>
      <c r="FY17" s="409"/>
      <c r="FZ17" s="409"/>
      <c r="GA17" s="409"/>
      <c r="GB17" s="409"/>
      <c r="GC17" s="409"/>
      <c r="GD17" s="409"/>
      <c r="GE17" s="409"/>
      <c r="GF17" s="409"/>
      <c r="GG17" s="409"/>
      <c r="GH17" s="409"/>
      <c r="GI17" s="409"/>
      <c r="GJ17" s="409"/>
      <c r="GK17" s="409"/>
      <c r="GL17" s="409"/>
      <c r="GM17" s="409"/>
      <c r="GN17" s="409"/>
      <c r="GO17" s="409"/>
      <c r="GP17" s="409"/>
      <c r="GQ17" s="409"/>
      <c r="GR17" s="409"/>
      <c r="GS17" s="409"/>
      <c r="GT17" s="409"/>
      <c r="GU17" s="409"/>
      <c r="GV17" s="409"/>
      <c r="GW17" s="409"/>
      <c r="GX17" s="409"/>
      <c r="GY17" s="409"/>
      <c r="GZ17" s="409"/>
      <c r="HA17" s="409"/>
      <c r="HB17" s="409"/>
      <c r="HC17" s="409"/>
      <c r="HD17" s="409"/>
      <c r="HE17" s="409"/>
      <c r="HF17" s="409"/>
      <c r="HG17" s="409"/>
      <c r="HH17" s="409"/>
      <c r="HI17" s="409"/>
      <c r="HJ17" s="409"/>
      <c r="HK17" s="409"/>
      <c r="HL17" s="409"/>
      <c r="HM17" s="409"/>
      <c r="HN17" s="409"/>
      <c r="HO17" s="409"/>
      <c r="HP17" s="409"/>
      <c r="HQ17" s="409"/>
      <c r="HR17" s="409"/>
      <c r="HS17" s="409"/>
      <c r="HT17" s="409"/>
      <c r="HU17" s="409"/>
      <c r="HV17" s="409"/>
      <c r="HW17" s="409"/>
      <c r="HX17" s="409"/>
      <c r="HY17" s="409"/>
      <c r="HZ17" s="409"/>
      <c r="IA17" s="409"/>
      <c r="IB17" s="409"/>
      <c r="IC17" s="409"/>
      <c r="ID17" s="409"/>
      <c r="IE17" s="409"/>
      <c r="IF17" s="409"/>
      <c r="IG17" s="409"/>
      <c r="IH17" s="409"/>
      <c r="II17" s="409"/>
      <c r="IJ17" s="409"/>
      <c r="IK17" s="409"/>
      <c r="IL17" s="409"/>
      <c r="IM17" s="409"/>
      <c r="IN17" s="409"/>
      <c r="IO17" s="409"/>
      <c r="IP17" s="409"/>
      <c r="IQ17" s="409"/>
      <c r="IR17" s="409"/>
      <c r="IS17" s="409"/>
      <c r="IT17" s="409"/>
      <c r="IU17" s="409"/>
      <c r="IV17" s="409"/>
    </row>
    <row r="18" spans="1:256" s="404" customFormat="1" ht="14.5">
      <c r="A18" s="409"/>
      <c r="B18" s="410"/>
      <c r="C18" s="411" t="s">
        <v>3018</v>
      </c>
      <c r="D18" s="409"/>
      <c r="E18" s="411" t="s">
        <v>3019</v>
      </c>
      <c r="F18" s="409"/>
      <c r="G18" s="411" t="s">
        <v>3019</v>
      </c>
      <c r="H18" s="409"/>
      <c r="I18" s="411" t="s">
        <v>3020</v>
      </c>
      <c r="J18" s="409"/>
      <c r="K18" s="411" t="s">
        <v>3021</v>
      </c>
      <c r="L18" s="409"/>
      <c r="M18" s="411" t="s">
        <v>3021</v>
      </c>
      <c r="N18" s="409"/>
      <c r="O18" s="411"/>
      <c r="P18" s="409"/>
      <c r="Q18" s="412"/>
      <c r="R18" s="409"/>
      <c r="S18" s="412"/>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c r="DF18" s="409"/>
      <c r="DG18" s="409"/>
      <c r="DH18" s="409"/>
      <c r="DI18" s="409"/>
      <c r="DJ18" s="409"/>
      <c r="DK18" s="409"/>
      <c r="DL18" s="409"/>
      <c r="DM18" s="409"/>
      <c r="DN18" s="409"/>
      <c r="DO18" s="409"/>
      <c r="DP18" s="409"/>
      <c r="DQ18" s="409"/>
      <c r="DR18" s="409"/>
      <c r="DS18" s="409"/>
      <c r="DT18" s="409"/>
      <c r="DU18" s="409"/>
      <c r="DV18" s="409"/>
      <c r="DW18" s="409"/>
      <c r="DX18" s="409"/>
      <c r="DY18" s="409"/>
      <c r="DZ18" s="409"/>
      <c r="EA18" s="409"/>
      <c r="EB18" s="409"/>
      <c r="EC18" s="409"/>
      <c r="ED18" s="409"/>
      <c r="EE18" s="409"/>
      <c r="EF18" s="409"/>
      <c r="EG18" s="409"/>
      <c r="EH18" s="409"/>
      <c r="EI18" s="409"/>
      <c r="EJ18" s="409"/>
      <c r="EK18" s="409"/>
      <c r="EL18" s="409"/>
      <c r="EM18" s="409"/>
      <c r="EN18" s="409"/>
      <c r="EO18" s="409"/>
      <c r="EP18" s="409"/>
      <c r="EQ18" s="409"/>
      <c r="ER18" s="409"/>
      <c r="ES18" s="409"/>
      <c r="ET18" s="409"/>
      <c r="EU18" s="409"/>
      <c r="EV18" s="409"/>
      <c r="EW18" s="409"/>
      <c r="EX18" s="409"/>
      <c r="EY18" s="409"/>
      <c r="EZ18" s="409"/>
      <c r="FA18" s="409"/>
      <c r="FB18" s="409"/>
      <c r="FC18" s="409"/>
      <c r="FD18" s="409"/>
      <c r="FE18" s="409"/>
      <c r="FF18" s="409"/>
      <c r="FG18" s="409"/>
      <c r="FH18" s="409"/>
      <c r="FI18" s="409"/>
      <c r="FJ18" s="409"/>
      <c r="FK18" s="409"/>
      <c r="FL18" s="409"/>
      <c r="FM18" s="409"/>
      <c r="FN18" s="409"/>
      <c r="FO18" s="409"/>
      <c r="FP18" s="409"/>
      <c r="FQ18" s="409"/>
      <c r="FR18" s="409"/>
      <c r="FS18" s="409"/>
      <c r="FT18" s="409"/>
      <c r="FU18" s="409"/>
      <c r="FV18" s="409"/>
      <c r="FW18" s="409"/>
      <c r="FX18" s="409"/>
      <c r="FY18" s="409"/>
      <c r="FZ18" s="409"/>
      <c r="GA18" s="409"/>
      <c r="GB18" s="409"/>
      <c r="GC18" s="409"/>
      <c r="GD18" s="409"/>
      <c r="GE18" s="409"/>
      <c r="GF18" s="409"/>
      <c r="GG18" s="409"/>
      <c r="GH18" s="409"/>
      <c r="GI18" s="409"/>
      <c r="GJ18" s="409"/>
      <c r="GK18" s="409"/>
      <c r="GL18" s="409"/>
      <c r="GM18" s="409"/>
      <c r="GN18" s="409"/>
      <c r="GO18" s="409"/>
      <c r="GP18" s="409"/>
      <c r="GQ18" s="409"/>
      <c r="GR18" s="409"/>
      <c r="GS18" s="409"/>
      <c r="GT18" s="409"/>
      <c r="GU18" s="409"/>
      <c r="GV18" s="409"/>
      <c r="GW18" s="409"/>
      <c r="GX18" s="409"/>
      <c r="GY18" s="409"/>
      <c r="GZ18" s="409"/>
      <c r="HA18" s="409"/>
      <c r="HB18" s="409"/>
      <c r="HC18" s="409"/>
      <c r="HD18" s="409"/>
      <c r="HE18" s="409"/>
      <c r="HF18" s="409"/>
      <c r="HG18" s="409"/>
      <c r="HH18" s="409"/>
      <c r="HI18" s="409"/>
      <c r="HJ18" s="409"/>
      <c r="HK18" s="409"/>
      <c r="HL18" s="409"/>
      <c r="HM18" s="409"/>
      <c r="HN18" s="409"/>
      <c r="HO18" s="409"/>
      <c r="HP18" s="409"/>
      <c r="HQ18" s="409"/>
      <c r="HR18" s="409"/>
      <c r="HS18" s="409"/>
      <c r="HT18" s="409"/>
      <c r="HU18" s="409"/>
      <c r="HV18" s="409"/>
      <c r="HW18" s="409"/>
      <c r="HX18" s="409"/>
      <c r="HY18" s="409"/>
      <c r="HZ18" s="409"/>
      <c r="IA18" s="409"/>
      <c r="IB18" s="409"/>
      <c r="IC18" s="409"/>
      <c r="ID18" s="409"/>
      <c r="IE18" s="409"/>
      <c r="IF18" s="409"/>
      <c r="IG18" s="409"/>
      <c r="IH18" s="409"/>
      <c r="II18" s="409"/>
      <c r="IJ18" s="409"/>
      <c r="IK18" s="409"/>
      <c r="IL18" s="409"/>
      <c r="IM18" s="409"/>
      <c r="IN18" s="409"/>
      <c r="IO18" s="409"/>
      <c r="IP18" s="409"/>
      <c r="IQ18" s="409"/>
      <c r="IR18" s="409"/>
      <c r="IS18" s="409"/>
      <c r="IT18" s="409"/>
      <c r="IU18" s="409"/>
      <c r="IV18" s="409"/>
    </row>
    <row r="19" spans="1:256" s="404" customFormat="1" ht="14.5">
      <c r="A19" s="413" t="s">
        <v>3022</v>
      </c>
      <c r="B19" s="414"/>
      <c r="C19" s="415" t="s">
        <v>3035</v>
      </c>
      <c r="D19" s="414"/>
      <c r="E19" s="411" t="s">
        <v>3024</v>
      </c>
      <c r="F19" s="414"/>
      <c r="G19" s="411" t="s">
        <v>3025</v>
      </c>
      <c r="H19" s="414"/>
      <c r="I19" s="415" t="s">
        <v>3036</v>
      </c>
      <c r="J19" s="414"/>
      <c r="K19" s="411" t="s">
        <v>3027</v>
      </c>
      <c r="L19" s="414"/>
      <c r="M19" s="411" t="s">
        <v>3028</v>
      </c>
      <c r="N19" s="414"/>
      <c r="O19" s="415"/>
      <c r="P19" s="416"/>
      <c r="Q19" s="416"/>
      <c r="R19" s="416"/>
      <c r="S19" s="416"/>
      <c r="T19" s="414"/>
      <c r="U19" s="414"/>
      <c r="V19" s="414"/>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c r="AY19" s="414"/>
      <c r="AZ19" s="414"/>
      <c r="BA19" s="414"/>
      <c r="BB19" s="414"/>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414"/>
      <c r="CH19" s="414"/>
      <c r="CI19" s="414"/>
      <c r="CJ19" s="414"/>
      <c r="CK19" s="414"/>
      <c r="CL19" s="414"/>
      <c r="CM19" s="414"/>
      <c r="CN19" s="414"/>
      <c r="CO19" s="414"/>
      <c r="CP19" s="414"/>
      <c r="CQ19" s="414"/>
      <c r="CR19" s="414"/>
      <c r="CS19" s="414"/>
      <c r="CT19" s="414"/>
      <c r="CU19" s="414"/>
      <c r="CV19" s="414"/>
      <c r="CW19" s="414"/>
      <c r="CX19" s="414"/>
      <c r="CY19" s="414"/>
      <c r="CZ19" s="414"/>
      <c r="DA19" s="414"/>
      <c r="DB19" s="414"/>
      <c r="DC19" s="414"/>
      <c r="DD19" s="414"/>
      <c r="DE19" s="414"/>
      <c r="DF19" s="414"/>
      <c r="DG19" s="414"/>
      <c r="DH19" s="414"/>
      <c r="DI19" s="414"/>
      <c r="DJ19" s="414"/>
      <c r="DK19" s="414"/>
      <c r="DL19" s="414"/>
      <c r="DM19" s="414"/>
      <c r="DN19" s="414"/>
      <c r="DO19" s="414"/>
      <c r="DP19" s="414"/>
      <c r="DQ19" s="414"/>
      <c r="DR19" s="414"/>
      <c r="DS19" s="414"/>
      <c r="DT19" s="414"/>
      <c r="DU19" s="414"/>
      <c r="DV19" s="414"/>
      <c r="DW19" s="414"/>
      <c r="DX19" s="414"/>
      <c r="DY19" s="414"/>
      <c r="DZ19" s="414"/>
      <c r="EA19" s="414"/>
      <c r="EB19" s="414"/>
      <c r="EC19" s="414"/>
      <c r="ED19" s="414"/>
      <c r="EE19" s="414"/>
      <c r="EF19" s="414"/>
      <c r="EG19" s="414"/>
      <c r="EH19" s="414"/>
      <c r="EI19" s="414"/>
      <c r="EJ19" s="414"/>
      <c r="EK19" s="414"/>
      <c r="EL19" s="414"/>
      <c r="EM19" s="414"/>
      <c r="EN19" s="414"/>
      <c r="EO19" s="414"/>
      <c r="EP19" s="414"/>
      <c r="EQ19" s="414"/>
      <c r="ER19" s="414"/>
      <c r="ES19" s="414"/>
      <c r="ET19" s="414"/>
      <c r="EU19" s="414"/>
      <c r="EV19" s="414"/>
      <c r="EW19" s="414"/>
      <c r="EX19" s="414"/>
      <c r="EY19" s="414"/>
      <c r="EZ19" s="414"/>
      <c r="FA19" s="414"/>
      <c r="FB19" s="414"/>
      <c r="FC19" s="414"/>
      <c r="FD19" s="414"/>
      <c r="FE19" s="414"/>
      <c r="FF19" s="414"/>
      <c r="FG19" s="414"/>
      <c r="FH19" s="414"/>
      <c r="FI19" s="414"/>
      <c r="FJ19" s="414"/>
      <c r="FK19" s="414"/>
      <c r="FL19" s="414"/>
      <c r="FM19" s="414"/>
      <c r="FN19" s="414"/>
      <c r="FO19" s="414"/>
      <c r="FP19" s="414"/>
      <c r="FQ19" s="414"/>
      <c r="FR19" s="414"/>
      <c r="FS19" s="414"/>
      <c r="FT19" s="414"/>
      <c r="FU19" s="414"/>
      <c r="FV19" s="414"/>
      <c r="FW19" s="414"/>
      <c r="FX19" s="414"/>
      <c r="FY19" s="414"/>
      <c r="FZ19" s="414"/>
      <c r="GA19" s="414"/>
      <c r="GB19" s="414"/>
      <c r="GC19" s="414"/>
      <c r="GD19" s="414"/>
      <c r="GE19" s="414"/>
      <c r="GF19" s="414"/>
      <c r="GG19" s="414"/>
      <c r="GH19" s="414"/>
      <c r="GI19" s="414"/>
      <c r="GJ19" s="414"/>
      <c r="GK19" s="414"/>
      <c r="GL19" s="414"/>
      <c r="GM19" s="414"/>
      <c r="GN19" s="414"/>
      <c r="GO19" s="414"/>
      <c r="GP19" s="414"/>
      <c r="GQ19" s="414"/>
      <c r="GR19" s="414"/>
      <c r="GS19" s="414"/>
      <c r="GT19" s="414"/>
      <c r="GU19" s="414"/>
      <c r="GV19" s="414"/>
      <c r="GW19" s="414"/>
      <c r="GX19" s="414"/>
      <c r="GY19" s="414"/>
      <c r="GZ19" s="414"/>
      <c r="HA19" s="414"/>
      <c r="HB19" s="414"/>
      <c r="HC19" s="414"/>
      <c r="HD19" s="414"/>
      <c r="HE19" s="414"/>
      <c r="HF19" s="414"/>
      <c r="HG19" s="414"/>
      <c r="HH19" s="414"/>
      <c r="HI19" s="414"/>
      <c r="HJ19" s="414"/>
      <c r="HK19" s="414"/>
      <c r="HL19" s="414"/>
      <c r="HM19" s="414"/>
      <c r="HN19" s="414"/>
      <c r="HO19" s="414"/>
      <c r="HP19" s="414"/>
      <c r="HQ19" s="414"/>
      <c r="HR19" s="414"/>
      <c r="HS19" s="414"/>
      <c r="HT19" s="414"/>
      <c r="HU19" s="414"/>
      <c r="HV19" s="414"/>
      <c r="HW19" s="414"/>
      <c r="HX19" s="414"/>
      <c r="HY19" s="414"/>
      <c r="HZ19" s="414"/>
      <c r="IA19" s="414"/>
      <c r="IB19" s="414"/>
      <c r="IC19" s="414"/>
      <c r="ID19" s="414"/>
      <c r="IE19" s="414"/>
      <c r="IF19" s="414"/>
      <c r="IG19" s="414"/>
      <c r="IH19" s="414"/>
      <c r="II19" s="414"/>
      <c r="IJ19" s="414"/>
      <c r="IK19" s="414"/>
      <c r="IL19" s="414"/>
      <c r="IM19" s="414"/>
      <c r="IN19" s="414"/>
      <c r="IO19" s="414"/>
      <c r="IP19" s="414"/>
      <c r="IQ19" s="414"/>
      <c r="IR19" s="414"/>
      <c r="IS19" s="414"/>
      <c r="IT19" s="414"/>
      <c r="IU19" s="414"/>
      <c r="IV19" s="414"/>
    </row>
    <row r="20" spans="1:256" s="404" customFormat="1" ht="14.5">
      <c r="A20" s="409" t="s">
        <v>3029</v>
      </c>
      <c r="B20" s="417"/>
      <c r="C20" s="409">
        <v>513762</v>
      </c>
      <c r="D20" s="409"/>
      <c r="E20" s="409">
        <v>-27677</v>
      </c>
      <c r="F20" s="409"/>
      <c r="G20" s="409">
        <v>0</v>
      </c>
      <c r="H20" s="409"/>
      <c r="I20" s="409">
        <v>486085</v>
      </c>
      <c r="J20" s="409"/>
      <c r="K20" s="409">
        <v>0</v>
      </c>
      <c r="L20" s="409"/>
      <c r="M20" s="409">
        <v>486085</v>
      </c>
      <c r="N20" s="409"/>
      <c r="O20" s="409"/>
      <c r="P20" s="409"/>
      <c r="Q20" s="409"/>
      <c r="R20" s="409"/>
      <c r="S20" s="409"/>
      <c r="T20" s="409"/>
      <c r="U20" s="409"/>
      <c r="V20" s="409"/>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c r="CI20" s="409"/>
      <c r="CJ20" s="409"/>
      <c r="CK20" s="409"/>
      <c r="CL20" s="409"/>
      <c r="CM20" s="409"/>
      <c r="CN20" s="409"/>
      <c r="CO20" s="409"/>
      <c r="CP20" s="409"/>
      <c r="CQ20" s="409"/>
      <c r="CR20" s="409"/>
      <c r="CS20" s="409"/>
      <c r="CT20" s="409"/>
      <c r="CU20" s="409"/>
      <c r="CV20" s="409"/>
      <c r="CW20" s="409"/>
      <c r="CX20" s="409"/>
      <c r="CY20" s="409"/>
      <c r="CZ20" s="409"/>
      <c r="DA20" s="409"/>
      <c r="DB20" s="409"/>
      <c r="DC20" s="409"/>
      <c r="DD20" s="409"/>
      <c r="DE20" s="409"/>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c r="IN20" s="409"/>
      <c r="IO20" s="409"/>
      <c r="IP20" s="409"/>
      <c r="IQ20" s="409"/>
      <c r="IR20" s="409"/>
      <c r="IS20" s="409"/>
      <c r="IT20" s="409"/>
      <c r="IU20" s="409"/>
      <c r="IV20" s="409"/>
    </row>
    <row r="21" spans="1:256" s="404" customFormat="1" ht="14.5">
      <c r="A21" s="409" t="s">
        <v>3030</v>
      </c>
      <c r="B21" s="417"/>
      <c r="C21" s="409">
        <v>-695812</v>
      </c>
      <c r="D21" s="409"/>
      <c r="E21" s="409">
        <v>-534002</v>
      </c>
      <c r="F21" s="409"/>
      <c r="G21" s="409">
        <v>0</v>
      </c>
      <c r="H21" s="409"/>
      <c r="I21" s="409">
        <v>-1227814</v>
      </c>
      <c r="J21" s="409"/>
      <c r="K21" s="409">
        <v>-1227814</v>
      </c>
      <c r="L21" s="409"/>
      <c r="M21" s="409">
        <v>0</v>
      </c>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c r="IN21" s="409"/>
      <c r="IO21" s="409"/>
      <c r="IP21" s="409"/>
      <c r="IQ21" s="409"/>
      <c r="IR21" s="409"/>
      <c r="IS21" s="409"/>
      <c r="IT21" s="409"/>
      <c r="IU21" s="409"/>
      <c r="IV21" s="409"/>
    </row>
    <row r="22" spans="1:256" s="404" customFormat="1" ht="14.5">
      <c r="A22" s="409" t="s">
        <v>3031</v>
      </c>
      <c r="B22" s="417"/>
      <c r="C22" s="409">
        <v>-12970</v>
      </c>
      <c r="D22" s="409"/>
      <c r="E22" s="409">
        <v>-81889</v>
      </c>
      <c r="F22" s="409"/>
      <c r="G22" s="409">
        <v>0</v>
      </c>
      <c r="H22" s="409"/>
      <c r="I22" s="409">
        <v>-94859</v>
      </c>
      <c r="J22" s="409"/>
      <c r="K22" s="409">
        <v>-94859</v>
      </c>
      <c r="L22" s="409"/>
      <c r="M22" s="409">
        <v>0</v>
      </c>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c r="CO22" s="409"/>
      <c r="CP22" s="409"/>
      <c r="CQ22" s="409"/>
      <c r="CR22" s="409"/>
      <c r="CS22" s="409"/>
      <c r="CT22" s="409"/>
      <c r="CU22" s="409"/>
      <c r="CV22" s="409"/>
      <c r="CW22" s="409"/>
      <c r="CX22" s="409"/>
      <c r="CY22" s="409"/>
      <c r="CZ22" s="409"/>
      <c r="DA22" s="409"/>
      <c r="DB22" s="409"/>
      <c r="DC22" s="409"/>
      <c r="DD22" s="409"/>
      <c r="DE22" s="409"/>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c r="IN22" s="409"/>
      <c r="IO22" s="409"/>
      <c r="IP22" s="409"/>
      <c r="IQ22" s="409"/>
      <c r="IR22" s="409"/>
      <c r="IS22" s="409"/>
      <c r="IT22" s="409"/>
      <c r="IU22" s="409"/>
      <c r="IV22" s="409"/>
    </row>
    <row r="23" spans="1:256" s="404" customFormat="1" ht="14.5">
      <c r="A23" s="409" t="s">
        <v>3032</v>
      </c>
      <c r="B23" s="417"/>
      <c r="C23" s="409">
        <v>-40469</v>
      </c>
      <c r="D23" s="409"/>
      <c r="E23" s="409">
        <v>-10127</v>
      </c>
      <c r="F23" s="409"/>
      <c r="G23" s="409">
        <v>0</v>
      </c>
      <c r="H23" s="409"/>
      <c r="I23" s="409">
        <v>-50596</v>
      </c>
      <c r="J23" s="409"/>
      <c r="K23" s="409">
        <v>-50596</v>
      </c>
      <c r="L23" s="409"/>
      <c r="M23" s="409">
        <v>0</v>
      </c>
      <c r="N23" s="409"/>
      <c r="O23" s="409"/>
      <c r="P23" s="409"/>
      <c r="Q23" s="409"/>
      <c r="R23" s="409"/>
      <c r="S23" s="409"/>
      <c r="T23" s="409"/>
      <c r="U23" s="409"/>
      <c r="V23" s="409"/>
      <c r="W23" s="409"/>
      <c r="X23" s="409"/>
      <c r="Y23" s="409"/>
      <c r="Z23" s="409"/>
      <c r="AA23" s="409"/>
      <c r="AB23" s="409"/>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c r="CO23" s="409"/>
      <c r="CP23" s="409"/>
      <c r="CQ23" s="409"/>
      <c r="CR23" s="409"/>
      <c r="CS23" s="409"/>
      <c r="CT23" s="409"/>
      <c r="CU23" s="409"/>
      <c r="CV23" s="409"/>
      <c r="CW23" s="409"/>
      <c r="CX23" s="409"/>
      <c r="CY23" s="409"/>
      <c r="CZ23" s="409"/>
      <c r="DA23" s="409"/>
      <c r="DB23" s="409"/>
      <c r="DC23" s="409"/>
      <c r="DD23" s="409"/>
      <c r="DE23" s="409"/>
      <c r="DF23" s="409"/>
      <c r="DG23" s="409"/>
      <c r="DH23" s="409"/>
      <c r="DI23" s="409"/>
      <c r="DJ23" s="409"/>
      <c r="DK23" s="409"/>
      <c r="DL23" s="409"/>
      <c r="DM23" s="409"/>
      <c r="DN23" s="409"/>
      <c r="DO23" s="409"/>
      <c r="DP23" s="409"/>
      <c r="DQ23" s="409"/>
      <c r="DR23" s="409"/>
      <c r="DS23" s="409"/>
      <c r="DT23" s="409"/>
      <c r="DU23" s="409"/>
      <c r="DV23" s="409"/>
      <c r="DW23" s="409"/>
      <c r="DX23" s="409"/>
      <c r="DY23" s="409"/>
      <c r="DZ23" s="409"/>
      <c r="EA23" s="409"/>
      <c r="EB23" s="409"/>
      <c r="EC23" s="409"/>
      <c r="ED23" s="409"/>
      <c r="EE23" s="409"/>
      <c r="EF23" s="409"/>
      <c r="EG23" s="409"/>
      <c r="EH23" s="409"/>
      <c r="EI23" s="409"/>
      <c r="EJ23" s="409"/>
      <c r="EK23" s="409"/>
      <c r="EL23" s="409"/>
      <c r="EM23" s="409"/>
      <c r="EN23" s="409"/>
      <c r="EO23" s="409"/>
      <c r="EP23" s="409"/>
      <c r="EQ23" s="409"/>
      <c r="ER23" s="409"/>
      <c r="ES23" s="409"/>
      <c r="ET23" s="409"/>
      <c r="EU23" s="409"/>
      <c r="EV23" s="409"/>
      <c r="EW23" s="409"/>
      <c r="EX23" s="409"/>
      <c r="EY23" s="409"/>
      <c r="EZ23" s="409"/>
      <c r="FA23" s="409"/>
      <c r="FB23" s="409"/>
      <c r="FC23" s="409"/>
      <c r="FD23" s="409"/>
      <c r="FE23" s="409"/>
      <c r="FF23" s="409"/>
      <c r="FG23" s="409"/>
      <c r="FH23" s="409"/>
      <c r="FI23" s="409"/>
      <c r="FJ23" s="409"/>
      <c r="FK23" s="409"/>
      <c r="FL23" s="409"/>
      <c r="FM23" s="409"/>
      <c r="FN23" s="409"/>
      <c r="FO23" s="409"/>
      <c r="FP23" s="409"/>
      <c r="FQ23" s="409"/>
      <c r="FR23" s="409"/>
      <c r="FS23" s="409"/>
      <c r="FT23" s="409"/>
      <c r="FU23" s="409"/>
      <c r="FV23" s="409"/>
      <c r="FW23" s="409"/>
      <c r="FX23" s="409"/>
      <c r="FY23" s="409"/>
      <c r="FZ23" s="409"/>
      <c r="GA23" s="409"/>
      <c r="GB23" s="409"/>
      <c r="GC23" s="409"/>
      <c r="GD23" s="409"/>
      <c r="GE23" s="409"/>
      <c r="GF23" s="409"/>
      <c r="GG23" s="409"/>
      <c r="GH23" s="409"/>
      <c r="GI23" s="409"/>
      <c r="GJ23" s="409"/>
      <c r="GK23" s="409"/>
      <c r="GL23" s="409"/>
      <c r="GM23" s="409"/>
      <c r="GN23" s="409"/>
      <c r="GO23" s="409"/>
      <c r="GP23" s="409"/>
      <c r="GQ23" s="409"/>
      <c r="GR23" s="409"/>
      <c r="GS23" s="409"/>
      <c r="GT23" s="409"/>
      <c r="GU23" s="409"/>
      <c r="GV23" s="409"/>
      <c r="GW23" s="409"/>
      <c r="GX23" s="409"/>
      <c r="GY23" s="409"/>
      <c r="GZ23" s="409"/>
      <c r="HA23" s="409"/>
      <c r="HB23" s="409"/>
      <c r="HC23" s="409"/>
      <c r="HD23" s="409"/>
      <c r="HE23" s="409"/>
      <c r="HF23" s="409"/>
      <c r="HG23" s="409"/>
      <c r="HH23" s="409"/>
      <c r="HI23" s="409"/>
      <c r="HJ23" s="409"/>
      <c r="HK23" s="409"/>
      <c r="HL23" s="409"/>
      <c r="HM23" s="409"/>
      <c r="HN23" s="409"/>
      <c r="HO23" s="409"/>
      <c r="HP23" s="409"/>
      <c r="HQ23" s="409"/>
      <c r="HR23" s="409"/>
      <c r="HS23" s="409"/>
      <c r="HT23" s="409"/>
      <c r="HU23" s="409"/>
      <c r="HV23" s="409"/>
      <c r="HW23" s="409"/>
      <c r="HX23" s="409"/>
      <c r="HY23" s="409"/>
      <c r="HZ23" s="409"/>
      <c r="IA23" s="409"/>
      <c r="IB23" s="409"/>
      <c r="IC23" s="409"/>
      <c r="ID23" s="409"/>
      <c r="IE23" s="409"/>
      <c r="IF23" s="409"/>
      <c r="IG23" s="409"/>
      <c r="IH23" s="409"/>
      <c r="II23" s="409"/>
      <c r="IJ23" s="409"/>
      <c r="IK23" s="409"/>
      <c r="IL23" s="409"/>
      <c r="IM23" s="409"/>
      <c r="IN23" s="409"/>
      <c r="IO23" s="409"/>
      <c r="IP23" s="409"/>
      <c r="IQ23" s="409"/>
      <c r="IR23" s="409"/>
      <c r="IS23" s="409"/>
      <c r="IT23" s="409"/>
      <c r="IU23" s="409"/>
      <c r="IV23" s="409"/>
    </row>
    <row r="24" spans="1:256" s="404" customFormat="1" ht="14.5">
      <c r="A24" s="409" t="s">
        <v>3033</v>
      </c>
      <c r="B24" s="417"/>
      <c r="C24" s="409">
        <v>0</v>
      </c>
      <c r="D24" s="409"/>
      <c r="E24" s="409">
        <v>-276093</v>
      </c>
      <c r="F24" s="409"/>
      <c r="G24" s="409">
        <v>0</v>
      </c>
      <c r="H24" s="409"/>
      <c r="I24" s="409">
        <v>-276093</v>
      </c>
      <c r="J24" s="409"/>
      <c r="K24" s="409">
        <v>-276093</v>
      </c>
      <c r="L24" s="409"/>
      <c r="M24" s="418">
        <v>0</v>
      </c>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09"/>
      <c r="BJ24" s="409"/>
      <c r="BK24" s="409"/>
      <c r="BL24" s="409"/>
      <c r="BM24" s="409"/>
      <c r="BN24" s="409"/>
      <c r="BO24" s="409"/>
      <c r="BP24" s="409"/>
      <c r="BQ24" s="409"/>
      <c r="BR24" s="409"/>
      <c r="BS24" s="409"/>
      <c r="BT24" s="409"/>
      <c r="BU24" s="409"/>
      <c r="BV24" s="409"/>
      <c r="BW24" s="409"/>
      <c r="BX24" s="409"/>
      <c r="BY24" s="409"/>
      <c r="BZ24" s="409"/>
      <c r="CA24" s="409"/>
      <c r="CB24" s="409"/>
      <c r="CC24" s="409"/>
      <c r="CD24" s="409"/>
      <c r="CE24" s="409"/>
      <c r="CF24" s="409"/>
      <c r="CG24" s="409"/>
      <c r="CH24" s="409"/>
      <c r="CI24" s="409"/>
      <c r="CJ24" s="409"/>
      <c r="CK24" s="409"/>
      <c r="CL24" s="409"/>
      <c r="CM24" s="409"/>
      <c r="CN24" s="409"/>
      <c r="CO24" s="409"/>
      <c r="CP24" s="409"/>
      <c r="CQ24" s="409"/>
      <c r="CR24" s="409"/>
      <c r="CS24" s="409"/>
      <c r="CT24" s="409"/>
      <c r="CU24" s="409"/>
      <c r="CV24" s="409"/>
      <c r="CW24" s="409"/>
      <c r="CX24" s="409"/>
      <c r="CY24" s="409"/>
      <c r="CZ24" s="409"/>
      <c r="DA24" s="409"/>
      <c r="DB24" s="409"/>
      <c r="DC24" s="409"/>
      <c r="DD24" s="409"/>
      <c r="DE24" s="409"/>
      <c r="DF24" s="409"/>
      <c r="DG24" s="409"/>
      <c r="DH24" s="409"/>
      <c r="DI24" s="409"/>
      <c r="DJ24" s="409"/>
      <c r="DK24" s="409"/>
      <c r="DL24" s="409"/>
      <c r="DM24" s="409"/>
      <c r="DN24" s="409"/>
      <c r="DO24" s="409"/>
      <c r="DP24" s="409"/>
      <c r="DQ24" s="409"/>
      <c r="DR24" s="409"/>
      <c r="DS24" s="409"/>
      <c r="DT24" s="409"/>
      <c r="DU24" s="409"/>
      <c r="DV24" s="409"/>
      <c r="DW24" s="409"/>
      <c r="DX24" s="409"/>
      <c r="DY24" s="409"/>
      <c r="DZ24" s="409"/>
      <c r="EA24" s="409"/>
      <c r="EB24" s="409"/>
      <c r="EC24" s="409"/>
      <c r="ED24" s="409"/>
      <c r="EE24" s="409"/>
      <c r="EF24" s="409"/>
      <c r="EG24" s="409"/>
      <c r="EH24" s="409"/>
      <c r="EI24" s="409"/>
      <c r="EJ24" s="409"/>
      <c r="EK24" s="409"/>
      <c r="EL24" s="409"/>
      <c r="EM24" s="409"/>
      <c r="EN24" s="409"/>
      <c r="EO24" s="409"/>
      <c r="EP24" s="409"/>
      <c r="EQ24" s="409"/>
      <c r="ER24" s="409"/>
      <c r="ES24" s="409"/>
      <c r="ET24" s="409"/>
      <c r="EU24" s="409"/>
      <c r="EV24" s="409"/>
      <c r="EW24" s="409"/>
      <c r="EX24" s="409"/>
      <c r="EY24" s="409"/>
      <c r="EZ24" s="409"/>
      <c r="FA24" s="409"/>
      <c r="FB24" s="409"/>
      <c r="FC24" s="409"/>
      <c r="FD24" s="409"/>
      <c r="FE24" s="409"/>
      <c r="FF24" s="409"/>
      <c r="FG24" s="409"/>
      <c r="FH24" s="409"/>
      <c r="FI24" s="409"/>
      <c r="FJ24" s="409"/>
      <c r="FK24" s="409"/>
      <c r="FL24" s="409"/>
      <c r="FM24" s="409"/>
      <c r="FN24" s="409"/>
      <c r="FO24" s="409"/>
      <c r="FP24" s="409"/>
      <c r="FQ24" s="409"/>
      <c r="FR24" s="409"/>
      <c r="FS24" s="409"/>
      <c r="FT24" s="409"/>
      <c r="FU24" s="409"/>
      <c r="FV24" s="409"/>
      <c r="FW24" s="409"/>
      <c r="FX24" s="409"/>
      <c r="FY24" s="409"/>
      <c r="FZ24" s="409"/>
      <c r="GA24" s="409"/>
      <c r="GB24" s="409"/>
      <c r="GC24" s="409"/>
      <c r="GD24" s="409"/>
      <c r="GE24" s="409"/>
      <c r="GF24" s="409"/>
      <c r="GG24" s="409"/>
      <c r="GH24" s="409"/>
      <c r="GI24" s="409"/>
      <c r="GJ24" s="409"/>
      <c r="GK24" s="409"/>
      <c r="GL24" s="409"/>
      <c r="GM24" s="409"/>
      <c r="GN24" s="409"/>
      <c r="GO24" s="409"/>
      <c r="GP24" s="409"/>
      <c r="GQ24" s="409"/>
      <c r="GR24" s="409"/>
      <c r="GS24" s="409"/>
      <c r="GT24" s="409"/>
      <c r="GU24" s="409"/>
      <c r="GV24" s="409"/>
      <c r="GW24" s="409"/>
      <c r="GX24" s="409"/>
      <c r="GY24" s="409"/>
      <c r="GZ24" s="409"/>
      <c r="HA24" s="409"/>
      <c r="HB24" s="409"/>
      <c r="HC24" s="409"/>
      <c r="HD24" s="409"/>
      <c r="HE24" s="409"/>
      <c r="HF24" s="409"/>
      <c r="HG24" s="409"/>
      <c r="HH24" s="409"/>
      <c r="HI24" s="409"/>
      <c r="HJ24" s="409"/>
      <c r="HK24" s="409"/>
      <c r="HL24" s="409"/>
      <c r="HM24" s="409"/>
      <c r="HN24" s="409"/>
      <c r="HO24" s="409"/>
      <c r="HP24" s="409"/>
      <c r="HQ24" s="409"/>
      <c r="HR24" s="409"/>
      <c r="HS24" s="409"/>
      <c r="HT24" s="409"/>
      <c r="HU24" s="409"/>
      <c r="HV24" s="409"/>
      <c r="HW24" s="409"/>
      <c r="HX24" s="409"/>
      <c r="HY24" s="409"/>
      <c r="HZ24" s="409"/>
      <c r="IA24" s="409"/>
      <c r="IB24" s="409"/>
      <c r="IC24" s="409"/>
      <c r="ID24" s="409"/>
      <c r="IE24" s="409"/>
      <c r="IF24" s="409"/>
      <c r="IG24" s="409"/>
      <c r="IH24" s="409"/>
      <c r="II24" s="409"/>
      <c r="IJ24" s="409"/>
      <c r="IK24" s="409"/>
      <c r="IL24" s="409"/>
      <c r="IM24" s="409"/>
      <c r="IN24" s="409"/>
      <c r="IO24" s="409"/>
      <c r="IP24" s="409"/>
      <c r="IQ24" s="409"/>
      <c r="IR24" s="409"/>
      <c r="IS24" s="409"/>
      <c r="IT24" s="409"/>
      <c r="IU24" s="409"/>
      <c r="IV24" s="409"/>
    </row>
    <row r="25" spans="1:256" s="404" customFormat="1" ht="14.5">
      <c r="B25" s="419"/>
      <c r="C25" s="420"/>
      <c r="D25" s="409"/>
      <c r="E25" s="420"/>
      <c r="F25" s="409"/>
      <c r="G25" s="420"/>
      <c r="H25" s="409"/>
      <c r="I25" s="420"/>
      <c r="J25" s="409"/>
      <c r="K25" s="420"/>
      <c r="L25" s="409"/>
      <c r="M25" s="409"/>
      <c r="N25" s="409"/>
      <c r="O25" s="416"/>
      <c r="P25" s="409"/>
      <c r="Q25" s="416"/>
      <c r="R25" s="409"/>
      <c r="S25" s="416"/>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409"/>
      <c r="DC25" s="409"/>
      <c r="DD25" s="409"/>
      <c r="DE25" s="409"/>
      <c r="DF25" s="409"/>
      <c r="DG25" s="409"/>
      <c r="DH25" s="409"/>
      <c r="DI25" s="409"/>
      <c r="DJ25" s="409"/>
      <c r="DK25" s="409"/>
      <c r="DL25" s="409"/>
      <c r="DM25" s="409"/>
      <c r="DN25" s="409"/>
      <c r="DO25" s="409"/>
      <c r="DP25" s="409"/>
      <c r="DQ25" s="409"/>
      <c r="DR25" s="409"/>
      <c r="DS25" s="409"/>
      <c r="DT25" s="409"/>
      <c r="DU25" s="409"/>
      <c r="DV25" s="409"/>
      <c r="DW25" s="409"/>
      <c r="DX25" s="409"/>
      <c r="DY25" s="409"/>
      <c r="DZ25" s="409"/>
      <c r="EA25" s="409"/>
      <c r="EB25" s="409"/>
      <c r="EC25" s="409"/>
      <c r="ED25" s="409"/>
      <c r="EE25" s="409"/>
      <c r="EF25" s="409"/>
      <c r="EG25" s="409"/>
      <c r="EH25" s="409"/>
      <c r="EI25" s="409"/>
      <c r="EJ25" s="409"/>
      <c r="EK25" s="409"/>
      <c r="EL25" s="409"/>
      <c r="EM25" s="409"/>
      <c r="EN25" s="409"/>
      <c r="EO25" s="409"/>
      <c r="EP25" s="409"/>
      <c r="EQ25" s="409"/>
      <c r="ER25" s="409"/>
      <c r="ES25" s="409"/>
      <c r="ET25" s="409"/>
      <c r="EU25" s="409"/>
      <c r="EV25" s="409"/>
      <c r="EW25" s="409"/>
      <c r="EX25" s="409"/>
      <c r="EY25" s="409"/>
      <c r="EZ25" s="409"/>
      <c r="FA25" s="409"/>
      <c r="FB25" s="409"/>
      <c r="FC25" s="409"/>
      <c r="FD25" s="409"/>
      <c r="FE25" s="409"/>
      <c r="FF25" s="409"/>
      <c r="FG25" s="409"/>
      <c r="FH25" s="409"/>
      <c r="FI25" s="409"/>
      <c r="FJ25" s="409"/>
      <c r="FK25" s="409"/>
      <c r="FL25" s="409"/>
      <c r="FM25" s="409"/>
      <c r="FN25" s="409"/>
      <c r="FO25" s="409"/>
      <c r="FP25" s="409"/>
      <c r="FQ25" s="409"/>
      <c r="FR25" s="409"/>
      <c r="FS25" s="409"/>
      <c r="FT25" s="409"/>
      <c r="FU25" s="409"/>
      <c r="FV25" s="409"/>
      <c r="FW25" s="409"/>
      <c r="FX25" s="409"/>
      <c r="FY25" s="409"/>
      <c r="FZ25" s="409"/>
      <c r="GA25" s="409"/>
      <c r="GB25" s="409"/>
      <c r="GC25" s="409"/>
      <c r="GD25" s="409"/>
      <c r="GE25" s="409"/>
      <c r="GF25" s="409"/>
      <c r="GG25" s="409"/>
      <c r="GH25" s="409"/>
      <c r="GI25" s="409"/>
      <c r="GJ25" s="409"/>
      <c r="GK25" s="409"/>
      <c r="GL25" s="409"/>
      <c r="GM25" s="409"/>
      <c r="GN25" s="409"/>
      <c r="GO25" s="409"/>
      <c r="GP25" s="409"/>
      <c r="GQ25" s="409"/>
      <c r="GR25" s="409"/>
      <c r="GS25" s="409"/>
      <c r="GT25" s="409"/>
      <c r="GU25" s="409"/>
      <c r="GV25" s="409"/>
      <c r="GW25" s="409"/>
      <c r="GX25" s="409"/>
      <c r="GY25" s="409"/>
      <c r="GZ25" s="409"/>
      <c r="HA25" s="409"/>
      <c r="HB25" s="409"/>
      <c r="HC25" s="409"/>
      <c r="HD25" s="409"/>
      <c r="HE25" s="409"/>
      <c r="HF25" s="409"/>
      <c r="HG25" s="409"/>
      <c r="HH25" s="409"/>
      <c r="HI25" s="409"/>
      <c r="HJ25" s="409"/>
      <c r="HK25" s="409"/>
      <c r="HL25" s="409"/>
      <c r="HM25" s="409"/>
      <c r="HN25" s="409"/>
      <c r="HO25" s="409"/>
      <c r="HP25" s="409"/>
      <c r="HQ25" s="409"/>
      <c r="HR25" s="409"/>
      <c r="HS25" s="409"/>
      <c r="HT25" s="409"/>
      <c r="HU25" s="409"/>
      <c r="HV25" s="409"/>
      <c r="HW25" s="409"/>
      <c r="HX25" s="409"/>
      <c r="HY25" s="409"/>
      <c r="HZ25" s="409"/>
      <c r="IA25" s="409"/>
      <c r="IB25" s="409"/>
      <c r="IC25" s="409"/>
      <c r="ID25" s="409"/>
      <c r="IE25" s="409"/>
      <c r="IF25" s="409"/>
      <c r="IG25" s="409"/>
      <c r="IH25" s="409"/>
      <c r="II25" s="409"/>
      <c r="IJ25" s="409"/>
      <c r="IK25" s="409"/>
      <c r="IL25" s="409"/>
      <c r="IM25" s="409"/>
      <c r="IN25" s="409"/>
      <c r="IO25" s="409"/>
      <c r="IP25" s="409"/>
      <c r="IQ25" s="409"/>
      <c r="IR25" s="409"/>
      <c r="IS25" s="409"/>
      <c r="IT25" s="409"/>
      <c r="IU25" s="409"/>
      <c r="IV25" s="409"/>
    </row>
    <row r="26" spans="1:256" s="404" customFormat="1" ht="15" thickBot="1">
      <c r="A26" s="421"/>
      <c r="B26" s="422"/>
      <c r="C26" s="423">
        <v>-235489</v>
      </c>
      <c r="D26" s="413"/>
      <c r="E26" s="423">
        <v>-929788</v>
      </c>
      <c r="F26" s="413"/>
      <c r="G26" s="423">
        <v>0</v>
      </c>
      <c r="H26" s="413"/>
      <c r="I26" s="423">
        <v>-1163277</v>
      </c>
      <c r="J26" s="413"/>
      <c r="K26" s="423">
        <v>-1649362</v>
      </c>
      <c r="L26" s="413"/>
      <c r="M26" s="423">
        <v>486085</v>
      </c>
      <c r="N26" s="413"/>
      <c r="O26" s="424"/>
      <c r="P26" s="413"/>
      <c r="Q26" s="424"/>
      <c r="R26" s="413"/>
      <c r="S26" s="424"/>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3"/>
      <c r="FI26" s="413"/>
      <c r="FJ26" s="413"/>
      <c r="FK26" s="413"/>
      <c r="FL26" s="413"/>
      <c r="FM26" s="413"/>
      <c r="FN26" s="413"/>
      <c r="FO26" s="413"/>
      <c r="FP26" s="413"/>
      <c r="FQ26" s="413"/>
      <c r="FR26" s="413"/>
      <c r="FS26" s="413"/>
      <c r="FT26" s="413"/>
      <c r="FU26" s="413"/>
      <c r="FV26" s="413"/>
      <c r="FW26" s="413"/>
      <c r="FX26" s="413"/>
      <c r="FY26" s="413"/>
      <c r="FZ26" s="413"/>
      <c r="GA26" s="413"/>
      <c r="GB26" s="413"/>
      <c r="GC26" s="413"/>
      <c r="GD26" s="413"/>
      <c r="GE26" s="413"/>
      <c r="GF26" s="413"/>
      <c r="GG26" s="413"/>
      <c r="GH26" s="413"/>
      <c r="GI26" s="413"/>
      <c r="GJ26" s="413"/>
      <c r="GK26" s="413"/>
      <c r="GL26" s="413"/>
      <c r="GM26" s="413"/>
      <c r="GN26" s="413"/>
      <c r="GO26" s="413"/>
      <c r="GP26" s="413"/>
      <c r="GQ26" s="413"/>
      <c r="GR26" s="413"/>
      <c r="GS26" s="413"/>
      <c r="GT26" s="413"/>
      <c r="GU26" s="413"/>
      <c r="GV26" s="413"/>
      <c r="GW26" s="413"/>
      <c r="GX26" s="413"/>
      <c r="GY26" s="413"/>
      <c r="GZ26" s="413"/>
      <c r="HA26" s="413"/>
      <c r="HB26" s="413"/>
      <c r="HC26" s="413"/>
      <c r="HD26" s="413"/>
      <c r="HE26" s="413"/>
      <c r="HF26" s="413"/>
      <c r="HG26" s="413"/>
      <c r="HH26" s="413"/>
      <c r="HI26" s="413"/>
      <c r="HJ26" s="413"/>
      <c r="HK26" s="413"/>
      <c r="HL26" s="413"/>
      <c r="HM26" s="413"/>
      <c r="HN26" s="413"/>
      <c r="HO26" s="413"/>
      <c r="HP26" s="413"/>
      <c r="HQ26" s="413"/>
      <c r="HR26" s="413"/>
      <c r="HS26" s="413"/>
      <c r="HT26" s="413"/>
      <c r="HU26" s="413"/>
      <c r="HV26" s="413"/>
      <c r="HW26" s="413"/>
      <c r="HX26" s="413"/>
      <c r="HY26" s="413"/>
      <c r="HZ26" s="413"/>
      <c r="IA26" s="413"/>
      <c r="IB26" s="413"/>
      <c r="IC26" s="413"/>
      <c r="ID26" s="413"/>
      <c r="IE26" s="413"/>
      <c r="IF26" s="413"/>
      <c r="IG26" s="413"/>
      <c r="IH26" s="413"/>
      <c r="II26" s="413"/>
      <c r="IJ26" s="413"/>
      <c r="IK26" s="413"/>
      <c r="IL26" s="413"/>
      <c r="IM26" s="413"/>
      <c r="IN26" s="413"/>
      <c r="IO26" s="413"/>
      <c r="IP26" s="413"/>
      <c r="IQ26" s="413"/>
      <c r="IR26" s="413"/>
      <c r="IS26" s="413"/>
      <c r="IT26" s="413"/>
      <c r="IU26" s="413"/>
      <c r="IV26" s="413"/>
    </row>
    <row r="27" spans="1:256" s="404" customFormat="1" ht="15" thickTop="1">
      <c r="A27" s="421"/>
      <c r="B27" s="419"/>
      <c r="C27" s="416"/>
      <c r="D27" s="409"/>
      <c r="E27" s="416"/>
      <c r="F27" s="409"/>
      <c r="G27" s="416"/>
      <c r="H27" s="409"/>
      <c r="I27" s="416"/>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c r="CO27" s="409"/>
      <c r="CP27" s="409"/>
      <c r="CQ27" s="409"/>
      <c r="CR27" s="409"/>
      <c r="CS27" s="409"/>
      <c r="CT27" s="409"/>
      <c r="CU27" s="409"/>
      <c r="CV27" s="409"/>
      <c r="CW27" s="409"/>
      <c r="CX27" s="409"/>
      <c r="CY27" s="409"/>
      <c r="CZ27" s="409"/>
      <c r="DA27" s="409"/>
      <c r="DB27" s="409"/>
      <c r="DC27" s="409"/>
      <c r="DD27" s="409"/>
      <c r="DE27" s="409"/>
      <c r="DF27" s="409"/>
      <c r="DG27" s="409"/>
      <c r="DH27" s="409"/>
      <c r="DI27" s="409"/>
      <c r="DJ27" s="409"/>
      <c r="DK27" s="409"/>
      <c r="DL27" s="409"/>
      <c r="DM27" s="409"/>
      <c r="DN27" s="409"/>
      <c r="DO27" s="409"/>
      <c r="DP27" s="409"/>
      <c r="DQ27" s="409"/>
      <c r="DR27" s="409"/>
      <c r="DS27" s="409"/>
      <c r="DT27" s="409"/>
      <c r="DU27" s="409"/>
      <c r="DV27" s="409"/>
      <c r="DW27" s="409"/>
      <c r="DX27" s="409"/>
      <c r="DY27" s="409"/>
      <c r="DZ27" s="409"/>
      <c r="EA27" s="409"/>
      <c r="EB27" s="409"/>
      <c r="EC27" s="409"/>
      <c r="ED27" s="409"/>
      <c r="EE27" s="409"/>
      <c r="EF27" s="409"/>
      <c r="EG27" s="409"/>
      <c r="EH27" s="409"/>
      <c r="EI27" s="409"/>
      <c r="EJ27" s="409"/>
      <c r="EK27" s="409"/>
      <c r="EL27" s="409"/>
      <c r="EM27" s="409"/>
      <c r="EN27" s="409"/>
      <c r="EO27" s="409"/>
      <c r="EP27" s="409"/>
      <c r="EQ27" s="409"/>
      <c r="ER27" s="409"/>
      <c r="ES27" s="409"/>
      <c r="ET27" s="409"/>
      <c r="EU27" s="409"/>
      <c r="EV27" s="409"/>
      <c r="EW27" s="409"/>
      <c r="EX27" s="409"/>
      <c r="EY27" s="409"/>
      <c r="EZ27" s="409"/>
      <c r="FA27" s="409"/>
      <c r="FB27" s="409"/>
      <c r="FC27" s="409"/>
      <c r="FD27" s="409"/>
      <c r="FE27" s="409"/>
      <c r="FF27" s="409"/>
      <c r="FG27" s="409"/>
      <c r="FH27" s="409"/>
      <c r="FI27" s="409"/>
      <c r="FJ27" s="409"/>
      <c r="FK27" s="409"/>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409"/>
      <c r="GM27" s="409"/>
      <c r="GN27" s="409"/>
      <c r="GO27" s="409"/>
      <c r="GP27" s="409"/>
      <c r="GQ27" s="409"/>
      <c r="GR27" s="409"/>
      <c r="GS27" s="409"/>
      <c r="GT27" s="409"/>
      <c r="GU27" s="409"/>
      <c r="GV27" s="409"/>
      <c r="GW27" s="409"/>
      <c r="GX27" s="409"/>
      <c r="GY27" s="409"/>
      <c r="GZ27" s="409"/>
      <c r="HA27" s="409"/>
      <c r="HB27" s="409"/>
      <c r="HC27" s="409"/>
      <c r="HD27" s="409"/>
      <c r="HE27" s="409"/>
      <c r="HF27" s="409"/>
      <c r="HG27" s="409"/>
      <c r="HH27" s="409"/>
      <c r="HI27" s="409"/>
      <c r="HJ27" s="409"/>
      <c r="HK27" s="409"/>
      <c r="HL27" s="409"/>
      <c r="HM27" s="409"/>
      <c r="HN27" s="409"/>
      <c r="HO27" s="409"/>
      <c r="HP27" s="409"/>
      <c r="HQ27" s="409"/>
      <c r="HR27" s="409"/>
      <c r="HS27" s="409"/>
      <c r="HT27" s="409"/>
      <c r="HU27" s="409"/>
      <c r="HV27" s="409"/>
      <c r="HW27" s="409"/>
      <c r="HX27" s="409"/>
      <c r="HY27" s="409"/>
      <c r="HZ27" s="409"/>
      <c r="IA27" s="409"/>
      <c r="IB27" s="409"/>
      <c r="IC27" s="409"/>
      <c r="ID27" s="409"/>
      <c r="IE27" s="409"/>
      <c r="IF27" s="409"/>
      <c r="IG27" s="409"/>
      <c r="IH27" s="409"/>
      <c r="II27" s="409"/>
      <c r="IJ27" s="409"/>
      <c r="IK27" s="409"/>
      <c r="IL27" s="409"/>
      <c r="IM27" s="409"/>
      <c r="IN27" s="409"/>
      <c r="IO27" s="409"/>
      <c r="IP27" s="409"/>
      <c r="IQ27" s="409"/>
      <c r="IR27" s="409"/>
      <c r="IS27" s="409"/>
      <c r="IT27" s="409"/>
      <c r="IU27" s="409"/>
      <c r="IV27" s="409"/>
    </row>
    <row r="28" spans="1:256" s="404" customFormat="1" ht="14.5">
      <c r="A28" s="421"/>
      <c r="B28" s="419"/>
      <c r="C28" s="416"/>
      <c r="D28" s="409"/>
      <c r="E28" s="416"/>
      <c r="F28" s="409"/>
      <c r="G28" s="416"/>
      <c r="H28" s="409"/>
      <c r="I28" s="416"/>
      <c r="J28" s="409"/>
      <c r="K28" s="425"/>
      <c r="L28" s="425"/>
      <c r="M28" s="411"/>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409"/>
      <c r="BE28" s="409"/>
      <c r="BF28" s="409"/>
      <c r="BG28" s="409"/>
      <c r="BH28" s="409"/>
      <c r="BI28" s="409"/>
      <c r="BJ28" s="409"/>
      <c r="BK28" s="409"/>
      <c r="BL28" s="409"/>
      <c r="BM28" s="409"/>
      <c r="BN28" s="409"/>
      <c r="BO28" s="409"/>
      <c r="BP28" s="409"/>
      <c r="BQ28" s="409"/>
      <c r="BR28" s="409"/>
      <c r="BS28" s="409"/>
      <c r="BT28" s="409"/>
      <c r="BU28" s="409"/>
      <c r="BV28" s="409"/>
      <c r="BW28" s="409"/>
      <c r="BX28" s="409"/>
      <c r="BY28" s="409"/>
      <c r="BZ28" s="409"/>
      <c r="CA28" s="409"/>
      <c r="CB28" s="409"/>
      <c r="CC28" s="409"/>
      <c r="CD28" s="409"/>
      <c r="CE28" s="409"/>
      <c r="CF28" s="409"/>
      <c r="CG28" s="409"/>
      <c r="CH28" s="409"/>
      <c r="CI28" s="409"/>
      <c r="CJ28" s="409"/>
      <c r="CK28" s="409"/>
      <c r="CL28" s="409"/>
      <c r="CM28" s="409"/>
      <c r="CN28" s="409"/>
      <c r="CO28" s="409"/>
      <c r="CP28" s="409"/>
      <c r="CQ28" s="409"/>
      <c r="CR28" s="409"/>
      <c r="CS28" s="409"/>
      <c r="CT28" s="409"/>
      <c r="CU28" s="409"/>
      <c r="CV28" s="409"/>
      <c r="CW28" s="409"/>
      <c r="CX28" s="409"/>
      <c r="CY28" s="409"/>
      <c r="CZ28" s="409"/>
      <c r="DA28" s="409"/>
      <c r="DB28" s="409"/>
      <c r="DC28" s="409"/>
      <c r="DD28" s="409"/>
      <c r="DE28" s="409"/>
      <c r="DF28" s="409"/>
      <c r="DG28" s="409"/>
      <c r="DH28" s="409"/>
      <c r="DI28" s="409"/>
      <c r="DJ28" s="409"/>
      <c r="DK28" s="409"/>
      <c r="DL28" s="409"/>
      <c r="DM28" s="409"/>
      <c r="DN28" s="409"/>
      <c r="DO28" s="409"/>
      <c r="DP28" s="409"/>
      <c r="DQ28" s="409"/>
      <c r="DR28" s="409"/>
      <c r="DS28" s="409"/>
      <c r="DT28" s="409"/>
      <c r="DU28" s="409"/>
      <c r="DV28" s="409"/>
      <c r="DW28" s="409"/>
      <c r="DX28" s="409"/>
      <c r="DY28" s="409"/>
      <c r="DZ28" s="409"/>
      <c r="EA28" s="409"/>
      <c r="EB28" s="409"/>
      <c r="EC28" s="409"/>
      <c r="ED28" s="409"/>
      <c r="EE28" s="409"/>
      <c r="EF28" s="409"/>
      <c r="EG28" s="409"/>
      <c r="EH28" s="409"/>
      <c r="EI28" s="409"/>
      <c r="EJ28" s="409"/>
      <c r="EK28" s="409"/>
      <c r="EL28" s="409"/>
      <c r="EM28" s="409"/>
      <c r="EN28" s="409"/>
      <c r="EO28" s="409"/>
      <c r="EP28" s="409"/>
      <c r="EQ28" s="409"/>
      <c r="ER28" s="409"/>
      <c r="ES28" s="409"/>
      <c r="ET28" s="409"/>
      <c r="EU28" s="409"/>
      <c r="EV28" s="409"/>
      <c r="EW28" s="409"/>
      <c r="EX28" s="409"/>
      <c r="EY28" s="409"/>
      <c r="EZ28" s="409"/>
      <c r="FA28" s="409"/>
      <c r="FB28" s="409"/>
      <c r="FC28" s="409"/>
      <c r="FD28" s="409"/>
      <c r="FE28" s="409"/>
      <c r="FF28" s="409"/>
      <c r="FG28" s="409"/>
      <c r="FH28" s="409"/>
      <c r="FI28" s="409"/>
      <c r="FJ28" s="409"/>
      <c r="FK28" s="409"/>
      <c r="FL28" s="409"/>
      <c r="FM28" s="409"/>
      <c r="FN28" s="409"/>
      <c r="FO28" s="409"/>
      <c r="FP28" s="409"/>
      <c r="FQ28" s="409"/>
      <c r="FR28" s="409"/>
      <c r="FS28" s="409"/>
      <c r="FT28" s="409"/>
      <c r="FU28" s="409"/>
      <c r="FV28" s="409"/>
      <c r="FW28" s="409"/>
      <c r="FX28" s="409"/>
      <c r="FY28" s="409"/>
      <c r="FZ28" s="409"/>
      <c r="GA28" s="409"/>
      <c r="GB28" s="409"/>
      <c r="GC28" s="409"/>
      <c r="GD28" s="409"/>
      <c r="GE28" s="409"/>
      <c r="GF28" s="409"/>
      <c r="GG28" s="409"/>
      <c r="GH28" s="409"/>
      <c r="GI28" s="409"/>
      <c r="GJ28" s="409"/>
      <c r="GK28" s="409"/>
      <c r="GL28" s="409"/>
      <c r="GM28" s="409"/>
      <c r="GN28" s="409"/>
      <c r="GO28" s="409"/>
      <c r="GP28" s="409"/>
      <c r="GQ28" s="409"/>
      <c r="GR28" s="409"/>
      <c r="GS28" s="409"/>
      <c r="GT28" s="409"/>
      <c r="GU28" s="409"/>
      <c r="GV28" s="409"/>
      <c r="GW28" s="409"/>
      <c r="GX28" s="409"/>
      <c r="GY28" s="409"/>
      <c r="GZ28" s="409"/>
      <c r="HA28" s="409"/>
      <c r="HB28" s="409"/>
      <c r="HC28" s="409"/>
      <c r="HD28" s="409"/>
      <c r="HE28" s="409"/>
      <c r="HF28" s="409"/>
      <c r="HG28" s="409"/>
      <c r="HH28" s="409"/>
      <c r="HI28" s="409"/>
      <c r="HJ28" s="409"/>
      <c r="HK28" s="409"/>
      <c r="HL28" s="409"/>
      <c r="HM28" s="409"/>
      <c r="HN28" s="409"/>
      <c r="HO28" s="409"/>
      <c r="HP28" s="409"/>
      <c r="HQ28" s="409"/>
      <c r="HR28" s="409"/>
      <c r="HS28" s="409"/>
      <c r="HT28" s="409"/>
      <c r="HU28" s="409"/>
      <c r="HV28" s="409"/>
      <c r="HW28" s="409"/>
      <c r="HX28" s="409"/>
      <c r="HY28" s="409"/>
      <c r="HZ28" s="409"/>
      <c r="IA28" s="409"/>
      <c r="IB28" s="409"/>
      <c r="IC28" s="409"/>
      <c r="ID28" s="409"/>
      <c r="IE28" s="409"/>
      <c r="IF28" s="409"/>
      <c r="IG28" s="409"/>
      <c r="IH28" s="409"/>
      <c r="II28" s="409"/>
      <c r="IJ28" s="409"/>
      <c r="IK28" s="409"/>
      <c r="IL28" s="409"/>
      <c r="IM28" s="409"/>
      <c r="IN28" s="409"/>
      <c r="IO28" s="409"/>
      <c r="IP28" s="409"/>
      <c r="IQ28" s="409"/>
      <c r="IR28" s="409"/>
      <c r="IS28" s="409"/>
      <c r="IT28" s="409"/>
      <c r="IU28" s="409"/>
      <c r="IV28" s="409"/>
    </row>
    <row r="29" spans="1:256" s="404" customFormat="1" ht="14.5">
      <c r="A29" s="421"/>
      <c r="B29" s="419"/>
      <c r="C29" s="416"/>
      <c r="D29" s="409"/>
      <c r="E29" s="416"/>
      <c r="F29" s="409"/>
      <c r="G29" s="416"/>
      <c r="H29" s="409"/>
      <c r="I29" s="416"/>
      <c r="J29" s="409"/>
      <c r="K29" s="397"/>
      <c r="L29" s="425"/>
      <c r="M29" s="411"/>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09"/>
      <c r="BL29" s="409"/>
      <c r="BM29" s="409"/>
      <c r="BN29" s="409"/>
      <c r="BO29" s="409"/>
      <c r="BP29" s="409"/>
      <c r="BQ29" s="409"/>
      <c r="BR29" s="409"/>
      <c r="BS29" s="409"/>
      <c r="BT29" s="409"/>
      <c r="BU29" s="409"/>
      <c r="BV29" s="409"/>
      <c r="BW29" s="409"/>
      <c r="BX29" s="409"/>
      <c r="BY29" s="409"/>
      <c r="BZ29" s="409"/>
      <c r="CA29" s="409"/>
      <c r="CB29" s="409"/>
      <c r="CC29" s="409"/>
      <c r="CD29" s="409"/>
      <c r="CE29" s="409"/>
      <c r="CF29" s="409"/>
      <c r="CG29" s="409"/>
      <c r="CH29" s="409"/>
      <c r="CI29" s="409"/>
      <c r="CJ29" s="409"/>
      <c r="CK29" s="409"/>
      <c r="CL29" s="409"/>
      <c r="CM29" s="409"/>
      <c r="CN29" s="409"/>
      <c r="CO29" s="409"/>
      <c r="CP29" s="409"/>
      <c r="CQ29" s="409"/>
      <c r="CR29" s="409"/>
      <c r="CS29" s="409"/>
      <c r="CT29" s="409"/>
      <c r="CU29" s="409"/>
      <c r="CV29" s="409"/>
      <c r="CW29" s="409"/>
      <c r="CX29" s="409"/>
      <c r="CY29" s="409"/>
      <c r="CZ29" s="409"/>
      <c r="DA29" s="409"/>
      <c r="DB29" s="409"/>
      <c r="DC29" s="409"/>
      <c r="DD29" s="409"/>
      <c r="DE29" s="409"/>
      <c r="DF29" s="409"/>
      <c r="DG29" s="409"/>
      <c r="DH29" s="409"/>
      <c r="DI29" s="409"/>
      <c r="DJ29" s="409"/>
      <c r="DK29" s="409"/>
      <c r="DL29" s="409"/>
      <c r="DM29" s="409"/>
      <c r="DN29" s="409"/>
      <c r="DO29" s="409"/>
      <c r="DP29" s="409"/>
      <c r="DQ29" s="409"/>
      <c r="DR29" s="409"/>
      <c r="DS29" s="409"/>
      <c r="DT29" s="409"/>
      <c r="DU29" s="409"/>
      <c r="DV29" s="409"/>
      <c r="DW29" s="409"/>
      <c r="DX29" s="409"/>
      <c r="DY29" s="409"/>
      <c r="DZ29" s="409"/>
      <c r="EA29" s="409"/>
      <c r="EB29" s="409"/>
      <c r="EC29" s="409"/>
      <c r="ED29" s="409"/>
      <c r="EE29" s="409"/>
      <c r="EF29" s="409"/>
      <c r="EG29" s="409"/>
      <c r="EH29" s="409"/>
      <c r="EI29" s="409"/>
      <c r="EJ29" s="409"/>
      <c r="EK29" s="409"/>
      <c r="EL29" s="409"/>
      <c r="EM29" s="409"/>
      <c r="EN29" s="409"/>
      <c r="EO29" s="409"/>
      <c r="EP29" s="409"/>
      <c r="EQ29" s="409"/>
      <c r="ER29" s="409"/>
      <c r="ES29" s="409"/>
      <c r="ET29" s="409"/>
      <c r="EU29" s="409"/>
      <c r="EV29" s="409"/>
      <c r="EW29" s="409"/>
      <c r="EX29" s="409"/>
      <c r="EY29" s="409"/>
      <c r="EZ29" s="409"/>
      <c r="FA29" s="409"/>
      <c r="FB29" s="409"/>
      <c r="FC29" s="409"/>
      <c r="FD29" s="409"/>
      <c r="FE29" s="409"/>
      <c r="FF29" s="409"/>
      <c r="FG29" s="409"/>
      <c r="FH29" s="409"/>
      <c r="FI29" s="409"/>
      <c r="FJ29" s="409"/>
      <c r="FK29" s="409"/>
      <c r="FL29" s="409"/>
      <c r="FM29" s="409"/>
      <c r="FN29" s="409"/>
      <c r="FO29" s="409"/>
      <c r="FP29" s="409"/>
      <c r="FQ29" s="409"/>
      <c r="FR29" s="409"/>
      <c r="FS29" s="409"/>
      <c r="FT29" s="409"/>
      <c r="FU29" s="409"/>
      <c r="FV29" s="409"/>
      <c r="FW29" s="409"/>
      <c r="FX29" s="409"/>
      <c r="FY29" s="409"/>
      <c r="FZ29" s="409"/>
      <c r="GA29" s="409"/>
      <c r="GB29" s="409"/>
      <c r="GC29" s="409"/>
      <c r="GD29" s="409"/>
      <c r="GE29" s="409"/>
      <c r="GF29" s="409"/>
      <c r="GG29" s="409"/>
      <c r="GH29" s="409"/>
      <c r="GI29" s="409"/>
      <c r="GJ29" s="409"/>
      <c r="GK29" s="409"/>
      <c r="GL29" s="409"/>
      <c r="GM29" s="409"/>
      <c r="GN29" s="409"/>
      <c r="GO29" s="409"/>
      <c r="GP29" s="409"/>
      <c r="GQ29" s="409"/>
      <c r="GR29" s="409"/>
      <c r="GS29" s="409"/>
      <c r="GT29" s="409"/>
      <c r="GU29" s="409"/>
      <c r="GV29" s="409"/>
      <c r="GW29" s="409"/>
      <c r="GX29" s="409"/>
      <c r="GY29" s="409"/>
      <c r="GZ29" s="409"/>
      <c r="HA29" s="409"/>
      <c r="HB29" s="409"/>
      <c r="HC29" s="409"/>
      <c r="HD29" s="409"/>
      <c r="HE29" s="409"/>
      <c r="HF29" s="409"/>
      <c r="HG29" s="409"/>
      <c r="HH29" s="409"/>
      <c r="HI29" s="409"/>
      <c r="HJ29" s="409"/>
      <c r="HK29" s="409"/>
      <c r="HL29" s="409"/>
      <c r="HM29" s="409"/>
      <c r="HN29" s="409"/>
      <c r="HO29" s="409"/>
      <c r="HP29" s="409"/>
      <c r="HQ29" s="409"/>
      <c r="HR29" s="409"/>
      <c r="HS29" s="409"/>
      <c r="HT29" s="409"/>
      <c r="HU29" s="409"/>
      <c r="HV29" s="409"/>
      <c r="HW29" s="409"/>
      <c r="HX29" s="409"/>
      <c r="HY29" s="409"/>
      <c r="HZ29" s="409"/>
      <c r="IA29" s="409"/>
      <c r="IB29" s="409"/>
      <c r="IC29" s="409"/>
      <c r="ID29" s="409"/>
      <c r="IE29" s="409"/>
      <c r="IF29" s="409"/>
      <c r="IG29" s="409"/>
      <c r="IH29" s="409"/>
      <c r="II29" s="409"/>
      <c r="IJ29" s="409"/>
      <c r="IK29" s="409"/>
      <c r="IL29" s="409"/>
      <c r="IM29" s="409"/>
      <c r="IN29" s="409"/>
      <c r="IO29" s="409"/>
      <c r="IP29" s="409"/>
      <c r="IQ29" s="409"/>
      <c r="IR29" s="409"/>
      <c r="IS29" s="409"/>
      <c r="IT29" s="409"/>
      <c r="IU29" s="409"/>
      <c r="IV29" s="409"/>
    </row>
    <row r="30" spans="1:256" s="404" customFormat="1" ht="14.5">
      <c r="A30" s="421"/>
      <c r="B30" s="419"/>
      <c r="C30" s="416"/>
      <c r="D30" s="409"/>
      <c r="E30" s="416"/>
      <c r="F30" s="409"/>
      <c r="G30" s="416"/>
      <c r="H30" s="409"/>
      <c r="I30" s="416"/>
      <c r="J30" s="409"/>
      <c r="K30" s="397"/>
      <c r="L30" s="425"/>
      <c r="M30" s="426"/>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09"/>
      <c r="BL30" s="409"/>
      <c r="BM30" s="409"/>
      <c r="BN30" s="409"/>
      <c r="BO30" s="409"/>
      <c r="BP30" s="409"/>
      <c r="BQ30" s="409"/>
      <c r="BR30" s="409"/>
      <c r="BS30" s="409"/>
      <c r="BT30" s="409"/>
      <c r="BU30" s="409"/>
      <c r="BV30" s="409"/>
      <c r="BW30" s="409"/>
      <c r="BX30" s="409"/>
      <c r="BY30" s="409"/>
      <c r="BZ30" s="409"/>
      <c r="CA30" s="409"/>
      <c r="CB30" s="409"/>
      <c r="CC30" s="409"/>
      <c r="CD30" s="409"/>
      <c r="CE30" s="409"/>
      <c r="CF30" s="409"/>
      <c r="CG30" s="409"/>
      <c r="CH30" s="409"/>
      <c r="CI30" s="409"/>
      <c r="CJ30" s="409"/>
      <c r="CK30" s="409"/>
      <c r="CL30" s="409"/>
      <c r="CM30" s="409"/>
      <c r="CN30" s="409"/>
      <c r="CO30" s="409"/>
      <c r="CP30" s="409"/>
      <c r="CQ30" s="409"/>
      <c r="CR30" s="409"/>
      <c r="CS30" s="409"/>
      <c r="CT30" s="409"/>
      <c r="CU30" s="409"/>
      <c r="CV30" s="409"/>
      <c r="CW30" s="409"/>
      <c r="CX30" s="409"/>
      <c r="CY30" s="409"/>
      <c r="CZ30" s="409"/>
      <c r="DA30" s="409"/>
      <c r="DB30" s="409"/>
      <c r="DC30" s="409"/>
      <c r="DD30" s="409"/>
      <c r="DE30" s="409"/>
      <c r="DF30" s="409"/>
      <c r="DG30" s="409"/>
      <c r="DH30" s="409"/>
      <c r="DI30" s="409"/>
      <c r="DJ30" s="409"/>
      <c r="DK30" s="409"/>
      <c r="DL30" s="409"/>
      <c r="DM30" s="409"/>
      <c r="DN30" s="409"/>
      <c r="DO30" s="409"/>
      <c r="DP30" s="409"/>
      <c r="DQ30" s="409"/>
      <c r="DR30" s="409"/>
      <c r="DS30" s="409"/>
      <c r="DT30" s="409"/>
      <c r="DU30" s="409"/>
      <c r="DV30" s="409"/>
      <c r="DW30" s="409"/>
      <c r="DX30" s="409"/>
      <c r="DY30" s="409"/>
      <c r="DZ30" s="409"/>
      <c r="EA30" s="409"/>
      <c r="EB30" s="409"/>
      <c r="EC30" s="409"/>
      <c r="ED30" s="409"/>
      <c r="EE30" s="409"/>
      <c r="EF30" s="409"/>
      <c r="EG30" s="409"/>
      <c r="EH30" s="409"/>
      <c r="EI30" s="409"/>
      <c r="EJ30" s="409"/>
      <c r="EK30" s="409"/>
      <c r="EL30" s="409"/>
      <c r="EM30" s="409"/>
      <c r="EN30" s="409"/>
      <c r="EO30" s="409"/>
      <c r="EP30" s="409"/>
      <c r="EQ30" s="409"/>
      <c r="ER30" s="409"/>
      <c r="ES30" s="409"/>
      <c r="ET30" s="409"/>
      <c r="EU30" s="409"/>
      <c r="EV30" s="409"/>
      <c r="EW30" s="409"/>
      <c r="EX30" s="409"/>
      <c r="EY30" s="409"/>
      <c r="EZ30" s="409"/>
      <c r="FA30" s="409"/>
      <c r="FB30" s="409"/>
      <c r="FC30" s="409"/>
      <c r="FD30" s="409"/>
      <c r="FE30" s="409"/>
      <c r="FF30" s="409"/>
      <c r="FG30" s="409"/>
      <c r="FH30" s="409"/>
      <c r="FI30" s="409"/>
      <c r="FJ30" s="409"/>
      <c r="FK30" s="409"/>
      <c r="FL30" s="409"/>
      <c r="FM30" s="409"/>
      <c r="FN30" s="409"/>
      <c r="FO30" s="409"/>
      <c r="FP30" s="409"/>
      <c r="FQ30" s="409"/>
      <c r="FR30" s="409"/>
      <c r="FS30" s="409"/>
      <c r="FT30" s="409"/>
      <c r="FU30" s="409"/>
      <c r="FV30" s="409"/>
      <c r="FW30" s="409"/>
      <c r="FX30" s="409"/>
      <c r="FY30" s="409"/>
      <c r="FZ30" s="409"/>
      <c r="GA30" s="409"/>
      <c r="GB30" s="409"/>
      <c r="GC30" s="409"/>
      <c r="GD30" s="409"/>
      <c r="GE30" s="409"/>
      <c r="GF30" s="409"/>
      <c r="GG30" s="409"/>
      <c r="GH30" s="409"/>
      <c r="GI30" s="409"/>
      <c r="GJ30" s="409"/>
      <c r="GK30" s="409"/>
      <c r="GL30" s="409"/>
      <c r="GM30" s="409"/>
      <c r="GN30" s="409"/>
      <c r="GO30" s="409"/>
      <c r="GP30" s="409"/>
      <c r="GQ30" s="409"/>
      <c r="GR30" s="409"/>
      <c r="GS30" s="409"/>
      <c r="GT30" s="409"/>
      <c r="GU30" s="409"/>
      <c r="GV30" s="409"/>
      <c r="GW30" s="409"/>
      <c r="GX30" s="409"/>
      <c r="GY30" s="409"/>
      <c r="GZ30" s="409"/>
      <c r="HA30" s="409"/>
      <c r="HB30" s="409"/>
      <c r="HC30" s="409"/>
      <c r="HD30" s="409"/>
      <c r="HE30" s="409"/>
      <c r="HF30" s="409"/>
      <c r="HG30" s="409"/>
      <c r="HH30" s="409"/>
      <c r="HI30" s="409"/>
      <c r="HJ30" s="409"/>
      <c r="HK30" s="409"/>
      <c r="HL30" s="409"/>
      <c r="HM30" s="409"/>
      <c r="HN30" s="409"/>
      <c r="HO30" s="409"/>
      <c r="HP30" s="409"/>
      <c r="HQ30" s="409"/>
      <c r="HR30" s="409"/>
      <c r="HS30" s="409"/>
      <c r="HT30" s="409"/>
      <c r="HU30" s="409"/>
      <c r="HV30" s="409"/>
      <c r="HW30" s="409"/>
      <c r="HX30" s="409"/>
      <c r="HY30" s="409"/>
      <c r="HZ30" s="409"/>
      <c r="IA30" s="409"/>
      <c r="IB30" s="409"/>
      <c r="IC30" s="409"/>
      <c r="ID30" s="409"/>
      <c r="IE30" s="409"/>
      <c r="IF30" s="409"/>
      <c r="IG30" s="409"/>
      <c r="IH30" s="409"/>
      <c r="II30" s="409"/>
      <c r="IJ30" s="409"/>
      <c r="IK30" s="409"/>
      <c r="IL30" s="409"/>
      <c r="IM30" s="409"/>
      <c r="IN30" s="409"/>
      <c r="IO30" s="409"/>
      <c r="IP30" s="409"/>
      <c r="IQ30" s="409"/>
      <c r="IR30" s="409"/>
      <c r="IS30" s="409"/>
      <c r="IT30" s="409"/>
      <c r="IU30" s="409"/>
      <c r="IV30" s="409"/>
    </row>
    <row r="31" spans="1:256" s="404" customFormat="1" ht="14.5">
      <c r="A31" s="421"/>
      <c r="B31" s="419"/>
      <c r="C31" s="416"/>
      <c r="D31" s="409"/>
      <c r="E31" s="416"/>
      <c r="F31" s="409"/>
      <c r="G31" s="416"/>
      <c r="H31" s="409"/>
      <c r="I31" s="416"/>
      <c r="J31" s="409"/>
      <c r="K31" s="397"/>
      <c r="L31" s="425"/>
      <c r="M31" s="411"/>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09"/>
      <c r="BL31" s="409"/>
      <c r="BM31" s="409"/>
      <c r="BN31" s="409"/>
      <c r="BO31" s="409"/>
      <c r="BP31" s="409"/>
      <c r="BQ31" s="409"/>
      <c r="BR31" s="409"/>
      <c r="BS31" s="409"/>
      <c r="BT31" s="409"/>
      <c r="BU31" s="409"/>
      <c r="BV31" s="409"/>
      <c r="BW31" s="409"/>
      <c r="BX31" s="409"/>
      <c r="BY31" s="409"/>
      <c r="BZ31" s="409"/>
      <c r="CA31" s="409"/>
      <c r="CB31" s="409"/>
      <c r="CC31" s="409"/>
      <c r="CD31" s="409"/>
      <c r="CE31" s="409"/>
      <c r="CF31" s="409"/>
      <c r="CG31" s="409"/>
      <c r="CH31" s="409"/>
      <c r="CI31" s="409"/>
      <c r="CJ31" s="409"/>
      <c r="CK31" s="409"/>
      <c r="CL31" s="409"/>
      <c r="CM31" s="409"/>
      <c r="CN31" s="409"/>
      <c r="CO31" s="409"/>
      <c r="CP31" s="409"/>
      <c r="CQ31" s="409"/>
      <c r="CR31" s="409"/>
      <c r="CS31" s="409"/>
      <c r="CT31" s="409"/>
      <c r="CU31" s="409"/>
      <c r="CV31" s="409"/>
      <c r="CW31" s="409"/>
      <c r="CX31" s="409"/>
      <c r="CY31" s="409"/>
      <c r="CZ31" s="409"/>
      <c r="DA31" s="409"/>
      <c r="DB31" s="409"/>
      <c r="DC31" s="409"/>
      <c r="DD31" s="409"/>
      <c r="DE31" s="409"/>
      <c r="DF31" s="409"/>
      <c r="DG31" s="409"/>
      <c r="DH31" s="409"/>
      <c r="DI31" s="409"/>
      <c r="DJ31" s="409"/>
      <c r="DK31" s="409"/>
      <c r="DL31" s="409"/>
      <c r="DM31" s="409"/>
      <c r="DN31" s="409"/>
      <c r="DO31" s="409"/>
      <c r="DP31" s="409"/>
      <c r="DQ31" s="409"/>
      <c r="DR31" s="409"/>
      <c r="DS31" s="409"/>
      <c r="DT31" s="409"/>
      <c r="DU31" s="409"/>
      <c r="DV31" s="409"/>
      <c r="DW31" s="409"/>
      <c r="DX31" s="409"/>
      <c r="DY31" s="409"/>
      <c r="DZ31" s="409"/>
      <c r="EA31" s="409"/>
      <c r="EB31" s="409"/>
      <c r="EC31" s="409"/>
      <c r="ED31" s="409"/>
      <c r="EE31" s="409"/>
      <c r="EF31" s="409"/>
      <c r="EG31" s="409"/>
      <c r="EH31" s="409"/>
      <c r="EI31" s="409"/>
      <c r="EJ31" s="409"/>
      <c r="EK31" s="409"/>
      <c r="EL31" s="409"/>
      <c r="EM31" s="409"/>
      <c r="EN31" s="409"/>
      <c r="EO31" s="409"/>
      <c r="EP31" s="409"/>
      <c r="EQ31" s="409"/>
      <c r="ER31" s="409"/>
      <c r="ES31" s="409"/>
      <c r="ET31" s="409"/>
      <c r="EU31" s="409"/>
      <c r="EV31" s="409"/>
      <c r="EW31" s="409"/>
      <c r="EX31" s="409"/>
      <c r="EY31" s="409"/>
      <c r="EZ31" s="409"/>
      <c r="FA31" s="409"/>
      <c r="FB31" s="409"/>
      <c r="FC31" s="409"/>
      <c r="FD31" s="409"/>
      <c r="FE31" s="409"/>
      <c r="FF31" s="409"/>
      <c r="FG31" s="409"/>
      <c r="FH31" s="409"/>
      <c r="FI31" s="409"/>
      <c r="FJ31" s="409"/>
      <c r="FK31" s="409"/>
      <c r="FL31" s="409"/>
      <c r="FM31" s="409"/>
      <c r="FN31" s="409"/>
      <c r="FO31" s="409"/>
      <c r="FP31" s="409"/>
      <c r="FQ31" s="409"/>
      <c r="FR31" s="409"/>
      <c r="FS31" s="409"/>
      <c r="FT31" s="409"/>
      <c r="FU31" s="409"/>
      <c r="FV31" s="409"/>
      <c r="FW31" s="409"/>
      <c r="FX31" s="409"/>
      <c r="FY31" s="409"/>
      <c r="FZ31" s="409"/>
      <c r="GA31" s="409"/>
      <c r="GB31" s="409"/>
      <c r="GC31" s="409"/>
      <c r="GD31" s="409"/>
      <c r="GE31" s="409"/>
      <c r="GF31" s="409"/>
      <c r="GG31" s="409"/>
      <c r="GH31" s="409"/>
      <c r="GI31" s="409"/>
      <c r="GJ31" s="409"/>
      <c r="GK31" s="409"/>
      <c r="GL31" s="409"/>
      <c r="GM31" s="409"/>
      <c r="GN31" s="409"/>
      <c r="GO31" s="409"/>
      <c r="GP31" s="409"/>
      <c r="GQ31" s="409"/>
      <c r="GR31" s="409"/>
      <c r="GS31" s="409"/>
      <c r="GT31" s="409"/>
      <c r="GU31" s="409"/>
      <c r="GV31" s="409"/>
      <c r="GW31" s="409"/>
      <c r="GX31" s="409"/>
      <c r="GY31" s="409"/>
      <c r="GZ31" s="409"/>
      <c r="HA31" s="409"/>
      <c r="HB31" s="409"/>
      <c r="HC31" s="409"/>
      <c r="HD31" s="409"/>
      <c r="HE31" s="409"/>
      <c r="HF31" s="409"/>
      <c r="HG31" s="409"/>
      <c r="HH31" s="409"/>
      <c r="HI31" s="409"/>
      <c r="HJ31" s="409"/>
      <c r="HK31" s="409"/>
      <c r="HL31" s="409"/>
      <c r="HM31" s="409"/>
      <c r="HN31" s="409"/>
      <c r="HO31" s="409"/>
      <c r="HP31" s="409"/>
      <c r="HQ31" s="409"/>
      <c r="HR31" s="409"/>
      <c r="HS31" s="409"/>
      <c r="HT31" s="409"/>
      <c r="HU31" s="409"/>
      <c r="HV31" s="409"/>
      <c r="HW31" s="409"/>
      <c r="HX31" s="409"/>
      <c r="HY31" s="409"/>
      <c r="HZ31" s="409"/>
      <c r="IA31" s="409"/>
      <c r="IB31" s="409"/>
      <c r="IC31" s="409"/>
      <c r="ID31" s="409"/>
      <c r="IE31" s="409"/>
      <c r="IF31" s="409"/>
      <c r="IG31" s="409"/>
      <c r="IH31" s="409"/>
      <c r="II31" s="409"/>
      <c r="IJ31" s="409"/>
      <c r="IK31" s="409"/>
      <c r="IL31" s="409"/>
      <c r="IM31" s="409"/>
      <c r="IN31" s="409"/>
      <c r="IO31" s="409"/>
      <c r="IP31" s="409"/>
      <c r="IQ31" s="409"/>
      <c r="IR31" s="409"/>
      <c r="IS31" s="409"/>
      <c r="IT31" s="409"/>
      <c r="IU31" s="409"/>
      <c r="IV31" s="409"/>
    </row>
    <row r="32" spans="1:256" s="404" customFormat="1" ht="14.5">
      <c r="A32" s="421"/>
      <c r="B32" s="419"/>
      <c r="C32" s="409"/>
      <c r="D32" s="409"/>
      <c r="E32" s="409"/>
      <c r="F32" s="409"/>
      <c r="G32" s="409"/>
      <c r="H32" s="409"/>
      <c r="I32" s="416"/>
      <c r="J32" s="409"/>
      <c r="K32" s="397"/>
      <c r="L32" s="425"/>
      <c r="M32" s="426"/>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c r="CO32" s="409"/>
      <c r="CP32" s="409"/>
      <c r="CQ32" s="409"/>
      <c r="CR32" s="409"/>
      <c r="CS32" s="409"/>
      <c r="CT32" s="409"/>
      <c r="CU32" s="409"/>
      <c r="CV32" s="409"/>
      <c r="CW32" s="409"/>
      <c r="CX32" s="409"/>
      <c r="CY32" s="409"/>
      <c r="CZ32" s="409"/>
      <c r="DA32" s="409"/>
      <c r="DB32" s="409"/>
      <c r="DC32" s="409"/>
      <c r="DD32" s="409"/>
      <c r="DE32" s="409"/>
      <c r="DF32" s="409"/>
      <c r="DG32" s="409"/>
      <c r="DH32" s="409"/>
      <c r="DI32" s="409"/>
      <c r="DJ32" s="409"/>
      <c r="DK32" s="409"/>
      <c r="DL32" s="409"/>
      <c r="DM32" s="409"/>
      <c r="DN32" s="409"/>
      <c r="DO32" s="409"/>
      <c r="DP32" s="409"/>
      <c r="DQ32" s="409"/>
      <c r="DR32" s="409"/>
      <c r="DS32" s="409"/>
      <c r="DT32" s="409"/>
      <c r="DU32" s="409"/>
      <c r="DV32" s="409"/>
      <c r="DW32" s="409"/>
      <c r="DX32" s="409"/>
      <c r="DY32" s="409"/>
      <c r="DZ32" s="409"/>
      <c r="EA32" s="409"/>
      <c r="EB32" s="409"/>
      <c r="EC32" s="409"/>
      <c r="ED32" s="409"/>
      <c r="EE32" s="409"/>
      <c r="EF32" s="409"/>
      <c r="EG32" s="409"/>
      <c r="EH32" s="409"/>
      <c r="EI32" s="409"/>
      <c r="EJ32" s="409"/>
      <c r="EK32" s="409"/>
      <c r="EL32" s="409"/>
      <c r="EM32" s="409"/>
      <c r="EN32" s="409"/>
      <c r="EO32" s="409"/>
      <c r="EP32" s="409"/>
      <c r="EQ32" s="409"/>
      <c r="ER32" s="409"/>
      <c r="ES32" s="409"/>
      <c r="ET32" s="409"/>
      <c r="EU32" s="409"/>
      <c r="EV32" s="409"/>
      <c r="EW32" s="409"/>
      <c r="EX32" s="409"/>
      <c r="EY32" s="409"/>
      <c r="EZ32" s="409"/>
      <c r="FA32" s="409"/>
      <c r="FB32" s="409"/>
      <c r="FC32" s="409"/>
      <c r="FD32" s="409"/>
      <c r="FE32" s="409"/>
      <c r="FF32" s="409"/>
      <c r="FG32" s="409"/>
      <c r="FH32" s="409"/>
      <c r="FI32" s="409"/>
      <c r="FJ32" s="409"/>
      <c r="FK32" s="409"/>
      <c r="FL32" s="409"/>
      <c r="FM32" s="409"/>
      <c r="FN32" s="409"/>
      <c r="FO32" s="409"/>
      <c r="FP32" s="409"/>
      <c r="FQ32" s="409"/>
      <c r="FR32" s="409"/>
      <c r="FS32" s="409"/>
      <c r="FT32" s="409"/>
      <c r="FU32" s="409"/>
      <c r="FV32" s="409"/>
      <c r="FW32" s="409"/>
      <c r="FX32" s="409"/>
      <c r="FY32" s="409"/>
      <c r="FZ32" s="409"/>
      <c r="GA32" s="409"/>
      <c r="GB32" s="409"/>
      <c r="GC32" s="409"/>
      <c r="GD32" s="409"/>
      <c r="GE32" s="409"/>
      <c r="GF32" s="409"/>
      <c r="GG32" s="409"/>
      <c r="GH32" s="409"/>
      <c r="GI32" s="409"/>
      <c r="GJ32" s="409"/>
      <c r="GK32" s="409"/>
      <c r="GL32" s="409"/>
      <c r="GM32" s="409"/>
      <c r="GN32" s="409"/>
      <c r="GO32" s="409"/>
      <c r="GP32" s="409"/>
      <c r="GQ32" s="409"/>
      <c r="GR32" s="409"/>
      <c r="GS32" s="409"/>
      <c r="GT32" s="409"/>
      <c r="GU32" s="409"/>
      <c r="GV32" s="409"/>
      <c r="GW32" s="409"/>
      <c r="GX32" s="409"/>
      <c r="GY32" s="409"/>
      <c r="GZ32" s="409"/>
      <c r="HA32" s="409"/>
      <c r="HB32" s="409"/>
      <c r="HC32" s="409"/>
      <c r="HD32" s="409"/>
      <c r="HE32" s="409"/>
      <c r="HF32" s="409"/>
      <c r="HG32" s="409"/>
      <c r="HH32" s="409"/>
      <c r="HI32" s="409"/>
      <c r="HJ32" s="409"/>
      <c r="HK32" s="409"/>
      <c r="HL32" s="409"/>
      <c r="HM32" s="409"/>
      <c r="HN32" s="409"/>
      <c r="HO32" s="409"/>
      <c r="HP32" s="409"/>
      <c r="HQ32" s="409"/>
      <c r="HR32" s="409"/>
      <c r="HS32" s="409"/>
      <c r="HT32" s="409"/>
      <c r="HU32" s="409"/>
      <c r="HV32" s="409"/>
      <c r="HW32" s="409"/>
      <c r="HX32" s="409"/>
      <c r="HY32" s="409"/>
      <c r="HZ32" s="409"/>
      <c r="IA32" s="409"/>
      <c r="IB32" s="409"/>
      <c r="IC32" s="409"/>
      <c r="ID32" s="409"/>
      <c r="IE32" s="409"/>
      <c r="IF32" s="409"/>
      <c r="IG32" s="409"/>
      <c r="IH32" s="409"/>
      <c r="II32" s="409"/>
      <c r="IJ32" s="409"/>
      <c r="IK32" s="409"/>
      <c r="IL32" s="409"/>
      <c r="IM32" s="409"/>
      <c r="IN32" s="409"/>
      <c r="IO32" s="409"/>
      <c r="IP32" s="409"/>
      <c r="IQ32" s="409"/>
      <c r="IR32" s="409"/>
      <c r="IS32" s="409"/>
      <c r="IT32" s="409"/>
      <c r="IU32" s="409"/>
      <c r="IV32" s="409"/>
    </row>
    <row r="33" spans="1:256" s="404" customFormat="1" ht="14.5">
      <c r="A33" s="402"/>
      <c r="B33" s="403"/>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c r="BX33" s="402"/>
      <c r="BY33" s="402"/>
      <c r="BZ33" s="402"/>
      <c r="CA33" s="402"/>
      <c r="CB33" s="402"/>
      <c r="CC33" s="402"/>
      <c r="CD33" s="402"/>
      <c r="CE33" s="402"/>
      <c r="CF33" s="402"/>
      <c r="CG33" s="402"/>
      <c r="CH33" s="402"/>
      <c r="CI33" s="402"/>
      <c r="CJ33" s="402"/>
      <c r="CK33" s="402"/>
      <c r="CL33" s="402"/>
      <c r="CM33" s="402"/>
      <c r="CN33" s="402"/>
      <c r="CO33" s="402"/>
      <c r="CP33" s="402"/>
      <c r="CQ33" s="402"/>
      <c r="CR33" s="402"/>
      <c r="CS33" s="402"/>
      <c r="CT33" s="402"/>
      <c r="CU33" s="402"/>
      <c r="CV33" s="402"/>
      <c r="CW33" s="402"/>
      <c r="CX33" s="402"/>
      <c r="CY33" s="402"/>
      <c r="CZ33" s="402"/>
      <c r="DA33" s="402"/>
      <c r="DB33" s="402"/>
      <c r="DC33" s="402"/>
      <c r="DD33" s="402"/>
      <c r="DE33" s="402"/>
      <c r="DF33" s="402"/>
      <c r="DG33" s="402"/>
      <c r="DH33" s="402"/>
      <c r="DI33" s="402"/>
      <c r="DJ33" s="402"/>
      <c r="DK33" s="402"/>
      <c r="DL33" s="402"/>
      <c r="DM33" s="402"/>
      <c r="DN33" s="402"/>
      <c r="DO33" s="402"/>
      <c r="DP33" s="402"/>
      <c r="DQ33" s="402"/>
      <c r="DR33" s="402"/>
      <c r="DS33" s="402"/>
      <c r="DT33" s="402"/>
      <c r="DU33" s="402"/>
      <c r="DV33" s="402"/>
      <c r="DW33" s="402"/>
      <c r="DX33" s="402"/>
      <c r="DY33" s="402"/>
      <c r="DZ33" s="402"/>
      <c r="EA33" s="402"/>
      <c r="EB33" s="402"/>
      <c r="EC33" s="402"/>
      <c r="ED33" s="402"/>
      <c r="EE33" s="402"/>
      <c r="EF33" s="402"/>
      <c r="EG33" s="402"/>
      <c r="EH33" s="402"/>
      <c r="EI33" s="402"/>
      <c r="EJ33" s="402"/>
      <c r="EK33" s="402"/>
      <c r="EL33" s="402"/>
      <c r="EM33" s="402"/>
      <c r="EN33" s="402"/>
      <c r="EO33" s="402"/>
      <c r="EP33" s="402"/>
      <c r="EQ33" s="402"/>
      <c r="ER33" s="402"/>
      <c r="ES33" s="402"/>
      <c r="ET33" s="402"/>
      <c r="EU33" s="402"/>
      <c r="EV33" s="402"/>
      <c r="EW33" s="402"/>
      <c r="EX33" s="402"/>
      <c r="EY33" s="402"/>
      <c r="EZ33" s="402"/>
      <c r="FA33" s="402"/>
      <c r="FB33" s="402"/>
      <c r="FC33" s="402"/>
      <c r="FD33" s="402"/>
      <c r="FE33" s="402"/>
      <c r="FF33" s="402"/>
      <c r="FG33" s="402"/>
      <c r="FH33" s="402"/>
      <c r="FI33" s="402"/>
      <c r="FJ33" s="402"/>
      <c r="FK33" s="402"/>
      <c r="FL33" s="402"/>
      <c r="FM33" s="402"/>
      <c r="FN33" s="402"/>
      <c r="FO33" s="402"/>
      <c r="FP33" s="402"/>
      <c r="FQ33" s="402"/>
      <c r="FR33" s="402"/>
      <c r="FS33" s="402"/>
      <c r="FT33" s="402"/>
      <c r="FU33" s="402"/>
      <c r="FV33" s="402"/>
      <c r="FW33" s="402"/>
      <c r="FX33" s="402"/>
      <c r="FY33" s="402"/>
      <c r="FZ33" s="402"/>
      <c r="GA33" s="402"/>
      <c r="GB33" s="402"/>
      <c r="GC33" s="402"/>
      <c r="GD33" s="402"/>
      <c r="GE33" s="402"/>
      <c r="GF33" s="402"/>
      <c r="GG33" s="402"/>
      <c r="GH33" s="402"/>
      <c r="GI33" s="402"/>
      <c r="GJ33" s="402"/>
      <c r="GK33" s="402"/>
      <c r="GL33" s="402"/>
      <c r="GM33" s="402"/>
      <c r="GN33" s="402"/>
      <c r="GO33" s="402"/>
      <c r="GP33" s="402"/>
      <c r="GQ33" s="402"/>
      <c r="GR33" s="402"/>
      <c r="GS33" s="402"/>
      <c r="GT33" s="402"/>
      <c r="GU33" s="402"/>
      <c r="GV33" s="402"/>
      <c r="GW33" s="402"/>
      <c r="GX33" s="402"/>
      <c r="GY33" s="402"/>
      <c r="GZ33" s="402"/>
      <c r="HA33" s="402"/>
      <c r="HB33" s="402"/>
      <c r="HC33" s="402"/>
      <c r="HD33" s="402"/>
      <c r="HE33" s="402"/>
      <c r="HF33" s="402"/>
      <c r="HG33" s="402"/>
      <c r="HH33" s="402"/>
      <c r="HI33" s="402"/>
      <c r="HJ33" s="402"/>
      <c r="HK33" s="402"/>
      <c r="HL33" s="402"/>
      <c r="HM33" s="402"/>
      <c r="HN33" s="402"/>
      <c r="HO33" s="402"/>
      <c r="HP33" s="402"/>
      <c r="HQ33" s="402"/>
      <c r="HR33" s="402"/>
      <c r="HS33" s="402"/>
      <c r="HT33" s="402"/>
      <c r="HU33" s="402"/>
      <c r="HV33" s="402"/>
      <c r="HW33" s="402"/>
      <c r="HX33" s="402"/>
      <c r="HY33" s="402"/>
      <c r="HZ33" s="402"/>
      <c r="IA33" s="402"/>
      <c r="IB33" s="402"/>
      <c r="IC33" s="402"/>
      <c r="ID33" s="402"/>
      <c r="IE33" s="402"/>
      <c r="IF33" s="402"/>
      <c r="IG33" s="402"/>
      <c r="IH33" s="402"/>
      <c r="II33" s="402"/>
      <c r="IJ33" s="402"/>
      <c r="IK33" s="402"/>
      <c r="IL33" s="402"/>
      <c r="IM33" s="402"/>
      <c r="IN33" s="402"/>
      <c r="IO33" s="402"/>
      <c r="IP33" s="402"/>
      <c r="IQ33" s="402"/>
      <c r="IR33" s="402"/>
      <c r="IS33" s="402"/>
      <c r="IT33" s="402"/>
      <c r="IU33" s="402"/>
      <c r="IV33" s="402"/>
    </row>
    <row r="34" spans="1:256" s="404" customFormat="1" ht="14.5">
      <c r="A34" s="402"/>
      <c r="B34" s="403"/>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c r="BT34" s="402"/>
      <c r="BU34" s="402"/>
      <c r="BV34" s="402"/>
      <c r="BW34" s="402"/>
      <c r="BX34" s="402"/>
      <c r="BY34" s="402"/>
      <c r="BZ34" s="402"/>
      <c r="CA34" s="402"/>
      <c r="CB34" s="402"/>
      <c r="CC34" s="402"/>
      <c r="CD34" s="402"/>
      <c r="CE34" s="402"/>
      <c r="CF34" s="402"/>
      <c r="CG34" s="402"/>
      <c r="CH34" s="402"/>
      <c r="CI34" s="402"/>
      <c r="CJ34" s="402"/>
      <c r="CK34" s="402"/>
      <c r="CL34" s="402"/>
      <c r="CM34" s="402"/>
      <c r="CN34" s="402"/>
      <c r="CO34" s="402"/>
      <c r="CP34" s="402"/>
      <c r="CQ34" s="402"/>
      <c r="CR34" s="402"/>
      <c r="CS34" s="402"/>
      <c r="CT34" s="402"/>
      <c r="CU34" s="402"/>
      <c r="CV34" s="402"/>
      <c r="CW34" s="402"/>
      <c r="CX34" s="402"/>
      <c r="CY34" s="402"/>
      <c r="CZ34" s="402"/>
      <c r="DA34" s="402"/>
      <c r="DB34" s="402"/>
      <c r="DC34" s="402"/>
      <c r="DD34" s="402"/>
      <c r="DE34" s="402"/>
      <c r="DF34" s="402"/>
      <c r="DG34" s="402"/>
      <c r="DH34" s="402"/>
      <c r="DI34" s="402"/>
      <c r="DJ34" s="402"/>
      <c r="DK34" s="402"/>
      <c r="DL34" s="402"/>
      <c r="DM34" s="402"/>
      <c r="DN34" s="402"/>
      <c r="DO34" s="402"/>
      <c r="DP34" s="402"/>
      <c r="DQ34" s="402"/>
      <c r="DR34" s="402"/>
      <c r="DS34" s="402"/>
      <c r="DT34" s="402"/>
      <c r="DU34" s="402"/>
      <c r="DV34" s="402"/>
      <c r="DW34" s="402"/>
      <c r="DX34" s="402"/>
      <c r="DY34" s="402"/>
      <c r="DZ34" s="402"/>
      <c r="EA34" s="402"/>
      <c r="EB34" s="402"/>
      <c r="EC34" s="402"/>
      <c r="ED34" s="402"/>
      <c r="EE34" s="402"/>
      <c r="EF34" s="402"/>
      <c r="EG34" s="402"/>
      <c r="EH34" s="402"/>
      <c r="EI34" s="402"/>
      <c r="EJ34" s="402"/>
      <c r="EK34" s="402"/>
      <c r="EL34" s="402"/>
      <c r="EM34" s="402"/>
      <c r="EN34" s="402"/>
      <c r="EO34" s="402"/>
      <c r="EP34" s="402"/>
      <c r="EQ34" s="402"/>
      <c r="ER34" s="402"/>
      <c r="ES34" s="402"/>
      <c r="ET34" s="402"/>
      <c r="EU34" s="402"/>
      <c r="EV34" s="402"/>
      <c r="EW34" s="402"/>
      <c r="EX34" s="402"/>
      <c r="EY34" s="402"/>
      <c r="EZ34" s="402"/>
      <c r="FA34" s="402"/>
      <c r="FB34" s="402"/>
      <c r="FC34" s="402"/>
      <c r="FD34" s="402"/>
      <c r="FE34" s="402"/>
      <c r="FF34" s="402"/>
      <c r="FG34" s="402"/>
      <c r="FH34" s="402"/>
      <c r="FI34" s="402"/>
      <c r="FJ34" s="402"/>
      <c r="FK34" s="402"/>
      <c r="FL34" s="402"/>
      <c r="FM34" s="402"/>
      <c r="FN34" s="402"/>
      <c r="FO34" s="402"/>
      <c r="FP34" s="402"/>
      <c r="FQ34" s="402"/>
      <c r="FR34" s="402"/>
      <c r="FS34" s="402"/>
      <c r="FT34" s="402"/>
      <c r="FU34" s="402"/>
      <c r="FV34" s="402"/>
      <c r="FW34" s="402"/>
      <c r="FX34" s="402"/>
      <c r="FY34" s="402"/>
      <c r="FZ34" s="402"/>
      <c r="GA34" s="402"/>
      <c r="GB34" s="402"/>
      <c r="GC34" s="402"/>
      <c r="GD34" s="402"/>
      <c r="GE34" s="402"/>
      <c r="GF34" s="402"/>
      <c r="GG34" s="402"/>
      <c r="GH34" s="402"/>
      <c r="GI34" s="402"/>
      <c r="GJ34" s="402"/>
      <c r="GK34" s="402"/>
      <c r="GL34" s="402"/>
      <c r="GM34" s="402"/>
      <c r="GN34" s="402"/>
      <c r="GO34" s="402"/>
      <c r="GP34" s="402"/>
      <c r="GQ34" s="402"/>
      <c r="GR34" s="402"/>
      <c r="GS34" s="402"/>
      <c r="GT34" s="402"/>
      <c r="GU34" s="402"/>
      <c r="GV34" s="402"/>
      <c r="GW34" s="402"/>
      <c r="GX34" s="402"/>
      <c r="GY34" s="402"/>
      <c r="GZ34" s="402"/>
      <c r="HA34" s="402"/>
      <c r="HB34" s="402"/>
      <c r="HC34" s="402"/>
      <c r="HD34" s="402"/>
      <c r="HE34" s="402"/>
      <c r="HF34" s="402"/>
      <c r="HG34" s="402"/>
      <c r="HH34" s="402"/>
      <c r="HI34" s="402"/>
      <c r="HJ34" s="402"/>
      <c r="HK34" s="402"/>
      <c r="HL34" s="402"/>
      <c r="HM34" s="402"/>
      <c r="HN34" s="402"/>
      <c r="HO34" s="402"/>
      <c r="HP34" s="402"/>
      <c r="HQ34" s="402"/>
      <c r="HR34" s="402"/>
      <c r="HS34" s="402"/>
      <c r="HT34" s="402"/>
      <c r="HU34" s="402"/>
      <c r="HV34" s="402"/>
      <c r="HW34" s="402"/>
      <c r="HX34" s="402"/>
      <c r="HY34" s="402"/>
      <c r="HZ34" s="402"/>
      <c r="IA34" s="402"/>
      <c r="IB34" s="402"/>
      <c r="IC34" s="402"/>
      <c r="ID34" s="402"/>
      <c r="IE34" s="402"/>
      <c r="IF34" s="402"/>
      <c r="IG34" s="402"/>
      <c r="IH34" s="402"/>
      <c r="II34" s="402"/>
      <c r="IJ34" s="402"/>
      <c r="IK34" s="402"/>
      <c r="IL34" s="402"/>
      <c r="IM34" s="402"/>
      <c r="IN34" s="402"/>
      <c r="IO34" s="402"/>
      <c r="IP34" s="402"/>
      <c r="IQ34" s="402"/>
      <c r="IR34" s="402"/>
      <c r="IS34" s="402"/>
      <c r="IT34" s="402"/>
      <c r="IU34" s="402"/>
      <c r="IV34" s="402"/>
    </row>
    <row r="35" spans="1:256" s="404" customFormat="1" ht="14.5">
      <c r="A35" s="402"/>
      <c r="B35" s="403"/>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c r="BU35" s="402"/>
      <c r="BV35" s="402"/>
      <c r="BW35" s="402"/>
      <c r="BX35" s="402"/>
      <c r="BY35" s="402"/>
      <c r="BZ35" s="402"/>
      <c r="CA35" s="402"/>
      <c r="CB35" s="402"/>
      <c r="CC35" s="402"/>
      <c r="CD35" s="402"/>
      <c r="CE35" s="402"/>
      <c r="CF35" s="402"/>
      <c r="CG35" s="402"/>
      <c r="CH35" s="402"/>
      <c r="CI35" s="402"/>
      <c r="CJ35" s="402"/>
      <c r="CK35" s="402"/>
      <c r="CL35" s="402"/>
      <c r="CM35" s="402"/>
      <c r="CN35" s="402"/>
      <c r="CO35" s="402"/>
      <c r="CP35" s="402"/>
      <c r="CQ35" s="402"/>
      <c r="CR35" s="402"/>
      <c r="CS35" s="402"/>
      <c r="CT35" s="402"/>
      <c r="CU35" s="402"/>
      <c r="CV35" s="402"/>
      <c r="CW35" s="402"/>
      <c r="CX35" s="402"/>
      <c r="CY35" s="402"/>
      <c r="CZ35" s="402"/>
      <c r="DA35" s="402"/>
      <c r="DB35" s="402"/>
      <c r="DC35" s="402"/>
      <c r="DD35" s="402"/>
      <c r="DE35" s="402"/>
      <c r="DF35" s="402"/>
      <c r="DG35" s="402"/>
      <c r="DH35" s="402"/>
      <c r="DI35" s="402"/>
      <c r="DJ35" s="402"/>
      <c r="DK35" s="402"/>
      <c r="DL35" s="402"/>
      <c r="DM35" s="402"/>
      <c r="DN35" s="402"/>
      <c r="DO35" s="402"/>
      <c r="DP35" s="402"/>
      <c r="DQ35" s="402"/>
      <c r="DR35" s="402"/>
      <c r="DS35" s="402"/>
      <c r="DT35" s="402"/>
      <c r="DU35" s="402"/>
      <c r="DV35" s="402"/>
      <c r="DW35" s="402"/>
      <c r="DX35" s="402"/>
      <c r="DY35" s="402"/>
      <c r="DZ35" s="402"/>
      <c r="EA35" s="402"/>
      <c r="EB35" s="402"/>
      <c r="EC35" s="402"/>
      <c r="ED35" s="402"/>
      <c r="EE35" s="402"/>
      <c r="EF35" s="402"/>
      <c r="EG35" s="402"/>
      <c r="EH35" s="402"/>
      <c r="EI35" s="402"/>
      <c r="EJ35" s="402"/>
      <c r="EK35" s="402"/>
      <c r="EL35" s="402"/>
      <c r="EM35" s="402"/>
      <c r="EN35" s="402"/>
      <c r="EO35" s="402"/>
      <c r="EP35" s="402"/>
      <c r="EQ35" s="402"/>
      <c r="ER35" s="402"/>
      <c r="ES35" s="402"/>
      <c r="ET35" s="402"/>
      <c r="EU35" s="402"/>
      <c r="EV35" s="402"/>
      <c r="EW35" s="402"/>
      <c r="EX35" s="402"/>
      <c r="EY35" s="402"/>
      <c r="EZ35" s="402"/>
      <c r="FA35" s="402"/>
      <c r="FB35" s="402"/>
      <c r="FC35" s="402"/>
      <c r="FD35" s="402"/>
      <c r="FE35" s="402"/>
      <c r="FF35" s="402"/>
      <c r="FG35" s="402"/>
      <c r="FH35" s="402"/>
      <c r="FI35" s="402"/>
      <c r="FJ35" s="402"/>
      <c r="FK35" s="402"/>
      <c r="FL35" s="402"/>
      <c r="FM35" s="402"/>
      <c r="FN35" s="402"/>
      <c r="FO35" s="402"/>
      <c r="FP35" s="402"/>
      <c r="FQ35" s="402"/>
      <c r="FR35" s="402"/>
      <c r="FS35" s="402"/>
      <c r="FT35" s="402"/>
      <c r="FU35" s="402"/>
      <c r="FV35" s="402"/>
      <c r="FW35" s="402"/>
      <c r="FX35" s="402"/>
      <c r="FY35" s="402"/>
      <c r="FZ35" s="402"/>
      <c r="GA35" s="402"/>
      <c r="GB35" s="402"/>
      <c r="GC35" s="402"/>
      <c r="GD35" s="402"/>
      <c r="GE35" s="402"/>
      <c r="GF35" s="402"/>
      <c r="GG35" s="402"/>
      <c r="GH35" s="402"/>
      <c r="GI35" s="402"/>
      <c r="GJ35" s="402"/>
      <c r="GK35" s="402"/>
      <c r="GL35" s="402"/>
      <c r="GM35" s="402"/>
      <c r="GN35" s="402"/>
      <c r="GO35" s="402"/>
      <c r="GP35" s="402"/>
      <c r="GQ35" s="402"/>
      <c r="GR35" s="402"/>
      <c r="GS35" s="402"/>
      <c r="GT35" s="402"/>
      <c r="GU35" s="402"/>
      <c r="GV35" s="402"/>
      <c r="GW35" s="402"/>
      <c r="GX35" s="402"/>
      <c r="GY35" s="402"/>
      <c r="GZ35" s="402"/>
      <c r="HA35" s="402"/>
      <c r="HB35" s="402"/>
      <c r="HC35" s="402"/>
      <c r="HD35" s="402"/>
      <c r="HE35" s="402"/>
      <c r="HF35" s="402"/>
      <c r="HG35" s="402"/>
      <c r="HH35" s="402"/>
      <c r="HI35" s="402"/>
      <c r="HJ35" s="402"/>
      <c r="HK35" s="402"/>
      <c r="HL35" s="402"/>
      <c r="HM35" s="402"/>
      <c r="HN35" s="402"/>
      <c r="HO35" s="402"/>
      <c r="HP35" s="402"/>
      <c r="HQ35" s="402"/>
      <c r="HR35" s="402"/>
      <c r="HS35" s="402"/>
      <c r="HT35" s="402"/>
      <c r="HU35" s="402"/>
      <c r="HV35" s="402"/>
      <c r="HW35" s="402"/>
      <c r="HX35" s="402"/>
      <c r="HY35" s="402"/>
      <c r="HZ35" s="402"/>
      <c r="IA35" s="402"/>
      <c r="IB35" s="402"/>
      <c r="IC35" s="402"/>
      <c r="ID35" s="402"/>
      <c r="IE35" s="402"/>
      <c r="IF35" s="402"/>
      <c r="IG35" s="402"/>
      <c r="IH35" s="402"/>
      <c r="II35" s="402"/>
      <c r="IJ35" s="402"/>
      <c r="IK35" s="402"/>
      <c r="IL35" s="402"/>
      <c r="IM35" s="402"/>
      <c r="IN35" s="402"/>
      <c r="IO35" s="402"/>
      <c r="IP35" s="402"/>
      <c r="IQ35" s="402"/>
      <c r="IR35" s="402"/>
      <c r="IS35" s="402"/>
      <c r="IT35" s="402"/>
      <c r="IU35" s="402"/>
      <c r="IV35" s="402"/>
    </row>
    <row r="36" spans="1:256" ht="14.5">
      <c r="A36" s="402"/>
      <c r="B36" s="403"/>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c r="BU36" s="402"/>
      <c r="BV36" s="402"/>
      <c r="BW36" s="402"/>
      <c r="BX36" s="402"/>
      <c r="BY36" s="402"/>
      <c r="BZ36" s="402"/>
      <c r="CA36" s="402"/>
      <c r="CB36" s="402"/>
      <c r="CC36" s="402"/>
      <c r="CD36" s="402"/>
      <c r="CE36" s="402"/>
      <c r="CF36" s="402"/>
      <c r="CG36" s="402"/>
      <c r="CH36" s="402"/>
      <c r="CI36" s="402"/>
      <c r="CJ36" s="402"/>
      <c r="CK36" s="402"/>
      <c r="CL36" s="402"/>
      <c r="CM36" s="402"/>
      <c r="CN36" s="402"/>
      <c r="CO36" s="402"/>
      <c r="CP36" s="402"/>
      <c r="CQ36" s="402"/>
      <c r="CR36" s="402"/>
      <c r="CS36" s="402"/>
      <c r="CT36" s="402"/>
      <c r="CU36" s="402"/>
      <c r="CV36" s="402"/>
      <c r="CW36" s="402"/>
      <c r="CX36" s="402"/>
      <c r="CY36" s="402"/>
      <c r="CZ36" s="402"/>
      <c r="DA36" s="402"/>
      <c r="DB36" s="402"/>
      <c r="DC36" s="402"/>
      <c r="DD36" s="402"/>
      <c r="DE36" s="402"/>
      <c r="DF36" s="402"/>
      <c r="DG36" s="402"/>
      <c r="DH36" s="402"/>
      <c r="DI36" s="402"/>
      <c r="DJ36" s="402"/>
      <c r="DK36" s="402"/>
      <c r="DL36" s="402"/>
      <c r="DM36" s="402"/>
      <c r="DN36" s="402"/>
      <c r="DO36" s="402"/>
      <c r="DP36" s="402"/>
      <c r="DQ36" s="402"/>
      <c r="DR36" s="402"/>
      <c r="DS36" s="402"/>
      <c r="DT36" s="402"/>
      <c r="DU36" s="402"/>
      <c r="DV36" s="402"/>
      <c r="DW36" s="402"/>
      <c r="DX36" s="402"/>
      <c r="DY36" s="402"/>
      <c r="DZ36" s="402"/>
      <c r="EA36" s="402"/>
      <c r="EB36" s="402"/>
      <c r="EC36" s="402"/>
      <c r="ED36" s="402"/>
      <c r="EE36" s="402"/>
      <c r="EF36" s="402"/>
      <c r="EG36" s="402"/>
      <c r="EH36" s="402"/>
      <c r="EI36" s="402"/>
      <c r="EJ36" s="402"/>
      <c r="EK36" s="402"/>
      <c r="EL36" s="402"/>
      <c r="EM36" s="402"/>
      <c r="EN36" s="402"/>
      <c r="EO36" s="402"/>
      <c r="EP36" s="402"/>
      <c r="EQ36" s="402"/>
      <c r="ER36" s="402"/>
      <c r="ES36" s="402"/>
      <c r="ET36" s="402"/>
      <c r="EU36" s="402"/>
      <c r="EV36" s="402"/>
      <c r="EW36" s="402"/>
      <c r="EX36" s="402"/>
      <c r="EY36" s="402"/>
      <c r="EZ36" s="402"/>
      <c r="FA36" s="402"/>
      <c r="FB36" s="402"/>
      <c r="FC36" s="402"/>
      <c r="FD36" s="402"/>
      <c r="FE36" s="402"/>
      <c r="FF36" s="402"/>
      <c r="FG36" s="402"/>
      <c r="FH36" s="402"/>
      <c r="FI36" s="402"/>
      <c r="FJ36" s="402"/>
      <c r="FK36" s="402"/>
      <c r="FL36" s="402"/>
      <c r="FM36" s="402"/>
      <c r="FN36" s="402"/>
      <c r="FO36" s="402"/>
      <c r="FP36" s="402"/>
      <c r="FQ36" s="402"/>
      <c r="FR36" s="402"/>
      <c r="FS36" s="402"/>
      <c r="FT36" s="402"/>
      <c r="FU36" s="402"/>
      <c r="FV36" s="402"/>
      <c r="FW36" s="402"/>
      <c r="FX36" s="402"/>
      <c r="FY36" s="402"/>
      <c r="FZ36" s="402"/>
      <c r="GA36" s="402"/>
      <c r="GB36" s="402"/>
      <c r="GC36" s="402"/>
      <c r="GD36" s="402"/>
      <c r="GE36" s="402"/>
      <c r="GF36" s="402"/>
      <c r="GG36" s="402"/>
      <c r="GH36" s="402"/>
      <c r="GI36" s="402"/>
      <c r="GJ36" s="402"/>
      <c r="GK36" s="402"/>
      <c r="GL36" s="402"/>
      <c r="GM36" s="402"/>
      <c r="GN36" s="402"/>
      <c r="GO36" s="402"/>
      <c r="GP36" s="402"/>
      <c r="GQ36" s="402"/>
      <c r="GR36" s="402"/>
      <c r="GS36" s="402"/>
      <c r="GT36" s="402"/>
      <c r="GU36" s="402"/>
      <c r="GV36" s="402"/>
      <c r="GW36" s="402"/>
      <c r="GX36" s="402"/>
      <c r="GY36" s="402"/>
      <c r="GZ36" s="402"/>
      <c r="HA36" s="402"/>
      <c r="HB36" s="402"/>
      <c r="HC36" s="402"/>
      <c r="HD36" s="402"/>
      <c r="HE36" s="402"/>
      <c r="HF36" s="402"/>
      <c r="HG36" s="402"/>
      <c r="HH36" s="402"/>
      <c r="HI36" s="402"/>
      <c r="HJ36" s="402"/>
      <c r="HK36" s="402"/>
      <c r="HL36" s="402"/>
      <c r="HM36" s="402"/>
      <c r="HN36" s="402"/>
      <c r="HO36" s="402"/>
      <c r="HP36" s="402"/>
      <c r="HQ36" s="402"/>
      <c r="HR36" s="402"/>
      <c r="HS36" s="402"/>
      <c r="HT36" s="402"/>
      <c r="HU36" s="402"/>
      <c r="HV36" s="402"/>
      <c r="HW36" s="402"/>
      <c r="HX36" s="402"/>
      <c r="HY36" s="402"/>
      <c r="HZ36" s="402"/>
      <c r="IA36" s="402"/>
      <c r="IB36" s="402"/>
      <c r="IC36" s="402"/>
      <c r="ID36" s="402"/>
      <c r="IE36" s="402"/>
      <c r="IF36" s="402"/>
      <c r="IG36" s="402"/>
      <c r="IH36" s="402"/>
      <c r="II36" s="402"/>
      <c r="IJ36" s="402"/>
      <c r="IK36" s="402"/>
      <c r="IL36" s="402"/>
      <c r="IM36" s="402"/>
      <c r="IN36" s="402"/>
      <c r="IO36" s="402"/>
      <c r="IP36" s="402"/>
      <c r="IQ36" s="402"/>
      <c r="IR36" s="402"/>
      <c r="IS36" s="402"/>
      <c r="IT36" s="402"/>
      <c r="IU36" s="402"/>
      <c r="IV36" s="402"/>
    </row>
    <row r="37" spans="1:256" ht="14.5">
      <c r="A37" s="402"/>
      <c r="B37" s="403"/>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c r="BU37" s="402"/>
      <c r="BV37" s="402"/>
      <c r="BW37" s="402"/>
      <c r="BX37" s="402"/>
      <c r="BY37" s="402"/>
      <c r="BZ37" s="402"/>
      <c r="CA37" s="402"/>
      <c r="CB37" s="402"/>
      <c r="CC37" s="402"/>
      <c r="CD37" s="402"/>
      <c r="CE37" s="402"/>
      <c r="CF37" s="402"/>
      <c r="CG37" s="402"/>
      <c r="CH37" s="402"/>
      <c r="CI37" s="402"/>
      <c r="CJ37" s="402"/>
      <c r="CK37" s="402"/>
      <c r="CL37" s="402"/>
      <c r="CM37" s="402"/>
      <c r="CN37" s="402"/>
      <c r="CO37" s="402"/>
      <c r="CP37" s="402"/>
      <c r="CQ37" s="402"/>
      <c r="CR37" s="402"/>
      <c r="CS37" s="402"/>
      <c r="CT37" s="402"/>
      <c r="CU37" s="402"/>
      <c r="CV37" s="402"/>
      <c r="CW37" s="402"/>
      <c r="CX37" s="402"/>
      <c r="CY37" s="402"/>
      <c r="CZ37" s="402"/>
      <c r="DA37" s="402"/>
      <c r="DB37" s="402"/>
      <c r="DC37" s="402"/>
      <c r="DD37" s="402"/>
      <c r="DE37" s="402"/>
      <c r="DF37" s="402"/>
      <c r="DG37" s="402"/>
      <c r="DH37" s="402"/>
      <c r="DI37" s="402"/>
      <c r="DJ37" s="402"/>
      <c r="DK37" s="402"/>
      <c r="DL37" s="402"/>
      <c r="DM37" s="402"/>
      <c r="DN37" s="402"/>
      <c r="DO37" s="402"/>
      <c r="DP37" s="402"/>
      <c r="DQ37" s="402"/>
      <c r="DR37" s="402"/>
      <c r="DS37" s="402"/>
      <c r="DT37" s="402"/>
      <c r="DU37" s="402"/>
      <c r="DV37" s="402"/>
      <c r="DW37" s="402"/>
      <c r="DX37" s="402"/>
      <c r="DY37" s="402"/>
      <c r="DZ37" s="402"/>
      <c r="EA37" s="402"/>
      <c r="EB37" s="402"/>
      <c r="EC37" s="402"/>
      <c r="ED37" s="402"/>
      <c r="EE37" s="402"/>
      <c r="EF37" s="402"/>
      <c r="EG37" s="402"/>
      <c r="EH37" s="402"/>
      <c r="EI37" s="402"/>
      <c r="EJ37" s="402"/>
      <c r="EK37" s="402"/>
      <c r="EL37" s="402"/>
      <c r="EM37" s="402"/>
      <c r="EN37" s="402"/>
      <c r="EO37" s="402"/>
      <c r="EP37" s="402"/>
      <c r="EQ37" s="402"/>
      <c r="ER37" s="402"/>
      <c r="ES37" s="402"/>
      <c r="ET37" s="402"/>
      <c r="EU37" s="402"/>
      <c r="EV37" s="402"/>
      <c r="EW37" s="402"/>
      <c r="EX37" s="402"/>
      <c r="EY37" s="402"/>
      <c r="EZ37" s="402"/>
      <c r="FA37" s="402"/>
      <c r="FB37" s="402"/>
      <c r="FC37" s="402"/>
      <c r="FD37" s="402"/>
      <c r="FE37" s="402"/>
      <c r="FF37" s="402"/>
      <c r="FG37" s="402"/>
      <c r="FH37" s="402"/>
      <c r="FI37" s="402"/>
      <c r="FJ37" s="402"/>
      <c r="FK37" s="402"/>
      <c r="FL37" s="402"/>
      <c r="FM37" s="402"/>
      <c r="FN37" s="402"/>
      <c r="FO37" s="402"/>
      <c r="FP37" s="402"/>
      <c r="FQ37" s="402"/>
      <c r="FR37" s="402"/>
      <c r="FS37" s="402"/>
      <c r="FT37" s="402"/>
      <c r="FU37" s="402"/>
      <c r="FV37" s="402"/>
      <c r="FW37" s="402"/>
      <c r="FX37" s="402"/>
      <c r="FY37" s="402"/>
      <c r="FZ37" s="402"/>
      <c r="GA37" s="402"/>
      <c r="GB37" s="402"/>
      <c r="GC37" s="402"/>
      <c r="GD37" s="402"/>
      <c r="GE37" s="402"/>
      <c r="GF37" s="402"/>
      <c r="GG37" s="402"/>
      <c r="GH37" s="402"/>
      <c r="GI37" s="402"/>
      <c r="GJ37" s="402"/>
      <c r="GK37" s="402"/>
      <c r="GL37" s="402"/>
      <c r="GM37" s="402"/>
      <c r="GN37" s="402"/>
      <c r="GO37" s="402"/>
      <c r="GP37" s="402"/>
      <c r="GQ37" s="402"/>
      <c r="GR37" s="402"/>
      <c r="GS37" s="402"/>
      <c r="GT37" s="402"/>
      <c r="GU37" s="402"/>
      <c r="GV37" s="402"/>
      <c r="GW37" s="402"/>
      <c r="GX37" s="402"/>
      <c r="GY37" s="402"/>
      <c r="GZ37" s="402"/>
      <c r="HA37" s="402"/>
      <c r="HB37" s="402"/>
      <c r="HC37" s="402"/>
      <c r="HD37" s="402"/>
      <c r="HE37" s="402"/>
      <c r="HF37" s="402"/>
      <c r="HG37" s="402"/>
      <c r="HH37" s="402"/>
      <c r="HI37" s="402"/>
      <c r="HJ37" s="402"/>
      <c r="HK37" s="402"/>
      <c r="HL37" s="402"/>
      <c r="HM37" s="402"/>
      <c r="HN37" s="402"/>
      <c r="HO37" s="402"/>
      <c r="HP37" s="402"/>
      <c r="HQ37" s="402"/>
      <c r="HR37" s="402"/>
      <c r="HS37" s="402"/>
      <c r="HT37" s="402"/>
      <c r="HU37" s="402"/>
      <c r="HV37" s="402"/>
      <c r="HW37" s="402"/>
      <c r="HX37" s="402"/>
      <c r="HY37" s="402"/>
      <c r="HZ37" s="402"/>
      <c r="IA37" s="402"/>
      <c r="IB37" s="402"/>
      <c r="IC37" s="402"/>
      <c r="ID37" s="402"/>
      <c r="IE37" s="402"/>
      <c r="IF37" s="402"/>
      <c r="IG37" s="402"/>
      <c r="IH37" s="402"/>
      <c r="II37" s="402"/>
      <c r="IJ37" s="402"/>
      <c r="IK37" s="402"/>
      <c r="IL37" s="402"/>
      <c r="IM37" s="402"/>
      <c r="IN37" s="402"/>
      <c r="IO37" s="402"/>
      <c r="IP37" s="402"/>
      <c r="IQ37" s="402"/>
      <c r="IR37" s="402"/>
      <c r="IS37" s="402"/>
      <c r="IT37" s="402"/>
      <c r="IU37" s="402"/>
      <c r="IV37" s="402"/>
    </row>
    <row r="38" spans="1:256" ht="14.5">
      <c r="A38" s="402"/>
      <c r="B38" s="403"/>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c r="BU38" s="402"/>
      <c r="BV38" s="402"/>
      <c r="BW38" s="402"/>
      <c r="BX38" s="402"/>
      <c r="BY38" s="402"/>
      <c r="BZ38" s="402"/>
      <c r="CA38" s="402"/>
      <c r="CB38" s="402"/>
      <c r="CC38" s="402"/>
      <c r="CD38" s="402"/>
      <c r="CE38" s="402"/>
      <c r="CF38" s="402"/>
      <c r="CG38" s="402"/>
      <c r="CH38" s="402"/>
      <c r="CI38" s="402"/>
      <c r="CJ38" s="402"/>
      <c r="CK38" s="402"/>
      <c r="CL38" s="402"/>
      <c r="CM38" s="402"/>
      <c r="CN38" s="402"/>
      <c r="CO38" s="402"/>
      <c r="CP38" s="402"/>
      <c r="CQ38" s="402"/>
      <c r="CR38" s="402"/>
      <c r="CS38" s="402"/>
      <c r="CT38" s="402"/>
      <c r="CU38" s="402"/>
      <c r="CV38" s="402"/>
      <c r="CW38" s="402"/>
      <c r="CX38" s="402"/>
      <c r="CY38" s="402"/>
      <c r="CZ38" s="402"/>
      <c r="DA38" s="402"/>
      <c r="DB38" s="402"/>
      <c r="DC38" s="402"/>
      <c r="DD38" s="402"/>
      <c r="DE38" s="402"/>
      <c r="DF38" s="402"/>
      <c r="DG38" s="402"/>
      <c r="DH38" s="402"/>
      <c r="DI38" s="402"/>
      <c r="DJ38" s="402"/>
      <c r="DK38" s="402"/>
      <c r="DL38" s="402"/>
      <c r="DM38" s="402"/>
      <c r="DN38" s="402"/>
      <c r="DO38" s="402"/>
      <c r="DP38" s="402"/>
      <c r="DQ38" s="402"/>
      <c r="DR38" s="402"/>
      <c r="DS38" s="402"/>
      <c r="DT38" s="402"/>
      <c r="DU38" s="402"/>
      <c r="DV38" s="402"/>
      <c r="DW38" s="402"/>
      <c r="DX38" s="402"/>
      <c r="DY38" s="402"/>
      <c r="DZ38" s="402"/>
      <c r="EA38" s="402"/>
      <c r="EB38" s="402"/>
      <c r="EC38" s="402"/>
      <c r="ED38" s="402"/>
      <c r="EE38" s="402"/>
      <c r="EF38" s="402"/>
      <c r="EG38" s="402"/>
      <c r="EH38" s="402"/>
      <c r="EI38" s="402"/>
      <c r="EJ38" s="402"/>
      <c r="EK38" s="402"/>
      <c r="EL38" s="402"/>
      <c r="EM38" s="402"/>
      <c r="EN38" s="402"/>
      <c r="EO38" s="402"/>
      <c r="EP38" s="402"/>
      <c r="EQ38" s="402"/>
      <c r="ER38" s="402"/>
      <c r="ES38" s="402"/>
      <c r="ET38" s="402"/>
      <c r="EU38" s="402"/>
      <c r="EV38" s="402"/>
      <c r="EW38" s="402"/>
      <c r="EX38" s="402"/>
      <c r="EY38" s="402"/>
      <c r="EZ38" s="402"/>
      <c r="FA38" s="402"/>
      <c r="FB38" s="402"/>
      <c r="FC38" s="402"/>
      <c r="FD38" s="402"/>
      <c r="FE38" s="402"/>
      <c r="FF38" s="402"/>
      <c r="FG38" s="402"/>
      <c r="FH38" s="402"/>
      <c r="FI38" s="402"/>
      <c r="FJ38" s="402"/>
      <c r="FK38" s="402"/>
      <c r="FL38" s="402"/>
      <c r="FM38" s="402"/>
      <c r="FN38" s="402"/>
      <c r="FO38" s="402"/>
      <c r="FP38" s="402"/>
      <c r="FQ38" s="402"/>
      <c r="FR38" s="402"/>
      <c r="FS38" s="402"/>
      <c r="FT38" s="402"/>
      <c r="FU38" s="402"/>
      <c r="FV38" s="402"/>
      <c r="FW38" s="402"/>
      <c r="FX38" s="402"/>
      <c r="FY38" s="402"/>
      <c r="FZ38" s="402"/>
      <c r="GA38" s="402"/>
      <c r="GB38" s="402"/>
      <c r="GC38" s="402"/>
      <c r="GD38" s="402"/>
      <c r="GE38" s="402"/>
      <c r="GF38" s="402"/>
      <c r="GG38" s="402"/>
      <c r="GH38" s="402"/>
      <c r="GI38" s="402"/>
      <c r="GJ38" s="402"/>
      <c r="GK38" s="402"/>
      <c r="GL38" s="402"/>
      <c r="GM38" s="402"/>
      <c r="GN38" s="402"/>
      <c r="GO38" s="402"/>
      <c r="GP38" s="402"/>
      <c r="GQ38" s="402"/>
      <c r="GR38" s="402"/>
      <c r="GS38" s="402"/>
      <c r="GT38" s="402"/>
      <c r="GU38" s="402"/>
      <c r="GV38" s="402"/>
      <c r="GW38" s="402"/>
      <c r="GX38" s="402"/>
      <c r="GY38" s="402"/>
      <c r="GZ38" s="402"/>
      <c r="HA38" s="402"/>
      <c r="HB38" s="402"/>
      <c r="HC38" s="402"/>
      <c r="HD38" s="402"/>
      <c r="HE38" s="402"/>
      <c r="HF38" s="402"/>
      <c r="HG38" s="402"/>
      <c r="HH38" s="402"/>
      <c r="HI38" s="402"/>
      <c r="HJ38" s="402"/>
      <c r="HK38" s="402"/>
      <c r="HL38" s="402"/>
      <c r="HM38" s="402"/>
      <c r="HN38" s="402"/>
      <c r="HO38" s="402"/>
      <c r="HP38" s="402"/>
      <c r="HQ38" s="402"/>
      <c r="HR38" s="402"/>
      <c r="HS38" s="402"/>
      <c r="HT38" s="402"/>
      <c r="HU38" s="402"/>
      <c r="HV38" s="402"/>
      <c r="HW38" s="402"/>
      <c r="HX38" s="402"/>
      <c r="HY38" s="402"/>
      <c r="HZ38" s="402"/>
      <c r="IA38" s="402"/>
      <c r="IB38" s="402"/>
      <c r="IC38" s="402"/>
      <c r="ID38" s="402"/>
      <c r="IE38" s="402"/>
      <c r="IF38" s="402"/>
      <c r="IG38" s="402"/>
      <c r="IH38" s="402"/>
      <c r="II38" s="402"/>
      <c r="IJ38" s="402"/>
      <c r="IK38" s="402"/>
      <c r="IL38" s="402"/>
      <c r="IM38" s="402"/>
      <c r="IN38" s="402"/>
      <c r="IO38" s="402"/>
      <c r="IP38" s="402"/>
      <c r="IQ38" s="402"/>
      <c r="IR38" s="402"/>
      <c r="IS38" s="402"/>
      <c r="IT38" s="402"/>
      <c r="IU38" s="402"/>
      <c r="IV38" s="402"/>
    </row>
    <row r="39" spans="1:256">
      <c r="A39" s="401"/>
      <c r="B39" s="401"/>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1"/>
      <c r="DE39" s="401"/>
      <c r="DF39" s="401"/>
      <c r="DG39" s="401"/>
      <c r="DH39" s="401"/>
      <c r="DI39" s="401"/>
      <c r="DJ39" s="401"/>
      <c r="DK39" s="401"/>
      <c r="DL39" s="401"/>
      <c r="DM39" s="401"/>
      <c r="DN39" s="401"/>
      <c r="DO39" s="401"/>
      <c r="DP39" s="401"/>
      <c r="DQ39" s="401"/>
      <c r="DR39" s="401"/>
      <c r="DS39" s="401"/>
      <c r="DT39" s="401"/>
      <c r="DU39" s="401"/>
      <c r="DV39" s="401"/>
      <c r="DW39" s="401"/>
      <c r="DX39" s="401"/>
      <c r="DY39" s="401"/>
      <c r="DZ39" s="401"/>
      <c r="EA39" s="401"/>
      <c r="EB39" s="401"/>
      <c r="EC39" s="401"/>
      <c r="ED39" s="401"/>
      <c r="EE39" s="401"/>
      <c r="EF39" s="401"/>
      <c r="EG39" s="401"/>
      <c r="EH39" s="401"/>
      <c r="EI39" s="401"/>
      <c r="EJ39" s="401"/>
      <c r="EK39" s="401"/>
      <c r="EL39" s="401"/>
      <c r="EM39" s="401"/>
      <c r="EN39" s="401"/>
      <c r="EO39" s="401"/>
      <c r="EP39" s="401"/>
      <c r="EQ39" s="401"/>
      <c r="ER39" s="401"/>
      <c r="ES39" s="401"/>
      <c r="ET39" s="401"/>
      <c r="EU39" s="401"/>
      <c r="EV39" s="401"/>
      <c r="EW39" s="401"/>
      <c r="EX39" s="401"/>
      <c r="EY39" s="401"/>
      <c r="EZ39" s="401"/>
      <c r="FA39" s="401"/>
      <c r="FB39" s="401"/>
      <c r="FC39" s="401"/>
      <c r="FD39" s="401"/>
      <c r="FE39" s="401"/>
      <c r="FF39" s="401"/>
      <c r="FG39" s="401"/>
      <c r="FH39" s="401"/>
      <c r="FI39" s="401"/>
      <c r="FJ39" s="401"/>
      <c r="FK39" s="401"/>
      <c r="FL39" s="401"/>
      <c r="FM39" s="401"/>
      <c r="FN39" s="401"/>
      <c r="FO39" s="401"/>
      <c r="FP39" s="401"/>
      <c r="FQ39" s="401"/>
      <c r="FR39" s="401"/>
      <c r="FS39" s="401"/>
      <c r="FT39" s="401"/>
      <c r="FU39" s="401"/>
      <c r="FV39" s="401"/>
      <c r="FW39" s="401"/>
      <c r="FX39" s="401"/>
      <c r="FY39" s="401"/>
      <c r="FZ39" s="401"/>
      <c r="GA39" s="401"/>
      <c r="GB39" s="401"/>
      <c r="GC39" s="401"/>
      <c r="GD39" s="401"/>
      <c r="GE39" s="401"/>
      <c r="GF39" s="401"/>
      <c r="GG39" s="401"/>
      <c r="GH39" s="401"/>
      <c r="GI39" s="401"/>
      <c r="GJ39" s="401"/>
      <c r="GK39" s="401"/>
      <c r="GL39" s="401"/>
      <c r="GM39" s="401"/>
      <c r="GN39" s="401"/>
      <c r="GO39" s="401"/>
      <c r="GP39" s="401"/>
      <c r="GQ39" s="401"/>
      <c r="GR39" s="401"/>
      <c r="GS39" s="401"/>
      <c r="GT39" s="401"/>
      <c r="GU39" s="401"/>
      <c r="GV39" s="401"/>
      <c r="GW39" s="401"/>
      <c r="GX39" s="401"/>
      <c r="GY39" s="401"/>
      <c r="GZ39" s="401"/>
      <c r="HA39" s="401"/>
      <c r="HB39" s="401"/>
      <c r="HC39" s="401"/>
      <c r="HD39" s="401"/>
      <c r="HE39" s="401"/>
      <c r="HF39" s="401"/>
      <c r="HG39" s="401"/>
      <c r="HH39" s="401"/>
      <c r="HI39" s="401"/>
      <c r="HJ39" s="401"/>
      <c r="HK39" s="401"/>
      <c r="HL39" s="401"/>
      <c r="HM39" s="401"/>
      <c r="HN39" s="401"/>
      <c r="HO39" s="401"/>
      <c r="HP39" s="401"/>
      <c r="HQ39" s="401"/>
      <c r="HR39" s="401"/>
      <c r="HS39" s="401"/>
      <c r="HT39" s="401"/>
      <c r="HU39" s="401"/>
      <c r="HV39" s="401"/>
      <c r="HW39" s="401"/>
      <c r="HX39" s="401"/>
      <c r="HY39" s="401"/>
      <c r="HZ39" s="401"/>
      <c r="IA39" s="401"/>
      <c r="IB39" s="401"/>
      <c r="IC39" s="401"/>
      <c r="ID39" s="401"/>
      <c r="IE39" s="401"/>
      <c r="IF39" s="401"/>
      <c r="IG39" s="401"/>
      <c r="IH39" s="401"/>
      <c r="II39" s="401"/>
      <c r="IJ39" s="401"/>
      <c r="IK39" s="401"/>
      <c r="IL39" s="401"/>
      <c r="IM39" s="401"/>
      <c r="IN39" s="401"/>
      <c r="IO39" s="401"/>
      <c r="IP39" s="401"/>
      <c r="IQ39" s="401"/>
      <c r="IR39" s="401"/>
      <c r="IS39" s="401"/>
      <c r="IT39" s="401"/>
      <c r="IU39" s="401"/>
      <c r="IV39" s="401"/>
    </row>
    <row r="40" spans="1:256">
      <c r="A40" s="401"/>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c r="CM40" s="401"/>
      <c r="CN40" s="401"/>
      <c r="CO40" s="401"/>
      <c r="CP40" s="401"/>
      <c r="CQ40" s="401"/>
      <c r="CR40" s="401"/>
      <c r="CS40" s="401"/>
      <c r="CT40" s="401"/>
      <c r="CU40" s="401"/>
      <c r="CV40" s="401"/>
      <c r="CW40" s="401"/>
      <c r="CX40" s="401"/>
      <c r="CY40" s="401"/>
      <c r="CZ40" s="401"/>
      <c r="DA40" s="401"/>
      <c r="DB40" s="401"/>
      <c r="DC40" s="401"/>
      <c r="DD40" s="401"/>
      <c r="DE40" s="401"/>
      <c r="DF40" s="401"/>
      <c r="DG40" s="401"/>
      <c r="DH40" s="401"/>
      <c r="DI40" s="401"/>
      <c r="DJ40" s="401"/>
      <c r="DK40" s="401"/>
      <c r="DL40" s="401"/>
      <c r="DM40" s="401"/>
      <c r="DN40" s="401"/>
      <c r="DO40" s="401"/>
      <c r="DP40" s="401"/>
      <c r="DQ40" s="401"/>
      <c r="DR40" s="401"/>
      <c r="DS40" s="401"/>
      <c r="DT40" s="401"/>
      <c r="DU40" s="401"/>
      <c r="DV40" s="401"/>
      <c r="DW40" s="401"/>
      <c r="DX40" s="401"/>
      <c r="DY40" s="401"/>
      <c r="DZ40" s="401"/>
      <c r="EA40" s="401"/>
      <c r="EB40" s="401"/>
      <c r="EC40" s="401"/>
      <c r="ED40" s="401"/>
      <c r="EE40" s="401"/>
      <c r="EF40" s="401"/>
      <c r="EG40" s="401"/>
      <c r="EH40" s="401"/>
      <c r="EI40" s="401"/>
      <c r="EJ40" s="401"/>
      <c r="EK40" s="401"/>
      <c r="EL40" s="401"/>
      <c r="EM40" s="401"/>
      <c r="EN40" s="401"/>
      <c r="EO40" s="401"/>
      <c r="EP40" s="401"/>
      <c r="EQ40" s="401"/>
      <c r="ER40" s="401"/>
      <c r="ES40" s="401"/>
      <c r="ET40" s="401"/>
      <c r="EU40" s="401"/>
      <c r="EV40" s="401"/>
      <c r="EW40" s="401"/>
      <c r="EX40" s="401"/>
      <c r="EY40" s="401"/>
      <c r="EZ40" s="401"/>
      <c r="FA40" s="401"/>
      <c r="FB40" s="401"/>
      <c r="FC40" s="401"/>
      <c r="FD40" s="401"/>
      <c r="FE40" s="401"/>
      <c r="FF40" s="401"/>
      <c r="FG40" s="401"/>
      <c r="FH40" s="401"/>
      <c r="FI40" s="401"/>
      <c r="FJ40" s="401"/>
      <c r="FK40" s="401"/>
      <c r="FL40" s="401"/>
      <c r="FM40" s="401"/>
      <c r="FN40" s="401"/>
      <c r="FO40" s="401"/>
      <c r="FP40" s="401"/>
      <c r="FQ40" s="401"/>
      <c r="FR40" s="401"/>
      <c r="FS40" s="401"/>
      <c r="FT40" s="401"/>
      <c r="FU40" s="401"/>
      <c r="FV40" s="401"/>
      <c r="FW40" s="401"/>
      <c r="FX40" s="401"/>
      <c r="FY40" s="401"/>
      <c r="FZ40" s="401"/>
      <c r="GA40" s="401"/>
      <c r="GB40" s="401"/>
      <c r="GC40" s="401"/>
      <c r="GD40" s="401"/>
      <c r="GE40" s="401"/>
      <c r="GF40" s="401"/>
      <c r="GG40" s="401"/>
      <c r="GH40" s="401"/>
      <c r="GI40" s="401"/>
      <c r="GJ40" s="401"/>
      <c r="GK40" s="401"/>
      <c r="GL40" s="401"/>
      <c r="GM40" s="401"/>
      <c r="GN40" s="401"/>
      <c r="GO40" s="401"/>
      <c r="GP40" s="401"/>
      <c r="GQ40" s="401"/>
      <c r="GR40" s="401"/>
      <c r="GS40" s="401"/>
      <c r="GT40" s="401"/>
      <c r="GU40" s="401"/>
      <c r="GV40" s="401"/>
      <c r="GW40" s="401"/>
      <c r="GX40" s="401"/>
      <c r="GY40" s="401"/>
      <c r="GZ40" s="401"/>
      <c r="HA40" s="401"/>
      <c r="HB40" s="401"/>
      <c r="HC40" s="401"/>
      <c r="HD40" s="401"/>
      <c r="HE40" s="401"/>
      <c r="HF40" s="401"/>
      <c r="HG40" s="401"/>
      <c r="HH40" s="401"/>
      <c r="HI40" s="401"/>
      <c r="HJ40" s="401"/>
      <c r="HK40" s="401"/>
      <c r="HL40" s="401"/>
      <c r="HM40" s="401"/>
      <c r="HN40" s="401"/>
      <c r="HO40" s="401"/>
      <c r="HP40" s="401"/>
      <c r="HQ40" s="401"/>
      <c r="HR40" s="401"/>
      <c r="HS40" s="401"/>
      <c r="HT40" s="401"/>
      <c r="HU40" s="401"/>
      <c r="HV40" s="401"/>
      <c r="HW40" s="401"/>
      <c r="HX40" s="401"/>
      <c r="HY40" s="401"/>
      <c r="HZ40" s="401"/>
      <c r="IA40" s="401"/>
      <c r="IB40" s="401"/>
      <c r="IC40" s="401"/>
      <c r="ID40" s="401"/>
      <c r="IE40" s="401"/>
      <c r="IF40" s="401"/>
      <c r="IG40" s="401"/>
      <c r="IH40" s="401"/>
      <c r="II40" s="401"/>
      <c r="IJ40" s="401"/>
      <c r="IK40" s="401"/>
      <c r="IL40" s="401"/>
      <c r="IM40" s="401"/>
      <c r="IN40" s="401"/>
      <c r="IO40" s="401"/>
      <c r="IP40" s="401"/>
      <c r="IQ40" s="401"/>
      <c r="IR40" s="401"/>
      <c r="IS40" s="401"/>
      <c r="IT40" s="401"/>
      <c r="IU40" s="401"/>
      <c r="IV40" s="401"/>
    </row>
    <row r="41" spans="1:256">
      <c r="A41" s="401"/>
      <c r="B41" s="401"/>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R41" s="401"/>
      <c r="CS41" s="401"/>
      <c r="CT41" s="401"/>
      <c r="CU41" s="401"/>
      <c r="CV41" s="401"/>
      <c r="CW41" s="401"/>
      <c r="CX41" s="401"/>
      <c r="CY41" s="401"/>
      <c r="CZ41" s="401"/>
      <c r="DA41" s="401"/>
      <c r="DB41" s="401"/>
      <c r="DC41" s="401"/>
      <c r="DD41" s="401"/>
      <c r="DE41" s="401"/>
      <c r="DF41" s="401"/>
      <c r="DG41" s="401"/>
      <c r="DH41" s="401"/>
      <c r="DI41" s="401"/>
      <c r="DJ41" s="401"/>
      <c r="DK41" s="401"/>
      <c r="DL41" s="401"/>
      <c r="DM41" s="401"/>
      <c r="DN41" s="401"/>
      <c r="DO41" s="401"/>
      <c r="DP41" s="401"/>
      <c r="DQ41" s="401"/>
      <c r="DR41" s="401"/>
      <c r="DS41" s="401"/>
      <c r="DT41" s="401"/>
      <c r="DU41" s="401"/>
      <c r="DV41" s="401"/>
      <c r="DW41" s="401"/>
      <c r="DX41" s="401"/>
      <c r="DY41" s="401"/>
      <c r="DZ41" s="401"/>
      <c r="EA41" s="401"/>
      <c r="EB41" s="401"/>
      <c r="EC41" s="401"/>
      <c r="ED41" s="401"/>
      <c r="EE41" s="401"/>
      <c r="EF41" s="401"/>
      <c r="EG41" s="401"/>
      <c r="EH41" s="401"/>
      <c r="EI41" s="401"/>
      <c r="EJ41" s="401"/>
      <c r="EK41" s="401"/>
      <c r="EL41" s="401"/>
      <c r="EM41" s="401"/>
      <c r="EN41" s="401"/>
      <c r="EO41" s="401"/>
      <c r="EP41" s="401"/>
      <c r="EQ41" s="401"/>
      <c r="ER41" s="401"/>
      <c r="ES41" s="401"/>
      <c r="ET41" s="401"/>
      <c r="EU41" s="401"/>
      <c r="EV41" s="401"/>
      <c r="EW41" s="401"/>
      <c r="EX41" s="401"/>
      <c r="EY41" s="401"/>
      <c r="EZ41" s="401"/>
      <c r="FA41" s="401"/>
      <c r="FB41" s="401"/>
      <c r="FC41" s="401"/>
      <c r="FD41" s="401"/>
      <c r="FE41" s="401"/>
      <c r="FF41" s="401"/>
      <c r="FG41" s="401"/>
      <c r="FH41" s="401"/>
      <c r="FI41" s="401"/>
      <c r="FJ41" s="401"/>
      <c r="FK41" s="401"/>
      <c r="FL41" s="401"/>
      <c r="FM41" s="401"/>
      <c r="FN41" s="401"/>
      <c r="FO41" s="401"/>
      <c r="FP41" s="401"/>
      <c r="FQ41" s="401"/>
      <c r="FR41" s="401"/>
      <c r="FS41" s="401"/>
      <c r="FT41" s="401"/>
      <c r="FU41" s="401"/>
      <c r="FV41" s="401"/>
      <c r="FW41" s="401"/>
      <c r="FX41" s="401"/>
      <c r="FY41" s="401"/>
      <c r="FZ41" s="401"/>
      <c r="GA41" s="401"/>
      <c r="GB41" s="401"/>
      <c r="GC41" s="401"/>
      <c r="GD41" s="401"/>
      <c r="GE41" s="401"/>
      <c r="GF41" s="401"/>
      <c r="GG41" s="401"/>
      <c r="GH41" s="401"/>
      <c r="GI41" s="401"/>
      <c r="GJ41" s="401"/>
      <c r="GK41" s="401"/>
      <c r="GL41" s="401"/>
      <c r="GM41" s="401"/>
      <c r="GN41" s="401"/>
      <c r="GO41" s="401"/>
      <c r="GP41" s="401"/>
      <c r="GQ41" s="401"/>
      <c r="GR41" s="401"/>
      <c r="GS41" s="401"/>
      <c r="GT41" s="401"/>
      <c r="GU41" s="401"/>
      <c r="GV41" s="401"/>
      <c r="GW41" s="401"/>
      <c r="GX41" s="401"/>
      <c r="GY41" s="401"/>
      <c r="GZ41" s="401"/>
      <c r="HA41" s="401"/>
      <c r="HB41" s="401"/>
      <c r="HC41" s="401"/>
      <c r="HD41" s="401"/>
      <c r="HE41" s="401"/>
      <c r="HF41" s="401"/>
      <c r="HG41" s="401"/>
      <c r="HH41" s="401"/>
      <c r="HI41" s="401"/>
      <c r="HJ41" s="401"/>
      <c r="HK41" s="401"/>
      <c r="HL41" s="401"/>
      <c r="HM41" s="401"/>
      <c r="HN41" s="401"/>
      <c r="HO41" s="401"/>
      <c r="HP41" s="401"/>
      <c r="HQ41" s="401"/>
      <c r="HR41" s="401"/>
      <c r="HS41" s="401"/>
      <c r="HT41" s="401"/>
      <c r="HU41" s="401"/>
      <c r="HV41" s="401"/>
      <c r="HW41" s="401"/>
      <c r="HX41" s="401"/>
      <c r="HY41" s="401"/>
      <c r="HZ41" s="401"/>
      <c r="IA41" s="401"/>
      <c r="IB41" s="401"/>
      <c r="IC41" s="401"/>
      <c r="ID41" s="401"/>
      <c r="IE41" s="401"/>
      <c r="IF41" s="401"/>
      <c r="IG41" s="401"/>
      <c r="IH41" s="401"/>
      <c r="II41" s="401"/>
      <c r="IJ41" s="401"/>
      <c r="IK41" s="401"/>
      <c r="IL41" s="401"/>
      <c r="IM41" s="401"/>
      <c r="IN41" s="401"/>
      <c r="IO41" s="401"/>
      <c r="IP41" s="401"/>
      <c r="IQ41" s="401"/>
      <c r="IR41" s="401"/>
      <c r="IS41" s="401"/>
      <c r="IT41" s="401"/>
      <c r="IU41" s="401"/>
      <c r="IV41" s="401"/>
    </row>
    <row r="42" spans="1:256">
      <c r="A42" s="401"/>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c r="CM42" s="401"/>
      <c r="CN42" s="401"/>
      <c r="CO42" s="401"/>
      <c r="CP42" s="401"/>
      <c r="CQ42" s="401"/>
      <c r="CR42" s="401"/>
      <c r="CS42" s="401"/>
      <c r="CT42" s="401"/>
      <c r="CU42" s="401"/>
      <c r="CV42" s="401"/>
      <c r="CW42" s="401"/>
      <c r="CX42" s="401"/>
      <c r="CY42" s="401"/>
      <c r="CZ42" s="401"/>
      <c r="DA42" s="401"/>
      <c r="DB42" s="401"/>
      <c r="DC42" s="401"/>
      <c r="DD42" s="401"/>
      <c r="DE42" s="401"/>
      <c r="DF42" s="401"/>
      <c r="DG42" s="401"/>
      <c r="DH42" s="401"/>
      <c r="DI42" s="401"/>
      <c r="DJ42" s="401"/>
      <c r="DK42" s="401"/>
      <c r="DL42" s="401"/>
      <c r="DM42" s="401"/>
      <c r="DN42" s="401"/>
      <c r="DO42" s="401"/>
      <c r="DP42" s="401"/>
      <c r="DQ42" s="401"/>
      <c r="DR42" s="401"/>
      <c r="DS42" s="401"/>
      <c r="DT42" s="401"/>
      <c r="DU42" s="401"/>
      <c r="DV42" s="401"/>
      <c r="DW42" s="401"/>
      <c r="DX42" s="401"/>
      <c r="DY42" s="401"/>
      <c r="DZ42" s="401"/>
      <c r="EA42" s="401"/>
      <c r="EB42" s="401"/>
      <c r="EC42" s="401"/>
      <c r="ED42" s="401"/>
      <c r="EE42" s="401"/>
      <c r="EF42" s="401"/>
      <c r="EG42" s="401"/>
      <c r="EH42" s="401"/>
      <c r="EI42" s="401"/>
      <c r="EJ42" s="401"/>
      <c r="EK42" s="401"/>
      <c r="EL42" s="401"/>
      <c r="EM42" s="401"/>
      <c r="EN42" s="401"/>
      <c r="EO42" s="401"/>
      <c r="EP42" s="401"/>
      <c r="EQ42" s="401"/>
      <c r="ER42" s="401"/>
      <c r="ES42" s="401"/>
      <c r="ET42" s="401"/>
      <c r="EU42" s="401"/>
      <c r="EV42" s="401"/>
      <c r="EW42" s="401"/>
      <c r="EX42" s="401"/>
      <c r="EY42" s="401"/>
      <c r="EZ42" s="401"/>
      <c r="FA42" s="401"/>
      <c r="FB42" s="401"/>
      <c r="FC42" s="401"/>
      <c r="FD42" s="401"/>
      <c r="FE42" s="401"/>
      <c r="FF42" s="401"/>
      <c r="FG42" s="401"/>
      <c r="FH42" s="401"/>
      <c r="FI42" s="401"/>
      <c r="FJ42" s="401"/>
      <c r="FK42" s="401"/>
      <c r="FL42" s="401"/>
      <c r="FM42" s="401"/>
      <c r="FN42" s="401"/>
      <c r="FO42" s="401"/>
      <c r="FP42" s="401"/>
      <c r="FQ42" s="401"/>
      <c r="FR42" s="401"/>
      <c r="FS42" s="401"/>
      <c r="FT42" s="401"/>
      <c r="FU42" s="401"/>
      <c r="FV42" s="401"/>
      <c r="FW42" s="401"/>
      <c r="FX42" s="401"/>
      <c r="FY42" s="401"/>
      <c r="FZ42" s="401"/>
      <c r="GA42" s="401"/>
      <c r="GB42" s="401"/>
      <c r="GC42" s="401"/>
      <c r="GD42" s="401"/>
      <c r="GE42" s="401"/>
      <c r="GF42" s="401"/>
      <c r="GG42" s="401"/>
      <c r="GH42" s="401"/>
      <c r="GI42" s="401"/>
      <c r="GJ42" s="401"/>
      <c r="GK42" s="401"/>
      <c r="GL42" s="401"/>
      <c r="GM42" s="401"/>
      <c r="GN42" s="401"/>
      <c r="GO42" s="401"/>
      <c r="GP42" s="401"/>
      <c r="GQ42" s="401"/>
      <c r="GR42" s="401"/>
      <c r="GS42" s="401"/>
      <c r="GT42" s="401"/>
      <c r="GU42" s="401"/>
      <c r="GV42" s="401"/>
      <c r="GW42" s="401"/>
      <c r="GX42" s="401"/>
      <c r="GY42" s="401"/>
      <c r="GZ42" s="401"/>
      <c r="HA42" s="401"/>
      <c r="HB42" s="401"/>
      <c r="HC42" s="401"/>
      <c r="HD42" s="401"/>
      <c r="HE42" s="401"/>
      <c r="HF42" s="401"/>
      <c r="HG42" s="401"/>
      <c r="HH42" s="401"/>
      <c r="HI42" s="401"/>
      <c r="HJ42" s="401"/>
      <c r="HK42" s="401"/>
      <c r="HL42" s="401"/>
      <c r="HM42" s="401"/>
      <c r="HN42" s="401"/>
      <c r="HO42" s="401"/>
      <c r="HP42" s="401"/>
      <c r="HQ42" s="401"/>
      <c r="HR42" s="401"/>
      <c r="HS42" s="401"/>
      <c r="HT42" s="401"/>
      <c r="HU42" s="401"/>
      <c r="HV42" s="401"/>
      <c r="HW42" s="401"/>
      <c r="HX42" s="401"/>
      <c r="HY42" s="401"/>
      <c r="HZ42" s="401"/>
      <c r="IA42" s="401"/>
      <c r="IB42" s="401"/>
      <c r="IC42" s="401"/>
      <c r="ID42" s="401"/>
      <c r="IE42" s="401"/>
      <c r="IF42" s="401"/>
      <c r="IG42" s="401"/>
      <c r="IH42" s="401"/>
      <c r="II42" s="401"/>
      <c r="IJ42" s="401"/>
      <c r="IK42" s="401"/>
      <c r="IL42" s="401"/>
      <c r="IM42" s="401"/>
      <c r="IN42" s="401"/>
      <c r="IO42" s="401"/>
      <c r="IP42" s="401"/>
      <c r="IQ42" s="401"/>
      <c r="IR42" s="401"/>
      <c r="IS42" s="401"/>
      <c r="IT42" s="401"/>
      <c r="IU42" s="401"/>
      <c r="IV42" s="401"/>
    </row>
    <row r="43" spans="1:256">
      <c r="A43" s="401"/>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401"/>
      <c r="CN43" s="401"/>
      <c r="CO43" s="401"/>
      <c r="CP43" s="401"/>
      <c r="CQ43" s="401"/>
      <c r="CR43" s="401"/>
      <c r="CS43" s="401"/>
      <c r="CT43" s="401"/>
      <c r="CU43" s="401"/>
      <c r="CV43" s="401"/>
      <c r="CW43" s="401"/>
      <c r="CX43" s="401"/>
      <c r="CY43" s="401"/>
      <c r="CZ43" s="401"/>
      <c r="DA43" s="401"/>
      <c r="DB43" s="401"/>
      <c r="DC43" s="401"/>
      <c r="DD43" s="401"/>
      <c r="DE43" s="401"/>
      <c r="DF43" s="401"/>
      <c r="DG43" s="401"/>
      <c r="DH43" s="401"/>
      <c r="DI43" s="401"/>
      <c r="DJ43" s="401"/>
      <c r="DK43" s="401"/>
      <c r="DL43" s="401"/>
      <c r="DM43" s="401"/>
      <c r="DN43" s="401"/>
      <c r="DO43" s="401"/>
      <c r="DP43" s="401"/>
      <c r="DQ43" s="401"/>
      <c r="DR43" s="401"/>
      <c r="DS43" s="401"/>
      <c r="DT43" s="401"/>
      <c r="DU43" s="401"/>
      <c r="DV43" s="401"/>
      <c r="DW43" s="401"/>
      <c r="DX43" s="401"/>
      <c r="DY43" s="401"/>
      <c r="DZ43" s="401"/>
      <c r="EA43" s="401"/>
      <c r="EB43" s="401"/>
      <c r="EC43" s="401"/>
      <c r="ED43" s="401"/>
      <c r="EE43" s="401"/>
      <c r="EF43" s="401"/>
      <c r="EG43" s="401"/>
      <c r="EH43" s="401"/>
      <c r="EI43" s="401"/>
      <c r="EJ43" s="401"/>
      <c r="EK43" s="401"/>
      <c r="EL43" s="401"/>
      <c r="EM43" s="401"/>
      <c r="EN43" s="401"/>
      <c r="EO43" s="401"/>
      <c r="EP43" s="401"/>
      <c r="EQ43" s="401"/>
      <c r="ER43" s="401"/>
      <c r="ES43" s="401"/>
      <c r="ET43" s="401"/>
      <c r="EU43" s="401"/>
      <c r="EV43" s="401"/>
      <c r="EW43" s="401"/>
      <c r="EX43" s="401"/>
      <c r="EY43" s="401"/>
      <c r="EZ43" s="401"/>
      <c r="FA43" s="401"/>
      <c r="FB43" s="401"/>
      <c r="FC43" s="401"/>
      <c r="FD43" s="401"/>
      <c r="FE43" s="401"/>
      <c r="FF43" s="401"/>
      <c r="FG43" s="401"/>
      <c r="FH43" s="401"/>
      <c r="FI43" s="401"/>
      <c r="FJ43" s="401"/>
      <c r="FK43" s="401"/>
      <c r="FL43" s="401"/>
      <c r="FM43" s="401"/>
      <c r="FN43" s="401"/>
      <c r="FO43" s="401"/>
      <c r="FP43" s="401"/>
      <c r="FQ43" s="401"/>
      <c r="FR43" s="401"/>
      <c r="FS43" s="401"/>
      <c r="FT43" s="401"/>
      <c r="FU43" s="401"/>
      <c r="FV43" s="401"/>
      <c r="FW43" s="401"/>
      <c r="FX43" s="401"/>
      <c r="FY43" s="401"/>
      <c r="FZ43" s="401"/>
      <c r="GA43" s="401"/>
      <c r="GB43" s="401"/>
      <c r="GC43" s="401"/>
      <c r="GD43" s="401"/>
      <c r="GE43" s="401"/>
      <c r="GF43" s="401"/>
      <c r="GG43" s="401"/>
      <c r="GH43" s="401"/>
      <c r="GI43" s="401"/>
      <c r="GJ43" s="401"/>
      <c r="GK43" s="401"/>
      <c r="GL43" s="401"/>
      <c r="GM43" s="401"/>
      <c r="GN43" s="401"/>
      <c r="GO43" s="401"/>
      <c r="GP43" s="401"/>
      <c r="GQ43" s="401"/>
      <c r="GR43" s="401"/>
      <c r="GS43" s="401"/>
      <c r="GT43" s="401"/>
      <c r="GU43" s="401"/>
      <c r="GV43" s="401"/>
      <c r="GW43" s="401"/>
      <c r="GX43" s="401"/>
      <c r="GY43" s="401"/>
      <c r="GZ43" s="401"/>
      <c r="HA43" s="401"/>
      <c r="HB43" s="401"/>
      <c r="HC43" s="401"/>
      <c r="HD43" s="401"/>
      <c r="HE43" s="401"/>
      <c r="HF43" s="401"/>
      <c r="HG43" s="401"/>
      <c r="HH43" s="401"/>
      <c r="HI43" s="401"/>
      <c r="HJ43" s="401"/>
      <c r="HK43" s="401"/>
      <c r="HL43" s="401"/>
      <c r="HM43" s="401"/>
      <c r="HN43" s="401"/>
      <c r="HO43" s="401"/>
      <c r="HP43" s="401"/>
      <c r="HQ43" s="401"/>
      <c r="HR43" s="401"/>
      <c r="HS43" s="401"/>
      <c r="HT43" s="401"/>
      <c r="HU43" s="401"/>
      <c r="HV43" s="401"/>
      <c r="HW43" s="401"/>
      <c r="HX43" s="401"/>
      <c r="HY43" s="401"/>
      <c r="HZ43" s="401"/>
      <c r="IA43" s="401"/>
      <c r="IB43" s="401"/>
      <c r="IC43" s="401"/>
      <c r="ID43" s="401"/>
      <c r="IE43" s="401"/>
      <c r="IF43" s="401"/>
      <c r="IG43" s="401"/>
      <c r="IH43" s="401"/>
      <c r="II43" s="401"/>
      <c r="IJ43" s="401"/>
      <c r="IK43" s="401"/>
      <c r="IL43" s="401"/>
      <c r="IM43" s="401"/>
      <c r="IN43" s="401"/>
      <c r="IO43" s="401"/>
      <c r="IP43" s="401"/>
      <c r="IQ43" s="401"/>
      <c r="IR43" s="401"/>
      <c r="IS43" s="401"/>
      <c r="IT43" s="401"/>
      <c r="IU43" s="401"/>
      <c r="IV43" s="401"/>
    </row>
    <row r="44" spans="1:256">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R44" s="401"/>
      <c r="CS44" s="401"/>
      <c r="CT44" s="401"/>
      <c r="CU44" s="401"/>
      <c r="CV44" s="401"/>
      <c r="CW44" s="401"/>
      <c r="CX44" s="401"/>
      <c r="CY44" s="401"/>
      <c r="CZ44" s="401"/>
      <c r="DA44" s="401"/>
      <c r="DB44" s="401"/>
      <c r="DC44" s="401"/>
      <c r="DD44" s="401"/>
      <c r="DE44" s="401"/>
      <c r="DF44" s="401"/>
      <c r="DG44" s="401"/>
      <c r="DH44" s="401"/>
      <c r="DI44" s="401"/>
      <c r="DJ44" s="401"/>
      <c r="DK44" s="401"/>
      <c r="DL44" s="401"/>
      <c r="DM44" s="401"/>
      <c r="DN44" s="401"/>
      <c r="DO44" s="401"/>
      <c r="DP44" s="401"/>
      <c r="DQ44" s="401"/>
      <c r="DR44" s="401"/>
      <c r="DS44" s="401"/>
      <c r="DT44" s="401"/>
      <c r="DU44" s="401"/>
      <c r="DV44" s="401"/>
      <c r="DW44" s="401"/>
      <c r="DX44" s="401"/>
      <c r="DY44" s="401"/>
      <c r="DZ44" s="401"/>
      <c r="EA44" s="401"/>
      <c r="EB44" s="401"/>
      <c r="EC44" s="401"/>
      <c r="ED44" s="401"/>
      <c r="EE44" s="401"/>
      <c r="EF44" s="401"/>
      <c r="EG44" s="401"/>
      <c r="EH44" s="401"/>
      <c r="EI44" s="401"/>
      <c r="EJ44" s="401"/>
      <c r="EK44" s="401"/>
      <c r="EL44" s="401"/>
      <c r="EM44" s="401"/>
      <c r="EN44" s="401"/>
      <c r="EO44" s="401"/>
      <c r="EP44" s="401"/>
      <c r="EQ44" s="401"/>
      <c r="ER44" s="401"/>
      <c r="ES44" s="401"/>
      <c r="ET44" s="401"/>
      <c r="EU44" s="401"/>
      <c r="EV44" s="401"/>
      <c r="EW44" s="401"/>
      <c r="EX44" s="401"/>
      <c r="EY44" s="401"/>
      <c r="EZ44" s="401"/>
      <c r="FA44" s="401"/>
      <c r="FB44" s="401"/>
      <c r="FC44" s="401"/>
      <c r="FD44" s="401"/>
      <c r="FE44" s="401"/>
      <c r="FF44" s="401"/>
      <c r="FG44" s="401"/>
      <c r="FH44" s="401"/>
      <c r="FI44" s="401"/>
      <c r="FJ44" s="401"/>
      <c r="FK44" s="401"/>
      <c r="FL44" s="401"/>
      <c r="FM44" s="401"/>
      <c r="FN44" s="401"/>
      <c r="FO44" s="401"/>
      <c r="FP44" s="401"/>
      <c r="FQ44" s="401"/>
      <c r="FR44" s="401"/>
      <c r="FS44" s="401"/>
      <c r="FT44" s="401"/>
      <c r="FU44" s="401"/>
      <c r="FV44" s="401"/>
      <c r="FW44" s="401"/>
      <c r="FX44" s="401"/>
      <c r="FY44" s="401"/>
      <c r="FZ44" s="401"/>
      <c r="GA44" s="401"/>
      <c r="GB44" s="401"/>
      <c r="GC44" s="401"/>
      <c r="GD44" s="401"/>
      <c r="GE44" s="401"/>
      <c r="GF44" s="401"/>
      <c r="GG44" s="401"/>
      <c r="GH44" s="401"/>
      <c r="GI44" s="401"/>
      <c r="GJ44" s="401"/>
      <c r="GK44" s="401"/>
      <c r="GL44" s="401"/>
      <c r="GM44" s="401"/>
      <c r="GN44" s="401"/>
      <c r="GO44" s="401"/>
      <c r="GP44" s="401"/>
      <c r="GQ44" s="401"/>
      <c r="GR44" s="401"/>
      <c r="GS44" s="401"/>
      <c r="GT44" s="401"/>
      <c r="GU44" s="401"/>
      <c r="GV44" s="401"/>
      <c r="GW44" s="401"/>
      <c r="GX44" s="401"/>
      <c r="GY44" s="401"/>
      <c r="GZ44" s="401"/>
      <c r="HA44" s="401"/>
      <c r="HB44" s="401"/>
      <c r="HC44" s="401"/>
      <c r="HD44" s="401"/>
      <c r="HE44" s="401"/>
      <c r="HF44" s="401"/>
      <c r="HG44" s="401"/>
      <c r="HH44" s="401"/>
      <c r="HI44" s="401"/>
      <c r="HJ44" s="401"/>
      <c r="HK44" s="401"/>
      <c r="HL44" s="401"/>
      <c r="HM44" s="401"/>
      <c r="HN44" s="401"/>
      <c r="HO44" s="401"/>
      <c r="HP44" s="401"/>
      <c r="HQ44" s="401"/>
      <c r="HR44" s="401"/>
      <c r="HS44" s="401"/>
      <c r="HT44" s="401"/>
      <c r="HU44" s="401"/>
      <c r="HV44" s="401"/>
      <c r="HW44" s="401"/>
      <c r="HX44" s="401"/>
      <c r="HY44" s="401"/>
      <c r="HZ44" s="401"/>
      <c r="IA44" s="401"/>
      <c r="IB44" s="401"/>
      <c r="IC44" s="401"/>
      <c r="ID44" s="401"/>
      <c r="IE44" s="401"/>
      <c r="IF44" s="401"/>
      <c r="IG44" s="401"/>
      <c r="IH44" s="401"/>
      <c r="II44" s="401"/>
      <c r="IJ44" s="401"/>
      <c r="IK44" s="401"/>
      <c r="IL44" s="401"/>
      <c r="IM44" s="401"/>
      <c r="IN44" s="401"/>
      <c r="IO44" s="401"/>
      <c r="IP44" s="401"/>
      <c r="IQ44" s="401"/>
      <c r="IR44" s="401"/>
      <c r="IS44" s="401"/>
      <c r="IT44" s="401"/>
      <c r="IU44" s="401"/>
      <c r="IV44" s="401"/>
    </row>
    <row r="45" spans="1:256">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1"/>
      <c r="BY45" s="401"/>
      <c r="BZ45" s="401"/>
      <c r="CA45" s="401"/>
      <c r="CB45" s="401"/>
      <c r="CC45" s="401"/>
      <c r="CD45" s="401"/>
      <c r="CE45" s="401"/>
      <c r="CF45" s="401"/>
      <c r="CG45" s="401"/>
      <c r="CH45" s="401"/>
      <c r="CI45" s="401"/>
      <c r="CJ45" s="401"/>
      <c r="CK45" s="401"/>
      <c r="CL45" s="401"/>
      <c r="CM45" s="401"/>
      <c r="CN45" s="401"/>
      <c r="CO45" s="401"/>
      <c r="CP45" s="401"/>
      <c r="CQ45" s="401"/>
      <c r="CR45" s="401"/>
      <c r="CS45" s="401"/>
      <c r="CT45" s="401"/>
      <c r="CU45" s="401"/>
      <c r="CV45" s="401"/>
      <c r="CW45" s="401"/>
      <c r="CX45" s="401"/>
      <c r="CY45" s="401"/>
      <c r="CZ45" s="401"/>
      <c r="DA45" s="401"/>
      <c r="DB45" s="401"/>
      <c r="DC45" s="401"/>
      <c r="DD45" s="401"/>
      <c r="DE45" s="401"/>
      <c r="DF45" s="401"/>
      <c r="DG45" s="401"/>
      <c r="DH45" s="401"/>
      <c r="DI45" s="401"/>
      <c r="DJ45" s="401"/>
      <c r="DK45" s="401"/>
      <c r="DL45" s="401"/>
      <c r="DM45" s="401"/>
      <c r="DN45" s="401"/>
      <c r="DO45" s="401"/>
      <c r="DP45" s="401"/>
      <c r="DQ45" s="401"/>
      <c r="DR45" s="401"/>
      <c r="DS45" s="401"/>
      <c r="DT45" s="401"/>
      <c r="DU45" s="401"/>
      <c r="DV45" s="401"/>
      <c r="DW45" s="401"/>
      <c r="DX45" s="401"/>
      <c r="DY45" s="401"/>
      <c r="DZ45" s="401"/>
      <c r="EA45" s="401"/>
      <c r="EB45" s="401"/>
      <c r="EC45" s="401"/>
      <c r="ED45" s="401"/>
      <c r="EE45" s="401"/>
      <c r="EF45" s="401"/>
      <c r="EG45" s="401"/>
      <c r="EH45" s="401"/>
      <c r="EI45" s="401"/>
      <c r="EJ45" s="401"/>
      <c r="EK45" s="401"/>
      <c r="EL45" s="401"/>
      <c r="EM45" s="401"/>
      <c r="EN45" s="401"/>
      <c r="EO45" s="401"/>
      <c r="EP45" s="401"/>
      <c r="EQ45" s="401"/>
      <c r="ER45" s="401"/>
      <c r="ES45" s="401"/>
      <c r="ET45" s="401"/>
      <c r="EU45" s="401"/>
      <c r="EV45" s="401"/>
      <c r="EW45" s="401"/>
      <c r="EX45" s="401"/>
      <c r="EY45" s="401"/>
      <c r="EZ45" s="401"/>
      <c r="FA45" s="401"/>
      <c r="FB45" s="401"/>
      <c r="FC45" s="401"/>
      <c r="FD45" s="401"/>
      <c r="FE45" s="401"/>
      <c r="FF45" s="401"/>
      <c r="FG45" s="401"/>
      <c r="FH45" s="401"/>
      <c r="FI45" s="401"/>
      <c r="FJ45" s="401"/>
      <c r="FK45" s="401"/>
      <c r="FL45" s="401"/>
      <c r="FM45" s="401"/>
      <c r="FN45" s="401"/>
      <c r="FO45" s="401"/>
      <c r="FP45" s="401"/>
      <c r="FQ45" s="401"/>
      <c r="FR45" s="401"/>
      <c r="FS45" s="401"/>
      <c r="FT45" s="401"/>
      <c r="FU45" s="401"/>
      <c r="FV45" s="401"/>
      <c r="FW45" s="401"/>
      <c r="FX45" s="401"/>
      <c r="FY45" s="401"/>
      <c r="FZ45" s="401"/>
      <c r="GA45" s="401"/>
      <c r="GB45" s="401"/>
      <c r="GC45" s="401"/>
      <c r="GD45" s="401"/>
      <c r="GE45" s="401"/>
      <c r="GF45" s="401"/>
      <c r="GG45" s="401"/>
      <c r="GH45" s="401"/>
      <c r="GI45" s="401"/>
      <c r="GJ45" s="401"/>
      <c r="GK45" s="401"/>
      <c r="GL45" s="401"/>
      <c r="GM45" s="401"/>
      <c r="GN45" s="401"/>
      <c r="GO45" s="401"/>
      <c r="GP45" s="401"/>
      <c r="GQ45" s="401"/>
      <c r="GR45" s="401"/>
      <c r="GS45" s="401"/>
      <c r="GT45" s="401"/>
      <c r="GU45" s="401"/>
      <c r="GV45" s="401"/>
      <c r="GW45" s="401"/>
      <c r="GX45" s="401"/>
      <c r="GY45" s="401"/>
      <c r="GZ45" s="401"/>
      <c r="HA45" s="401"/>
      <c r="HB45" s="401"/>
      <c r="HC45" s="401"/>
      <c r="HD45" s="401"/>
      <c r="HE45" s="401"/>
      <c r="HF45" s="401"/>
      <c r="HG45" s="401"/>
      <c r="HH45" s="401"/>
      <c r="HI45" s="401"/>
      <c r="HJ45" s="401"/>
      <c r="HK45" s="401"/>
      <c r="HL45" s="401"/>
      <c r="HM45" s="401"/>
      <c r="HN45" s="401"/>
      <c r="HO45" s="401"/>
      <c r="HP45" s="401"/>
      <c r="HQ45" s="401"/>
      <c r="HR45" s="401"/>
      <c r="HS45" s="401"/>
      <c r="HT45" s="401"/>
      <c r="HU45" s="401"/>
      <c r="HV45" s="401"/>
      <c r="HW45" s="401"/>
      <c r="HX45" s="401"/>
      <c r="HY45" s="401"/>
      <c r="HZ45" s="401"/>
      <c r="IA45" s="401"/>
      <c r="IB45" s="401"/>
      <c r="IC45" s="401"/>
      <c r="ID45" s="401"/>
      <c r="IE45" s="401"/>
      <c r="IF45" s="401"/>
      <c r="IG45" s="401"/>
      <c r="IH45" s="401"/>
      <c r="II45" s="401"/>
      <c r="IJ45" s="401"/>
      <c r="IK45" s="401"/>
      <c r="IL45" s="401"/>
      <c r="IM45" s="401"/>
      <c r="IN45" s="401"/>
      <c r="IO45" s="401"/>
      <c r="IP45" s="401"/>
      <c r="IQ45" s="401"/>
      <c r="IR45" s="401"/>
      <c r="IS45" s="401"/>
      <c r="IT45" s="401"/>
      <c r="IU45" s="401"/>
      <c r="IV45" s="401"/>
    </row>
    <row r="46" spans="1:256">
      <c r="A46" s="401"/>
      <c r="B46" s="401"/>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R46" s="401"/>
      <c r="CS46" s="401"/>
      <c r="CT46" s="401"/>
      <c r="CU46" s="401"/>
      <c r="CV46" s="401"/>
      <c r="CW46" s="401"/>
      <c r="CX46" s="401"/>
      <c r="CY46" s="401"/>
      <c r="CZ46" s="401"/>
      <c r="DA46" s="401"/>
      <c r="DB46" s="401"/>
      <c r="DC46" s="401"/>
      <c r="DD46" s="401"/>
      <c r="DE46" s="401"/>
      <c r="DF46" s="401"/>
      <c r="DG46" s="401"/>
      <c r="DH46" s="401"/>
      <c r="DI46" s="401"/>
      <c r="DJ46" s="401"/>
      <c r="DK46" s="401"/>
      <c r="DL46" s="401"/>
      <c r="DM46" s="401"/>
      <c r="DN46" s="401"/>
      <c r="DO46" s="401"/>
      <c r="DP46" s="401"/>
      <c r="DQ46" s="401"/>
      <c r="DR46" s="401"/>
      <c r="DS46" s="401"/>
      <c r="DT46" s="401"/>
      <c r="DU46" s="401"/>
      <c r="DV46" s="401"/>
      <c r="DW46" s="401"/>
      <c r="DX46" s="401"/>
      <c r="DY46" s="401"/>
      <c r="DZ46" s="401"/>
      <c r="EA46" s="401"/>
      <c r="EB46" s="401"/>
      <c r="EC46" s="401"/>
      <c r="ED46" s="401"/>
      <c r="EE46" s="401"/>
      <c r="EF46" s="401"/>
      <c r="EG46" s="401"/>
      <c r="EH46" s="401"/>
      <c r="EI46" s="401"/>
      <c r="EJ46" s="401"/>
      <c r="EK46" s="401"/>
      <c r="EL46" s="401"/>
      <c r="EM46" s="401"/>
      <c r="EN46" s="401"/>
      <c r="EO46" s="401"/>
      <c r="EP46" s="401"/>
      <c r="EQ46" s="401"/>
      <c r="ER46" s="401"/>
      <c r="ES46" s="401"/>
      <c r="ET46" s="401"/>
      <c r="EU46" s="401"/>
      <c r="EV46" s="401"/>
      <c r="EW46" s="401"/>
      <c r="EX46" s="401"/>
      <c r="EY46" s="401"/>
      <c r="EZ46" s="401"/>
      <c r="FA46" s="401"/>
      <c r="FB46" s="401"/>
      <c r="FC46" s="401"/>
      <c r="FD46" s="401"/>
      <c r="FE46" s="401"/>
      <c r="FF46" s="401"/>
      <c r="FG46" s="401"/>
      <c r="FH46" s="401"/>
      <c r="FI46" s="401"/>
      <c r="FJ46" s="401"/>
      <c r="FK46" s="401"/>
      <c r="FL46" s="401"/>
      <c r="FM46" s="401"/>
      <c r="FN46" s="401"/>
      <c r="FO46" s="401"/>
      <c r="FP46" s="401"/>
      <c r="FQ46" s="401"/>
      <c r="FR46" s="401"/>
      <c r="FS46" s="401"/>
      <c r="FT46" s="401"/>
      <c r="FU46" s="401"/>
      <c r="FV46" s="401"/>
      <c r="FW46" s="401"/>
      <c r="FX46" s="401"/>
      <c r="FY46" s="401"/>
      <c r="FZ46" s="401"/>
      <c r="GA46" s="401"/>
      <c r="GB46" s="401"/>
      <c r="GC46" s="401"/>
      <c r="GD46" s="401"/>
      <c r="GE46" s="401"/>
      <c r="GF46" s="401"/>
      <c r="GG46" s="401"/>
      <c r="GH46" s="401"/>
      <c r="GI46" s="401"/>
      <c r="GJ46" s="401"/>
      <c r="GK46" s="401"/>
      <c r="GL46" s="401"/>
      <c r="GM46" s="401"/>
      <c r="GN46" s="401"/>
      <c r="GO46" s="401"/>
      <c r="GP46" s="401"/>
      <c r="GQ46" s="401"/>
      <c r="GR46" s="401"/>
      <c r="GS46" s="401"/>
      <c r="GT46" s="401"/>
      <c r="GU46" s="401"/>
      <c r="GV46" s="401"/>
      <c r="GW46" s="401"/>
      <c r="GX46" s="401"/>
      <c r="GY46" s="401"/>
      <c r="GZ46" s="401"/>
      <c r="HA46" s="401"/>
      <c r="HB46" s="401"/>
      <c r="HC46" s="401"/>
      <c r="HD46" s="401"/>
      <c r="HE46" s="401"/>
      <c r="HF46" s="401"/>
      <c r="HG46" s="401"/>
      <c r="HH46" s="401"/>
      <c r="HI46" s="401"/>
      <c r="HJ46" s="401"/>
      <c r="HK46" s="401"/>
      <c r="HL46" s="401"/>
      <c r="HM46" s="401"/>
      <c r="HN46" s="401"/>
      <c r="HO46" s="401"/>
      <c r="HP46" s="401"/>
      <c r="HQ46" s="401"/>
      <c r="HR46" s="401"/>
      <c r="HS46" s="401"/>
      <c r="HT46" s="401"/>
      <c r="HU46" s="401"/>
      <c r="HV46" s="401"/>
      <c r="HW46" s="401"/>
      <c r="HX46" s="401"/>
      <c r="HY46" s="401"/>
      <c r="HZ46" s="401"/>
      <c r="IA46" s="401"/>
      <c r="IB46" s="401"/>
      <c r="IC46" s="401"/>
      <c r="ID46" s="401"/>
      <c r="IE46" s="401"/>
      <c r="IF46" s="401"/>
      <c r="IG46" s="401"/>
      <c r="IH46" s="401"/>
      <c r="II46" s="401"/>
      <c r="IJ46" s="401"/>
      <c r="IK46" s="401"/>
      <c r="IL46" s="401"/>
      <c r="IM46" s="401"/>
      <c r="IN46" s="401"/>
      <c r="IO46" s="401"/>
      <c r="IP46" s="401"/>
      <c r="IQ46" s="401"/>
      <c r="IR46" s="401"/>
      <c r="IS46" s="401"/>
      <c r="IT46" s="401"/>
      <c r="IU46" s="401"/>
      <c r="IV46" s="401"/>
    </row>
    <row r="47" spans="1:256">
      <c r="A47" s="401"/>
      <c r="B47" s="401"/>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c r="CF47" s="401"/>
      <c r="CG47" s="401"/>
      <c r="CH47" s="401"/>
      <c r="CI47" s="401"/>
      <c r="CJ47" s="401"/>
      <c r="CK47" s="401"/>
      <c r="CL47" s="401"/>
      <c r="CM47" s="401"/>
      <c r="CN47" s="401"/>
      <c r="CO47" s="401"/>
      <c r="CP47" s="401"/>
      <c r="CQ47" s="401"/>
      <c r="CR47" s="401"/>
      <c r="CS47" s="401"/>
      <c r="CT47" s="401"/>
      <c r="CU47" s="401"/>
      <c r="CV47" s="401"/>
      <c r="CW47" s="401"/>
      <c r="CX47" s="401"/>
      <c r="CY47" s="401"/>
      <c r="CZ47" s="401"/>
      <c r="DA47" s="401"/>
      <c r="DB47" s="401"/>
      <c r="DC47" s="401"/>
      <c r="DD47" s="401"/>
      <c r="DE47" s="401"/>
      <c r="DF47" s="401"/>
      <c r="DG47" s="401"/>
      <c r="DH47" s="401"/>
      <c r="DI47" s="401"/>
      <c r="DJ47" s="401"/>
      <c r="DK47" s="401"/>
      <c r="DL47" s="401"/>
      <c r="DM47" s="401"/>
      <c r="DN47" s="401"/>
      <c r="DO47" s="401"/>
      <c r="DP47" s="401"/>
      <c r="DQ47" s="401"/>
      <c r="DR47" s="401"/>
      <c r="DS47" s="401"/>
      <c r="DT47" s="401"/>
      <c r="DU47" s="401"/>
      <c r="DV47" s="401"/>
      <c r="DW47" s="401"/>
      <c r="DX47" s="401"/>
      <c r="DY47" s="401"/>
      <c r="DZ47" s="401"/>
      <c r="EA47" s="401"/>
      <c r="EB47" s="401"/>
      <c r="EC47" s="401"/>
      <c r="ED47" s="401"/>
      <c r="EE47" s="401"/>
      <c r="EF47" s="401"/>
      <c r="EG47" s="401"/>
      <c r="EH47" s="401"/>
      <c r="EI47" s="401"/>
      <c r="EJ47" s="401"/>
      <c r="EK47" s="401"/>
      <c r="EL47" s="401"/>
      <c r="EM47" s="401"/>
      <c r="EN47" s="401"/>
      <c r="EO47" s="401"/>
      <c r="EP47" s="401"/>
      <c r="EQ47" s="401"/>
      <c r="ER47" s="401"/>
      <c r="ES47" s="401"/>
      <c r="ET47" s="401"/>
      <c r="EU47" s="401"/>
      <c r="EV47" s="401"/>
      <c r="EW47" s="401"/>
      <c r="EX47" s="401"/>
      <c r="EY47" s="401"/>
      <c r="EZ47" s="401"/>
      <c r="FA47" s="401"/>
      <c r="FB47" s="401"/>
      <c r="FC47" s="401"/>
      <c r="FD47" s="401"/>
      <c r="FE47" s="401"/>
      <c r="FF47" s="401"/>
      <c r="FG47" s="401"/>
      <c r="FH47" s="401"/>
      <c r="FI47" s="401"/>
      <c r="FJ47" s="401"/>
      <c r="FK47" s="401"/>
      <c r="FL47" s="401"/>
      <c r="FM47" s="401"/>
      <c r="FN47" s="401"/>
      <c r="FO47" s="401"/>
      <c r="FP47" s="401"/>
      <c r="FQ47" s="401"/>
      <c r="FR47" s="401"/>
      <c r="FS47" s="401"/>
      <c r="FT47" s="401"/>
      <c r="FU47" s="401"/>
      <c r="FV47" s="401"/>
      <c r="FW47" s="401"/>
      <c r="FX47" s="401"/>
      <c r="FY47" s="401"/>
      <c r="FZ47" s="401"/>
      <c r="GA47" s="401"/>
      <c r="GB47" s="401"/>
      <c r="GC47" s="401"/>
      <c r="GD47" s="401"/>
      <c r="GE47" s="401"/>
      <c r="GF47" s="401"/>
      <c r="GG47" s="401"/>
      <c r="GH47" s="401"/>
      <c r="GI47" s="401"/>
      <c r="GJ47" s="401"/>
      <c r="GK47" s="401"/>
      <c r="GL47" s="401"/>
      <c r="GM47" s="401"/>
      <c r="GN47" s="401"/>
      <c r="GO47" s="401"/>
      <c r="GP47" s="401"/>
      <c r="GQ47" s="401"/>
      <c r="GR47" s="401"/>
      <c r="GS47" s="401"/>
      <c r="GT47" s="401"/>
      <c r="GU47" s="401"/>
      <c r="GV47" s="401"/>
      <c r="GW47" s="401"/>
      <c r="GX47" s="401"/>
      <c r="GY47" s="401"/>
      <c r="GZ47" s="401"/>
      <c r="HA47" s="401"/>
      <c r="HB47" s="401"/>
      <c r="HC47" s="401"/>
      <c r="HD47" s="401"/>
      <c r="HE47" s="401"/>
      <c r="HF47" s="401"/>
      <c r="HG47" s="401"/>
      <c r="HH47" s="401"/>
      <c r="HI47" s="401"/>
      <c r="HJ47" s="401"/>
      <c r="HK47" s="401"/>
      <c r="HL47" s="401"/>
      <c r="HM47" s="401"/>
      <c r="HN47" s="401"/>
      <c r="HO47" s="401"/>
      <c r="HP47" s="401"/>
      <c r="HQ47" s="401"/>
      <c r="HR47" s="401"/>
      <c r="HS47" s="401"/>
      <c r="HT47" s="401"/>
      <c r="HU47" s="401"/>
      <c r="HV47" s="401"/>
      <c r="HW47" s="401"/>
      <c r="HX47" s="401"/>
      <c r="HY47" s="401"/>
      <c r="HZ47" s="401"/>
      <c r="IA47" s="401"/>
      <c r="IB47" s="401"/>
      <c r="IC47" s="401"/>
      <c r="ID47" s="401"/>
      <c r="IE47" s="401"/>
      <c r="IF47" s="401"/>
      <c r="IG47" s="401"/>
      <c r="IH47" s="401"/>
      <c r="II47" s="401"/>
      <c r="IJ47" s="401"/>
      <c r="IK47" s="401"/>
      <c r="IL47" s="401"/>
      <c r="IM47" s="401"/>
      <c r="IN47" s="401"/>
      <c r="IO47" s="401"/>
      <c r="IP47" s="401"/>
      <c r="IQ47" s="401"/>
      <c r="IR47" s="401"/>
      <c r="IS47" s="401"/>
      <c r="IT47" s="401"/>
      <c r="IU47" s="401"/>
      <c r="IV47" s="401"/>
    </row>
    <row r="48" spans="1:256">
      <c r="A48" s="401"/>
      <c r="B48" s="401"/>
      <c r="C48" s="401"/>
      <c r="D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R48" s="401"/>
      <c r="CS48" s="401"/>
      <c r="CT48" s="401"/>
      <c r="CU48" s="401"/>
      <c r="CV48" s="401"/>
      <c r="CW48" s="401"/>
      <c r="CX48" s="401"/>
      <c r="CY48" s="401"/>
      <c r="CZ48" s="401"/>
      <c r="DA48" s="401"/>
      <c r="DB48" s="401"/>
      <c r="DC48" s="401"/>
      <c r="DD48" s="401"/>
      <c r="DE48" s="401"/>
      <c r="DF48" s="401"/>
      <c r="DG48" s="401"/>
      <c r="DH48" s="401"/>
      <c r="DI48" s="401"/>
      <c r="DJ48" s="401"/>
      <c r="DK48" s="401"/>
      <c r="DL48" s="401"/>
      <c r="DM48" s="401"/>
      <c r="DN48" s="401"/>
      <c r="DO48" s="401"/>
      <c r="DP48" s="401"/>
      <c r="DQ48" s="401"/>
      <c r="DR48" s="401"/>
      <c r="DS48" s="401"/>
      <c r="DT48" s="401"/>
      <c r="DU48" s="401"/>
      <c r="DV48" s="401"/>
      <c r="DW48" s="401"/>
      <c r="DX48" s="401"/>
      <c r="DY48" s="401"/>
      <c r="DZ48" s="401"/>
      <c r="EA48" s="401"/>
      <c r="EB48" s="401"/>
      <c r="EC48" s="401"/>
      <c r="ED48" s="401"/>
      <c r="EE48" s="401"/>
      <c r="EF48" s="401"/>
      <c r="EG48" s="401"/>
      <c r="EH48" s="401"/>
      <c r="EI48" s="401"/>
      <c r="EJ48" s="401"/>
      <c r="EK48" s="401"/>
      <c r="EL48" s="401"/>
      <c r="EM48" s="401"/>
      <c r="EN48" s="401"/>
      <c r="EO48" s="401"/>
      <c r="EP48" s="401"/>
      <c r="EQ48" s="401"/>
      <c r="ER48" s="401"/>
      <c r="ES48" s="401"/>
      <c r="ET48" s="401"/>
      <c r="EU48" s="401"/>
      <c r="EV48" s="401"/>
      <c r="EW48" s="401"/>
      <c r="EX48" s="401"/>
      <c r="EY48" s="401"/>
      <c r="EZ48" s="401"/>
      <c r="FA48" s="401"/>
      <c r="FB48" s="401"/>
      <c r="FC48" s="401"/>
      <c r="FD48" s="401"/>
      <c r="FE48" s="401"/>
      <c r="FF48" s="401"/>
      <c r="FG48" s="401"/>
      <c r="FH48" s="401"/>
      <c r="FI48" s="401"/>
      <c r="FJ48" s="401"/>
      <c r="FK48" s="401"/>
      <c r="FL48" s="401"/>
      <c r="FM48" s="401"/>
      <c r="FN48" s="401"/>
      <c r="FO48" s="401"/>
      <c r="FP48" s="401"/>
      <c r="FQ48" s="401"/>
      <c r="FR48" s="401"/>
      <c r="FS48" s="401"/>
      <c r="FT48" s="401"/>
      <c r="FU48" s="401"/>
      <c r="FV48" s="401"/>
      <c r="FW48" s="401"/>
      <c r="FX48" s="401"/>
      <c r="FY48" s="401"/>
      <c r="FZ48" s="401"/>
      <c r="GA48" s="401"/>
      <c r="GB48" s="401"/>
      <c r="GC48" s="401"/>
      <c r="GD48" s="401"/>
      <c r="GE48" s="401"/>
      <c r="GF48" s="401"/>
      <c r="GG48" s="401"/>
      <c r="GH48" s="401"/>
      <c r="GI48" s="401"/>
      <c r="GJ48" s="401"/>
      <c r="GK48" s="401"/>
      <c r="GL48" s="401"/>
      <c r="GM48" s="401"/>
      <c r="GN48" s="401"/>
      <c r="GO48" s="401"/>
      <c r="GP48" s="401"/>
      <c r="GQ48" s="401"/>
      <c r="GR48" s="401"/>
      <c r="GS48" s="401"/>
      <c r="GT48" s="401"/>
      <c r="GU48" s="401"/>
      <c r="GV48" s="401"/>
      <c r="GW48" s="401"/>
      <c r="GX48" s="401"/>
      <c r="GY48" s="401"/>
      <c r="GZ48" s="401"/>
      <c r="HA48" s="401"/>
      <c r="HB48" s="401"/>
      <c r="HC48" s="401"/>
      <c r="HD48" s="401"/>
      <c r="HE48" s="401"/>
      <c r="HF48" s="401"/>
      <c r="HG48" s="401"/>
      <c r="HH48" s="401"/>
      <c r="HI48" s="401"/>
      <c r="HJ48" s="401"/>
      <c r="HK48" s="401"/>
      <c r="HL48" s="401"/>
      <c r="HM48" s="401"/>
      <c r="HN48" s="401"/>
      <c r="HO48" s="401"/>
      <c r="HP48" s="401"/>
      <c r="HQ48" s="401"/>
      <c r="HR48" s="401"/>
      <c r="HS48" s="401"/>
      <c r="HT48" s="401"/>
      <c r="HU48" s="401"/>
      <c r="HV48" s="401"/>
      <c r="HW48" s="401"/>
      <c r="HX48" s="401"/>
      <c r="HY48" s="401"/>
      <c r="HZ48" s="401"/>
      <c r="IA48" s="401"/>
      <c r="IB48" s="401"/>
      <c r="IC48" s="401"/>
      <c r="ID48" s="401"/>
      <c r="IE48" s="401"/>
      <c r="IF48" s="401"/>
      <c r="IG48" s="401"/>
      <c r="IH48" s="401"/>
      <c r="II48" s="401"/>
      <c r="IJ48" s="401"/>
      <c r="IK48" s="401"/>
      <c r="IL48" s="401"/>
      <c r="IM48" s="401"/>
      <c r="IN48" s="401"/>
      <c r="IO48" s="401"/>
      <c r="IP48" s="401"/>
      <c r="IQ48" s="401"/>
      <c r="IR48" s="401"/>
      <c r="IS48" s="401"/>
      <c r="IT48" s="401"/>
      <c r="IU48" s="401"/>
      <c r="IV48" s="401"/>
    </row>
    <row r="49" spans="1:256">
      <c r="A49" s="401"/>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1"/>
      <c r="BY49" s="401"/>
      <c r="BZ49" s="401"/>
      <c r="CA49" s="401"/>
      <c r="CB49" s="401"/>
      <c r="CC49" s="401"/>
      <c r="CD49" s="401"/>
      <c r="CE49" s="401"/>
      <c r="CF49" s="401"/>
      <c r="CG49" s="401"/>
      <c r="CH49" s="401"/>
      <c r="CI49" s="401"/>
      <c r="CJ49" s="401"/>
      <c r="CK49" s="401"/>
      <c r="CL49" s="401"/>
      <c r="CM49" s="401"/>
      <c r="CN49" s="401"/>
      <c r="CO49" s="401"/>
      <c r="CP49" s="401"/>
      <c r="CQ49" s="401"/>
      <c r="CR49" s="401"/>
      <c r="CS49" s="401"/>
      <c r="CT49" s="401"/>
      <c r="CU49" s="401"/>
      <c r="CV49" s="401"/>
      <c r="CW49" s="401"/>
      <c r="CX49" s="401"/>
      <c r="CY49" s="401"/>
      <c r="CZ49" s="401"/>
      <c r="DA49" s="401"/>
      <c r="DB49" s="401"/>
      <c r="DC49" s="401"/>
      <c r="DD49" s="401"/>
      <c r="DE49" s="401"/>
      <c r="DF49" s="401"/>
      <c r="DG49" s="401"/>
      <c r="DH49" s="401"/>
      <c r="DI49" s="401"/>
      <c r="DJ49" s="401"/>
      <c r="DK49" s="401"/>
      <c r="DL49" s="401"/>
      <c r="DM49" s="401"/>
      <c r="DN49" s="401"/>
      <c r="DO49" s="401"/>
      <c r="DP49" s="401"/>
      <c r="DQ49" s="401"/>
      <c r="DR49" s="401"/>
      <c r="DS49" s="401"/>
      <c r="DT49" s="401"/>
      <c r="DU49" s="401"/>
      <c r="DV49" s="401"/>
      <c r="DW49" s="401"/>
      <c r="DX49" s="401"/>
      <c r="DY49" s="401"/>
      <c r="DZ49" s="401"/>
      <c r="EA49" s="401"/>
      <c r="EB49" s="401"/>
      <c r="EC49" s="401"/>
      <c r="ED49" s="401"/>
      <c r="EE49" s="401"/>
      <c r="EF49" s="401"/>
      <c r="EG49" s="401"/>
      <c r="EH49" s="401"/>
      <c r="EI49" s="401"/>
      <c r="EJ49" s="401"/>
      <c r="EK49" s="401"/>
      <c r="EL49" s="401"/>
      <c r="EM49" s="401"/>
      <c r="EN49" s="401"/>
      <c r="EO49" s="401"/>
      <c r="EP49" s="401"/>
      <c r="EQ49" s="401"/>
      <c r="ER49" s="401"/>
      <c r="ES49" s="401"/>
      <c r="ET49" s="401"/>
      <c r="EU49" s="401"/>
      <c r="EV49" s="401"/>
      <c r="EW49" s="401"/>
      <c r="EX49" s="401"/>
      <c r="EY49" s="401"/>
      <c r="EZ49" s="401"/>
      <c r="FA49" s="401"/>
      <c r="FB49" s="401"/>
      <c r="FC49" s="401"/>
      <c r="FD49" s="401"/>
      <c r="FE49" s="401"/>
      <c r="FF49" s="401"/>
      <c r="FG49" s="401"/>
      <c r="FH49" s="401"/>
      <c r="FI49" s="401"/>
      <c r="FJ49" s="401"/>
      <c r="FK49" s="401"/>
      <c r="FL49" s="401"/>
      <c r="FM49" s="401"/>
      <c r="FN49" s="401"/>
      <c r="FO49" s="401"/>
      <c r="FP49" s="401"/>
      <c r="FQ49" s="401"/>
      <c r="FR49" s="401"/>
      <c r="FS49" s="401"/>
      <c r="FT49" s="401"/>
      <c r="FU49" s="401"/>
      <c r="FV49" s="401"/>
      <c r="FW49" s="401"/>
      <c r="FX49" s="401"/>
      <c r="FY49" s="401"/>
      <c r="FZ49" s="401"/>
      <c r="GA49" s="401"/>
      <c r="GB49" s="401"/>
      <c r="GC49" s="401"/>
      <c r="GD49" s="401"/>
      <c r="GE49" s="401"/>
      <c r="GF49" s="401"/>
      <c r="GG49" s="401"/>
      <c r="GH49" s="401"/>
      <c r="GI49" s="401"/>
      <c r="GJ49" s="401"/>
      <c r="GK49" s="401"/>
      <c r="GL49" s="401"/>
      <c r="GM49" s="401"/>
      <c r="GN49" s="401"/>
      <c r="GO49" s="401"/>
      <c r="GP49" s="401"/>
      <c r="GQ49" s="401"/>
      <c r="GR49" s="401"/>
      <c r="GS49" s="401"/>
      <c r="GT49" s="401"/>
      <c r="GU49" s="401"/>
      <c r="GV49" s="401"/>
      <c r="GW49" s="401"/>
      <c r="GX49" s="401"/>
      <c r="GY49" s="401"/>
      <c r="GZ49" s="401"/>
      <c r="HA49" s="401"/>
      <c r="HB49" s="401"/>
      <c r="HC49" s="401"/>
      <c r="HD49" s="401"/>
      <c r="HE49" s="401"/>
      <c r="HF49" s="401"/>
      <c r="HG49" s="401"/>
      <c r="HH49" s="401"/>
      <c r="HI49" s="401"/>
      <c r="HJ49" s="401"/>
      <c r="HK49" s="401"/>
      <c r="HL49" s="401"/>
      <c r="HM49" s="401"/>
      <c r="HN49" s="401"/>
      <c r="HO49" s="401"/>
      <c r="HP49" s="401"/>
      <c r="HQ49" s="401"/>
      <c r="HR49" s="401"/>
      <c r="HS49" s="401"/>
      <c r="HT49" s="401"/>
      <c r="HU49" s="401"/>
      <c r="HV49" s="401"/>
      <c r="HW49" s="401"/>
      <c r="HX49" s="401"/>
      <c r="HY49" s="401"/>
      <c r="HZ49" s="401"/>
      <c r="IA49" s="401"/>
      <c r="IB49" s="401"/>
      <c r="IC49" s="401"/>
      <c r="ID49" s="401"/>
      <c r="IE49" s="401"/>
      <c r="IF49" s="401"/>
      <c r="IG49" s="401"/>
      <c r="IH49" s="401"/>
      <c r="II49" s="401"/>
      <c r="IJ49" s="401"/>
      <c r="IK49" s="401"/>
      <c r="IL49" s="401"/>
      <c r="IM49" s="401"/>
      <c r="IN49" s="401"/>
      <c r="IO49" s="401"/>
      <c r="IP49" s="401"/>
      <c r="IQ49" s="401"/>
      <c r="IR49" s="401"/>
      <c r="IS49" s="401"/>
      <c r="IT49" s="401"/>
      <c r="IU49" s="401"/>
      <c r="IV49" s="401"/>
    </row>
    <row r="50" spans="1:256">
      <c r="A50" s="401"/>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c r="CF50" s="401"/>
      <c r="CG50" s="401"/>
      <c r="CH50" s="401"/>
      <c r="CI50" s="401"/>
      <c r="CJ50" s="401"/>
      <c r="CK50" s="401"/>
      <c r="CL50" s="401"/>
      <c r="CM50" s="401"/>
      <c r="CN50" s="401"/>
      <c r="CO50" s="401"/>
      <c r="CP50" s="401"/>
      <c r="CQ50" s="401"/>
      <c r="CR50" s="401"/>
      <c r="CS50" s="401"/>
      <c r="CT50" s="401"/>
      <c r="CU50" s="401"/>
      <c r="CV50" s="401"/>
      <c r="CW50" s="401"/>
      <c r="CX50" s="401"/>
      <c r="CY50" s="401"/>
      <c r="CZ50" s="401"/>
      <c r="DA50" s="401"/>
      <c r="DB50" s="401"/>
      <c r="DC50" s="401"/>
      <c r="DD50" s="401"/>
      <c r="DE50" s="401"/>
      <c r="DF50" s="401"/>
      <c r="DG50" s="401"/>
      <c r="DH50" s="401"/>
      <c r="DI50" s="401"/>
      <c r="DJ50" s="401"/>
      <c r="DK50" s="401"/>
      <c r="DL50" s="401"/>
      <c r="DM50" s="401"/>
      <c r="DN50" s="401"/>
      <c r="DO50" s="401"/>
      <c r="DP50" s="401"/>
      <c r="DQ50" s="401"/>
      <c r="DR50" s="401"/>
      <c r="DS50" s="401"/>
      <c r="DT50" s="401"/>
      <c r="DU50" s="401"/>
      <c r="DV50" s="401"/>
      <c r="DW50" s="401"/>
      <c r="DX50" s="401"/>
      <c r="DY50" s="401"/>
      <c r="DZ50" s="401"/>
      <c r="EA50" s="401"/>
      <c r="EB50" s="401"/>
      <c r="EC50" s="401"/>
      <c r="ED50" s="401"/>
      <c r="EE50" s="401"/>
      <c r="EF50" s="401"/>
      <c r="EG50" s="401"/>
      <c r="EH50" s="401"/>
      <c r="EI50" s="401"/>
      <c r="EJ50" s="401"/>
      <c r="EK50" s="401"/>
      <c r="EL50" s="401"/>
      <c r="EM50" s="401"/>
      <c r="EN50" s="401"/>
      <c r="EO50" s="401"/>
      <c r="EP50" s="401"/>
      <c r="EQ50" s="401"/>
      <c r="ER50" s="401"/>
      <c r="ES50" s="401"/>
      <c r="ET50" s="401"/>
      <c r="EU50" s="401"/>
      <c r="EV50" s="401"/>
      <c r="EW50" s="401"/>
      <c r="EX50" s="401"/>
      <c r="EY50" s="401"/>
      <c r="EZ50" s="401"/>
      <c r="FA50" s="401"/>
      <c r="FB50" s="401"/>
      <c r="FC50" s="401"/>
      <c r="FD50" s="401"/>
      <c r="FE50" s="401"/>
      <c r="FF50" s="401"/>
      <c r="FG50" s="401"/>
      <c r="FH50" s="401"/>
      <c r="FI50" s="401"/>
      <c r="FJ50" s="401"/>
      <c r="FK50" s="401"/>
      <c r="FL50" s="401"/>
      <c r="FM50" s="401"/>
      <c r="FN50" s="401"/>
      <c r="FO50" s="401"/>
      <c r="FP50" s="401"/>
      <c r="FQ50" s="401"/>
      <c r="FR50" s="401"/>
      <c r="FS50" s="401"/>
      <c r="FT50" s="401"/>
      <c r="FU50" s="401"/>
      <c r="FV50" s="401"/>
      <c r="FW50" s="401"/>
      <c r="FX50" s="401"/>
      <c r="FY50" s="401"/>
      <c r="FZ50" s="401"/>
      <c r="GA50" s="401"/>
      <c r="GB50" s="401"/>
      <c r="GC50" s="401"/>
      <c r="GD50" s="401"/>
      <c r="GE50" s="401"/>
      <c r="GF50" s="401"/>
      <c r="GG50" s="401"/>
      <c r="GH50" s="401"/>
      <c r="GI50" s="401"/>
      <c r="GJ50" s="401"/>
      <c r="GK50" s="401"/>
      <c r="GL50" s="401"/>
      <c r="GM50" s="401"/>
      <c r="GN50" s="401"/>
      <c r="GO50" s="401"/>
      <c r="GP50" s="401"/>
      <c r="GQ50" s="401"/>
      <c r="GR50" s="401"/>
      <c r="GS50" s="401"/>
      <c r="GT50" s="401"/>
      <c r="GU50" s="401"/>
      <c r="GV50" s="401"/>
      <c r="GW50" s="401"/>
      <c r="GX50" s="401"/>
      <c r="GY50" s="401"/>
      <c r="GZ50" s="401"/>
      <c r="HA50" s="401"/>
      <c r="HB50" s="401"/>
      <c r="HC50" s="401"/>
      <c r="HD50" s="401"/>
      <c r="HE50" s="401"/>
      <c r="HF50" s="401"/>
      <c r="HG50" s="401"/>
      <c r="HH50" s="401"/>
      <c r="HI50" s="401"/>
      <c r="HJ50" s="401"/>
      <c r="HK50" s="401"/>
      <c r="HL50" s="401"/>
      <c r="HM50" s="401"/>
      <c r="HN50" s="401"/>
      <c r="HO50" s="401"/>
      <c r="HP50" s="401"/>
      <c r="HQ50" s="401"/>
      <c r="HR50" s="401"/>
      <c r="HS50" s="401"/>
      <c r="HT50" s="401"/>
      <c r="HU50" s="401"/>
      <c r="HV50" s="401"/>
      <c r="HW50" s="401"/>
      <c r="HX50" s="401"/>
      <c r="HY50" s="401"/>
      <c r="HZ50" s="401"/>
      <c r="IA50" s="401"/>
      <c r="IB50" s="401"/>
      <c r="IC50" s="401"/>
      <c r="ID50" s="401"/>
      <c r="IE50" s="401"/>
      <c r="IF50" s="401"/>
      <c r="IG50" s="401"/>
      <c r="IH50" s="401"/>
      <c r="II50" s="401"/>
      <c r="IJ50" s="401"/>
      <c r="IK50" s="401"/>
      <c r="IL50" s="401"/>
      <c r="IM50" s="401"/>
      <c r="IN50" s="401"/>
      <c r="IO50" s="401"/>
      <c r="IP50" s="401"/>
      <c r="IQ50" s="401"/>
      <c r="IR50" s="401"/>
      <c r="IS50" s="401"/>
      <c r="IT50" s="401"/>
      <c r="IU50" s="401"/>
      <c r="IV50" s="401"/>
    </row>
    <row r="51" spans="1:256">
      <c r="A51" s="401"/>
      <c r="B51" s="401"/>
      <c r="C51" s="401"/>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c r="DJ51" s="401"/>
      <c r="DK51" s="401"/>
      <c r="DL51" s="401"/>
      <c r="DM51" s="401"/>
      <c r="DN51" s="401"/>
      <c r="DO51" s="401"/>
      <c r="DP51" s="401"/>
      <c r="DQ51" s="401"/>
      <c r="DR51" s="401"/>
      <c r="DS51" s="401"/>
      <c r="DT51" s="401"/>
      <c r="DU51" s="401"/>
      <c r="DV51" s="401"/>
      <c r="DW51" s="401"/>
      <c r="DX51" s="401"/>
      <c r="DY51" s="401"/>
      <c r="DZ51" s="401"/>
      <c r="EA51" s="401"/>
      <c r="EB51" s="401"/>
      <c r="EC51" s="401"/>
      <c r="ED51" s="401"/>
      <c r="EE51" s="401"/>
      <c r="EF51" s="401"/>
      <c r="EG51" s="401"/>
      <c r="EH51" s="401"/>
      <c r="EI51" s="401"/>
      <c r="EJ51" s="401"/>
      <c r="EK51" s="401"/>
      <c r="EL51" s="401"/>
      <c r="EM51" s="401"/>
      <c r="EN51" s="401"/>
      <c r="EO51" s="401"/>
      <c r="EP51" s="401"/>
      <c r="EQ51" s="401"/>
      <c r="ER51" s="401"/>
      <c r="ES51" s="401"/>
      <c r="ET51" s="401"/>
      <c r="EU51" s="401"/>
      <c r="EV51" s="401"/>
      <c r="EW51" s="401"/>
      <c r="EX51" s="401"/>
      <c r="EY51" s="401"/>
      <c r="EZ51" s="401"/>
      <c r="FA51" s="401"/>
      <c r="FB51" s="401"/>
      <c r="FC51" s="401"/>
      <c r="FD51" s="401"/>
      <c r="FE51" s="401"/>
      <c r="FF51" s="401"/>
      <c r="FG51" s="401"/>
      <c r="FH51" s="401"/>
      <c r="FI51" s="401"/>
      <c r="FJ51" s="401"/>
      <c r="FK51" s="401"/>
      <c r="FL51" s="401"/>
      <c r="FM51" s="401"/>
      <c r="FN51" s="401"/>
      <c r="FO51" s="401"/>
      <c r="FP51" s="401"/>
      <c r="FQ51" s="401"/>
      <c r="FR51" s="401"/>
      <c r="FS51" s="401"/>
      <c r="FT51" s="401"/>
      <c r="FU51" s="401"/>
      <c r="FV51" s="401"/>
      <c r="FW51" s="401"/>
      <c r="FX51" s="401"/>
      <c r="FY51" s="401"/>
      <c r="FZ51" s="401"/>
      <c r="GA51" s="401"/>
      <c r="GB51" s="401"/>
      <c r="GC51" s="401"/>
      <c r="GD51" s="401"/>
      <c r="GE51" s="401"/>
      <c r="GF51" s="401"/>
      <c r="GG51" s="401"/>
      <c r="GH51" s="401"/>
      <c r="GI51" s="401"/>
      <c r="GJ51" s="401"/>
      <c r="GK51" s="401"/>
      <c r="GL51" s="401"/>
      <c r="GM51" s="401"/>
      <c r="GN51" s="401"/>
      <c r="GO51" s="401"/>
      <c r="GP51" s="401"/>
      <c r="GQ51" s="401"/>
      <c r="GR51" s="401"/>
      <c r="GS51" s="401"/>
      <c r="GT51" s="401"/>
      <c r="GU51" s="401"/>
      <c r="GV51" s="401"/>
      <c r="GW51" s="401"/>
      <c r="GX51" s="401"/>
      <c r="GY51" s="401"/>
      <c r="GZ51" s="401"/>
      <c r="HA51" s="401"/>
      <c r="HB51" s="401"/>
      <c r="HC51" s="401"/>
      <c r="HD51" s="401"/>
      <c r="HE51" s="401"/>
      <c r="HF51" s="401"/>
      <c r="HG51" s="401"/>
      <c r="HH51" s="401"/>
      <c r="HI51" s="401"/>
      <c r="HJ51" s="401"/>
      <c r="HK51" s="401"/>
      <c r="HL51" s="401"/>
      <c r="HM51" s="401"/>
      <c r="HN51" s="401"/>
      <c r="HO51" s="401"/>
      <c r="HP51" s="401"/>
      <c r="HQ51" s="401"/>
      <c r="HR51" s="401"/>
      <c r="HS51" s="401"/>
      <c r="HT51" s="401"/>
      <c r="HU51" s="401"/>
      <c r="HV51" s="401"/>
      <c r="HW51" s="401"/>
      <c r="HX51" s="401"/>
      <c r="HY51" s="401"/>
      <c r="HZ51" s="401"/>
      <c r="IA51" s="401"/>
      <c r="IB51" s="401"/>
      <c r="IC51" s="401"/>
      <c r="ID51" s="401"/>
      <c r="IE51" s="401"/>
      <c r="IF51" s="401"/>
      <c r="IG51" s="401"/>
      <c r="IH51" s="401"/>
      <c r="II51" s="401"/>
      <c r="IJ51" s="401"/>
      <c r="IK51" s="401"/>
      <c r="IL51" s="401"/>
      <c r="IM51" s="401"/>
      <c r="IN51" s="401"/>
      <c r="IO51" s="401"/>
      <c r="IP51" s="401"/>
      <c r="IQ51" s="401"/>
      <c r="IR51" s="401"/>
      <c r="IS51" s="401"/>
      <c r="IT51" s="401"/>
      <c r="IU51" s="401"/>
      <c r="IV51" s="401"/>
    </row>
    <row r="52" spans="1:256">
      <c r="A52" s="401"/>
      <c r="B52" s="401"/>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c r="DJ52" s="401"/>
      <c r="DK52" s="401"/>
      <c r="DL52" s="401"/>
      <c r="DM52" s="401"/>
      <c r="DN52" s="401"/>
      <c r="DO52" s="401"/>
      <c r="DP52" s="401"/>
      <c r="DQ52" s="401"/>
      <c r="DR52" s="401"/>
      <c r="DS52" s="401"/>
      <c r="DT52" s="401"/>
      <c r="DU52" s="401"/>
      <c r="DV52" s="401"/>
      <c r="DW52" s="401"/>
      <c r="DX52" s="401"/>
      <c r="DY52" s="401"/>
      <c r="DZ52" s="401"/>
      <c r="EA52" s="401"/>
      <c r="EB52" s="401"/>
      <c r="EC52" s="401"/>
      <c r="ED52" s="401"/>
      <c r="EE52" s="401"/>
      <c r="EF52" s="401"/>
      <c r="EG52" s="401"/>
      <c r="EH52" s="401"/>
      <c r="EI52" s="401"/>
      <c r="EJ52" s="401"/>
      <c r="EK52" s="401"/>
      <c r="EL52" s="401"/>
      <c r="EM52" s="401"/>
      <c r="EN52" s="401"/>
      <c r="EO52" s="401"/>
      <c r="EP52" s="401"/>
      <c r="EQ52" s="401"/>
      <c r="ER52" s="401"/>
      <c r="ES52" s="401"/>
      <c r="ET52" s="401"/>
      <c r="EU52" s="401"/>
      <c r="EV52" s="401"/>
      <c r="EW52" s="401"/>
      <c r="EX52" s="401"/>
      <c r="EY52" s="401"/>
      <c r="EZ52" s="401"/>
      <c r="FA52" s="401"/>
      <c r="FB52" s="401"/>
      <c r="FC52" s="401"/>
      <c r="FD52" s="401"/>
      <c r="FE52" s="401"/>
      <c r="FF52" s="401"/>
      <c r="FG52" s="401"/>
      <c r="FH52" s="401"/>
      <c r="FI52" s="401"/>
      <c r="FJ52" s="401"/>
      <c r="FK52" s="401"/>
      <c r="FL52" s="401"/>
      <c r="FM52" s="401"/>
      <c r="FN52" s="401"/>
      <c r="FO52" s="401"/>
      <c r="FP52" s="401"/>
      <c r="FQ52" s="401"/>
      <c r="FR52" s="401"/>
      <c r="FS52" s="401"/>
      <c r="FT52" s="401"/>
      <c r="FU52" s="401"/>
      <c r="FV52" s="401"/>
      <c r="FW52" s="401"/>
      <c r="FX52" s="401"/>
      <c r="FY52" s="401"/>
      <c r="FZ52" s="401"/>
      <c r="GA52" s="401"/>
      <c r="GB52" s="401"/>
      <c r="GC52" s="401"/>
      <c r="GD52" s="401"/>
      <c r="GE52" s="401"/>
      <c r="GF52" s="401"/>
      <c r="GG52" s="401"/>
      <c r="GH52" s="401"/>
      <c r="GI52" s="401"/>
      <c r="GJ52" s="401"/>
      <c r="GK52" s="401"/>
      <c r="GL52" s="401"/>
      <c r="GM52" s="401"/>
      <c r="GN52" s="401"/>
      <c r="GO52" s="401"/>
      <c r="GP52" s="401"/>
      <c r="GQ52" s="401"/>
      <c r="GR52" s="401"/>
      <c r="GS52" s="401"/>
      <c r="GT52" s="401"/>
      <c r="GU52" s="401"/>
      <c r="GV52" s="401"/>
      <c r="GW52" s="401"/>
      <c r="GX52" s="401"/>
      <c r="GY52" s="401"/>
      <c r="GZ52" s="401"/>
      <c r="HA52" s="401"/>
      <c r="HB52" s="401"/>
      <c r="HC52" s="401"/>
      <c r="HD52" s="401"/>
      <c r="HE52" s="401"/>
      <c r="HF52" s="401"/>
      <c r="HG52" s="401"/>
      <c r="HH52" s="401"/>
      <c r="HI52" s="401"/>
      <c r="HJ52" s="401"/>
      <c r="HK52" s="401"/>
      <c r="HL52" s="401"/>
      <c r="HM52" s="401"/>
      <c r="HN52" s="401"/>
      <c r="HO52" s="401"/>
      <c r="HP52" s="401"/>
      <c r="HQ52" s="401"/>
      <c r="HR52" s="401"/>
      <c r="HS52" s="401"/>
      <c r="HT52" s="401"/>
      <c r="HU52" s="401"/>
      <c r="HV52" s="401"/>
      <c r="HW52" s="401"/>
      <c r="HX52" s="401"/>
      <c r="HY52" s="401"/>
      <c r="HZ52" s="401"/>
      <c r="IA52" s="401"/>
      <c r="IB52" s="401"/>
      <c r="IC52" s="401"/>
      <c r="ID52" s="401"/>
      <c r="IE52" s="401"/>
      <c r="IF52" s="401"/>
      <c r="IG52" s="401"/>
      <c r="IH52" s="401"/>
      <c r="II52" s="401"/>
      <c r="IJ52" s="401"/>
      <c r="IK52" s="401"/>
      <c r="IL52" s="401"/>
      <c r="IM52" s="401"/>
      <c r="IN52" s="401"/>
      <c r="IO52" s="401"/>
      <c r="IP52" s="401"/>
      <c r="IQ52" s="401"/>
      <c r="IR52" s="401"/>
      <c r="IS52" s="401"/>
      <c r="IT52" s="401"/>
      <c r="IU52" s="401"/>
      <c r="IV52" s="401"/>
    </row>
    <row r="53" spans="1:256">
      <c r="A53" s="401"/>
      <c r="B53" s="401"/>
      <c r="C53" s="401"/>
      <c r="D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c r="DJ53" s="401"/>
      <c r="DK53" s="401"/>
      <c r="DL53" s="401"/>
      <c r="DM53" s="401"/>
      <c r="DN53" s="401"/>
      <c r="DO53" s="401"/>
      <c r="DP53" s="401"/>
      <c r="DQ53" s="401"/>
      <c r="DR53" s="401"/>
      <c r="DS53" s="401"/>
      <c r="DT53" s="401"/>
      <c r="DU53" s="401"/>
      <c r="DV53" s="401"/>
      <c r="DW53" s="401"/>
      <c r="DX53" s="401"/>
      <c r="DY53" s="401"/>
      <c r="DZ53" s="401"/>
      <c r="EA53" s="401"/>
      <c r="EB53" s="401"/>
      <c r="EC53" s="401"/>
      <c r="ED53" s="401"/>
      <c r="EE53" s="401"/>
      <c r="EF53" s="401"/>
      <c r="EG53" s="401"/>
      <c r="EH53" s="401"/>
      <c r="EI53" s="401"/>
      <c r="EJ53" s="401"/>
      <c r="EK53" s="401"/>
      <c r="EL53" s="401"/>
      <c r="EM53" s="401"/>
      <c r="EN53" s="401"/>
      <c r="EO53" s="401"/>
      <c r="EP53" s="401"/>
      <c r="EQ53" s="401"/>
      <c r="ER53" s="401"/>
      <c r="ES53" s="401"/>
      <c r="ET53" s="401"/>
      <c r="EU53" s="401"/>
      <c r="EV53" s="401"/>
      <c r="EW53" s="401"/>
      <c r="EX53" s="401"/>
      <c r="EY53" s="401"/>
      <c r="EZ53" s="401"/>
      <c r="FA53" s="401"/>
      <c r="FB53" s="401"/>
      <c r="FC53" s="401"/>
      <c r="FD53" s="401"/>
      <c r="FE53" s="401"/>
      <c r="FF53" s="401"/>
      <c r="FG53" s="401"/>
      <c r="FH53" s="401"/>
      <c r="FI53" s="401"/>
      <c r="FJ53" s="401"/>
      <c r="FK53" s="401"/>
      <c r="FL53" s="401"/>
      <c r="FM53" s="401"/>
      <c r="FN53" s="401"/>
      <c r="FO53" s="401"/>
      <c r="FP53" s="401"/>
      <c r="FQ53" s="401"/>
      <c r="FR53" s="401"/>
      <c r="FS53" s="401"/>
      <c r="FT53" s="401"/>
      <c r="FU53" s="401"/>
      <c r="FV53" s="401"/>
      <c r="FW53" s="401"/>
      <c r="FX53" s="401"/>
      <c r="FY53" s="401"/>
      <c r="FZ53" s="401"/>
      <c r="GA53" s="401"/>
      <c r="GB53" s="401"/>
      <c r="GC53" s="401"/>
      <c r="GD53" s="401"/>
      <c r="GE53" s="401"/>
      <c r="GF53" s="401"/>
      <c r="GG53" s="401"/>
      <c r="GH53" s="401"/>
      <c r="GI53" s="401"/>
      <c r="GJ53" s="401"/>
      <c r="GK53" s="401"/>
      <c r="GL53" s="401"/>
      <c r="GM53" s="401"/>
      <c r="GN53" s="401"/>
      <c r="GO53" s="401"/>
      <c r="GP53" s="401"/>
      <c r="GQ53" s="401"/>
      <c r="GR53" s="401"/>
      <c r="GS53" s="401"/>
      <c r="GT53" s="401"/>
      <c r="GU53" s="401"/>
      <c r="GV53" s="401"/>
      <c r="GW53" s="401"/>
      <c r="GX53" s="401"/>
      <c r="GY53" s="401"/>
      <c r="GZ53" s="401"/>
      <c r="HA53" s="401"/>
      <c r="HB53" s="401"/>
      <c r="HC53" s="401"/>
      <c r="HD53" s="401"/>
      <c r="HE53" s="401"/>
      <c r="HF53" s="401"/>
      <c r="HG53" s="401"/>
      <c r="HH53" s="401"/>
      <c r="HI53" s="401"/>
      <c r="HJ53" s="401"/>
      <c r="HK53" s="401"/>
      <c r="HL53" s="401"/>
      <c r="HM53" s="401"/>
      <c r="HN53" s="401"/>
      <c r="HO53" s="401"/>
      <c r="HP53" s="401"/>
      <c r="HQ53" s="401"/>
      <c r="HR53" s="401"/>
      <c r="HS53" s="401"/>
      <c r="HT53" s="401"/>
      <c r="HU53" s="401"/>
      <c r="HV53" s="401"/>
      <c r="HW53" s="401"/>
      <c r="HX53" s="401"/>
      <c r="HY53" s="401"/>
      <c r="HZ53" s="401"/>
      <c r="IA53" s="401"/>
      <c r="IB53" s="401"/>
      <c r="IC53" s="401"/>
      <c r="ID53" s="401"/>
      <c r="IE53" s="401"/>
      <c r="IF53" s="401"/>
      <c r="IG53" s="401"/>
      <c r="IH53" s="401"/>
      <c r="II53" s="401"/>
      <c r="IJ53" s="401"/>
      <c r="IK53" s="401"/>
      <c r="IL53" s="401"/>
      <c r="IM53" s="401"/>
      <c r="IN53" s="401"/>
      <c r="IO53" s="401"/>
      <c r="IP53" s="401"/>
      <c r="IQ53" s="401"/>
      <c r="IR53" s="401"/>
      <c r="IS53" s="401"/>
      <c r="IT53" s="401"/>
      <c r="IU53" s="401"/>
      <c r="IV53" s="401"/>
    </row>
    <row r="54" spans="1:256">
      <c r="A54" s="401"/>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401"/>
      <c r="CC54" s="401"/>
      <c r="CD54" s="401"/>
      <c r="CE54" s="401"/>
      <c r="CF54" s="401"/>
      <c r="CG54" s="401"/>
      <c r="CH54" s="401"/>
      <c r="CI54" s="401"/>
      <c r="CJ54" s="401"/>
      <c r="CK54" s="401"/>
      <c r="CL54" s="401"/>
      <c r="CM54" s="401"/>
      <c r="CN54" s="401"/>
      <c r="CO54" s="401"/>
      <c r="CP54" s="401"/>
      <c r="CQ54" s="401"/>
      <c r="CR54" s="401"/>
      <c r="CS54" s="401"/>
      <c r="CT54" s="401"/>
      <c r="CU54" s="401"/>
      <c r="CV54" s="401"/>
      <c r="CW54" s="401"/>
      <c r="CX54" s="401"/>
      <c r="CY54" s="401"/>
      <c r="CZ54" s="401"/>
      <c r="DA54" s="401"/>
      <c r="DB54" s="401"/>
      <c r="DC54" s="401"/>
      <c r="DD54" s="401"/>
      <c r="DE54" s="401"/>
      <c r="DF54" s="401"/>
      <c r="DG54" s="401"/>
      <c r="DH54" s="401"/>
      <c r="DI54" s="401"/>
      <c r="DJ54" s="401"/>
      <c r="DK54" s="401"/>
      <c r="DL54" s="401"/>
      <c r="DM54" s="401"/>
      <c r="DN54" s="401"/>
      <c r="DO54" s="401"/>
      <c r="DP54" s="401"/>
      <c r="DQ54" s="401"/>
      <c r="DR54" s="401"/>
      <c r="DS54" s="401"/>
      <c r="DT54" s="401"/>
      <c r="DU54" s="401"/>
      <c r="DV54" s="401"/>
      <c r="DW54" s="401"/>
      <c r="DX54" s="401"/>
      <c r="DY54" s="401"/>
      <c r="DZ54" s="401"/>
      <c r="EA54" s="401"/>
      <c r="EB54" s="401"/>
      <c r="EC54" s="401"/>
      <c r="ED54" s="401"/>
      <c r="EE54" s="401"/>
      <c r="EF54" s="401"/>
      <c r="EG54" s="401"/>
      <c r="EH54" s="401"/>
      <c r="EI54" s="401"/>
      <c r="EJ54" s="401"/>
      <c r="EK54" s="401"/>
      <c r="EL54" s="401"/>
      <c r="EM54" s="401"/>
      <c r="EN54" s="401"/>
      <c r="EO54" s="401"/>
      <c r="EP54" s="401"/>
      <c r="EQ54" s="401"/>
      <c r="ER54" s="401"/>
      <c r="ES54" s="401"/>
      <c r="ET54" s="401"/>
      <c r="EU54" s="401"/>
      <c r="EV54" s="401"/>
      <c r="EW54" s="401"/>
      <c r="EX54" s="401"/>
      <c r="EY54" s="401"/>
      <c r="EZ54" s="401"/>
      <c r="FA54" s="401"/>
      <c r="FB54" s="401"/>
      <c r="FC54" s="401"/>
      <c r="FD54" s="401"/>
      <c r="FE54" s="401"/>
      <c r="FF54" s="401"/>
      <c r="FG54" s="401"/>
      <c r="FH54" s="401"/>
      <c r="FI54" s="401"/>
      <c r="FJ54" s="401"/>
      <c r="FK54" s="401"/>
      <c r="FL54" s="401"/>
      <c r="FM54" s="401"/>
      <c r="FN54" s="401"/>
      <c r="FO54" s="401"/>
      <c r="FP54" s="401"/>
      <c r="FQ54" s="401"/>
      <c r="FR54" s="401"/>
      <c r="FS54" s="401"/>
      <c r="FT54" s="401"/>
      <c r="FU54" s="401"/>
      <c r="FV54" s="401"/>
      <c r="FW54" s="401"/>
      <c r="FX54" s="401"/>
      <c r="FY54" s="401"/>
      <c r="FZ54" s="401"/>
      <c r="GA54" s="401"/>
      <c r="GB54" s="401"/>
      <c r="GC54" s="401"/>
      <c r="GD54" s="401"/>
      <c r="GE54" s="401"/>
      <c r="GF54" s="401"/>
      <c r="GG54" s="401"/>
      <c r="GH54" s="401"/>
      <c r="GI54" s="401"/>
      <c r="GJ54" s="401"/>
      <c r="GK54" s="401"/>
      <c r="GL54" s="401"/>
      <c r="GM54" s="401"/>
      <c r="GN54" s="401"/>
      <c r="GO54" s="401"/>
      <c r="GP54" s="401"/>
      <c r="GQ54" s="401"/>
      <c r="GR54" s="401"/>
      <c r="GS54" s="401"/>
      <c r="GT54" s="401"/>
      <c r="GU54" s="401"/>
      <c r="GV54" s="401"/>
      <c r="GW54" s="401"/>
      <c r="GX54" s="401"/>
      <c r="GY54" s="401"/>
      <c r="GZ54" s="401"/>
      <c r="HA54" s="401"/>
      <c r="HB54" s="401"/>
      <c r="HC54" s="401"/>
      <c r="HD54" s="401"/>
      <c r="HE54" s="401"/>
      <c r="HF54" s="401"/>
      <c r="HG54" s="401"/>
      <c r="HH54" s="401"/>
      <c r="HI54" s="401"/>
      <c r="HJ54" s="401"/>
      <c r="HK54" s="401"/>
      <c r="HL54" s="401"/>
      <c r="HM54" s="401"/>
      <c r="HN54" s="401"/>
      <c r="HO54" s="401"/>
      <c r="HP54" s="401"/>
      <c r="HQ54" s="401"/>
      <c r="HR54" s="401"/>
      <c r="HS54" s="401"/>
      <c r="HT54" s="401"/>
      <c r="HU54" s="401"/>
      <c r="HV54" s="401"/>
      <c r="HW54" s="401"/>
      <c r="HX54" s="401"/>
      <c r="HY54" s="401"/>
      <c r="HZ54" s="401"/>
      <c r="IA54" s="401"/>
      <c r="IB54" s="401"/>
      <c r="IC54" s="401"/>
      <c r="ID54" s="401"/>
      <c r="IE54" s="401"/>
      <c r="IF54" s="401"/>
      <c r="IG54" s="401"/>
      <c r="IH54" s="401"/>
      <c r="II54" s="401"/>
      <c r="IJ54" s="401"/>
      <c r="IK54" s="401"/>
      <c r="IL54" s="401"/>
      <c r="IM54" s="401"/>
      <c r="IN54" s="401"/>
      <c r="IO54" s="401"/>
      <c r="IP54" s="401"/>
      <c r="IQ54" s="401"/>
      <c r="IR54" s="401"/>
      <c r="IS54" s="401"/>
      <c r="IT54" s="401"/>
      <c r="IU54" s="401"/>
      <c r="IV54" s="401"/>
    </row>
    <row r="55" spans="1:256">
      <c r="A55" s="401"/>
      <c r="B55" s="401"/>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1"/>
      <c r="BD55" s="401"/>
      <c r="BE55" s="401"/>
      <c r="BF55" s="401"/>
      <c r="BG55" s="401"/>
      <c r="BH55" s="401"/>
      <c r="BI55" s="401"/>
      <c r="BJ55" s="401"/>
      <c r="BK55" s="401"/>
      <c r="BL55" s="401"/>
      <c r="BM55" s="401"/>
      <c r="BN55" s="401"/>
      <c r="BO55" s="401"/>
      <c r="BP55" s="401"/>
      <c r="BQ55" s="401"/>
      <c r="BR55" s="401"/>
      <c r="BS55" s="401"/>
      <c r="BT55" s="401"/>
      <c r="BU55" s="401"/>
      <c r="BV55" s="401"/>
      <c r="BW55" s="401"/>
      <c r="BX55" s="401"/>
      <c r="BY55" s="401"/>
      <c r="BZ55" s="401"/>
      <c r="CA55" s="401"/>
      <c r="CB55" s="401"/>
      <c r="CC55" s="401"/>
      <c r="CD55" s="401"/>
      <c r="CE55" s="401"/>
      <c r="CF55" s="401"/>
      <c r="CG55" s="401"/>
      <c r="CH55" s="401"/>
      <c r="CI55" s="401"/>
      <c r="CJ55" s="401"/>
      <c r="CK55" s="401"/>
      <c r="CL55" s="401"/>
      <c r="CM55" s="401"/>
      <c r="CN55" s="401"/>
      <c r="CO55" s="401"/>
      <c r="CP55" s="401"/>
      <c r="CQ55" s="401"/>
      <c r="CR55" s="401"/>
      <c r="CS55" s="401"/>
      <c r="CT55" s="401"/>
      <c r="CU55" s="401"/>
      <c r="CV55" s="401"/>
      <c r="CW55" s="401"/>
      <c r="CX55" s="401"/>
      <c r="CY55" s="401"/>
      <c r="CZ55" s="401"/>
      <c r="DA55" s="401"/>
      <c r="DB55" s="401"/>
      <c r="DC55" s="401"/>
      <c r="DD55" s="401"/>
      <c r="DE55" s="401"/>
      <c r="DF55" s="401"/>
      <c r="DG55" s="401"/>
      <c r="DH55" s="401"/>
      <c r="DI55" s="401"/>
      <c r="DJ55" s="401"/>
      <c r="DK55" s="401"/>
      <c r="DL55" s="401"/>
      <c r="DM55" s="401"/>
      <c r="DN55" s="401"/>
      <c r="DO55" s="401"/>
      <c r="DP55" s="401"/>
      <c r="DQ55" s="401"/>
      <c r="DR55" s="401"/>
      <c r="DS55" s="401"/>
      <c r="DT55" s="401"/>
      <c r="DU55" s="401"/>
      <c r="DV55" s="401"/>
      <c r="DW55" s="401"/>
      <c r="DX55" s="401"/>
      <c r="DY55" s="401"/>
      <c r="DZ55" s="401"/>
      <c r="EA55" s="401"/>
      <c r="EB55" s="401"/>
      <c r="EC55" s="401"/>
      <c r="ED55" s="401"/>
      <c r="EE55" s="401"/>
      <c r="EF55" s="401"/>
      <c r="EG55" s="401"/>
      <c r="EH55" s="401"/>
      <c r="EI55" s="401"/>
      <c r="EJ55" s="401"/>
      <c r="EK55" s="401"/>
      <c r="EL55" s="401"/>
      <c r="EM55" s="401"/>
      <c r="EN55" s="401"/>
      <c r="EO55" s="401"/>
      <c r="EP55" s="401"/>
      <c r="EQ55" s="401"/>
      <c r="ER55" s="401"/>
      <c r="ES55" s="401"/>
      <c r="ET55" s="401"/>
      <c r="EU55" s="401"/>
      <c r="EV55" s="401"/>
      <c r="EW55" s="401"/>
      <c r="EX55" s="401"/>
      <c r="EY55" s="401"/>
      <c r="EZ55" s="401"/>
      <c r="FA55" s="401"/>
      <c r="FB55" s="401"/>
      <c r="FC55" s="401"/>
      <c r="FD55" s="401"/>
      <c r="FE55" s="401"/>
      <c r="FF55" s="401"/>
      <c r="FG55" s="401"/>
      <c r="FH55" s="401"/>
      <c r="FI55" s="401"/>
      <c r="FJ55" s="401"/>
      <c r="FK55" s="401"/>
      <c r="FL55" s="401"/>
      <c r="FM55" s="401"/>
      <c r="FN55" s="401"/>
      <c r="FO55" s="401"/>
      <c r="FP55" s="401"/>
      <c r="FQ55" s="401"/>
      <c r="FR55" s="401"/>
      <c r="FS55" s="401"/>
      <c r="FT55" s="401"/>
      <c r="FU55" s="401"/>
      <c r="FV55" s="401"/>
      <c r="FW55" s="401"/>
      <c r="FX55" s="401"/>
      <c r="FY55" s="401"/>
      <c r="FZ55" s="401"/>
      <c r="GA55" s="401"/>
      <c r="GB55" s="401"/>
      <c r="GC55" s="401"/>
      <c r="GD55" s="401"/>
      <c r="GE55" s="401"/>
      <c r="GF55" s="401"/>
      <c r="GG55" s="401"/>
      <c r="GH55" s="401"/>
      <c r="GI55" s="401"/>
      <c r="GJ55" s="401"/>
      <c r="GK55" s="401"/>
      <c r="GL55" s="401"/>
      <c r="GM55" s="401"/>
      <c r="GN55" s="401"/>
      <c r="GO55" s="401"/>
      <c r="GP55" s="401"/>
      <c r="GQ55" s="401"/>
      <c r="GR55" s="401"/>
      <c r="GS55" s="401"/>
      <c r="GT55" s="401"/>
      <c r="GU55" s="401"/>
      <c r="GV55" s="401"/>
      <c r="GW55" s="401"/>
      <c r="GX55" s="401"/>
      <c r="GY55" s="401"/>
      <c r="GZ55" s="401"/>
      <c r="HA55" s="401"/>
      <c r="HB55" s="401"/>
      <c r="HC55" s="401"/>
      <c r="HD55" s="401"/>
      <c r="HE55" s="401"/>
      <c r="HF55" s="401"/>
      <c r="HG55" s="401"/>
      <c r="HH55" s="401"/>
      <c r="HI55" s="401"/>
      <c r="HJ55" s="401"/>
      <c r="HK55" s="401"/>
      <c r="HL55" s="401"/>
      <c r="HM55" s="401"/>
      <c r="HN55" s="401"/>
      <c r="HO55" s="401"/>
      <c r="HP55" s="401"/>
      <c r="HQ55" s="401"/>
      <c r="HR55" s="401"/>
      <c r="HS55" s="401"/>
      <c r="HT55" s="401"/>
      <c r="HU55" s="401"/>
      <c r="HV55" s="401"/>
      <c r="HW55" s="401"/>
      <c r="HX55" s="401"/>
      <c r="HY55" s="401"/>
      <c r="HZ55" s="401"/>
      <c r="IA55" s="401"/>
      <c r="IB55" s="401"/>
      <c r="IC55" s="401"/>
      <c r="ID55" s="401"/>
      <c r="IE55" s="401"/>
      <c r="IF55" s="401"/>
      <c r="IG55" s="401"/>
      <c r="IH55" s="401"/>
      <c r="II55" s="401"/>
      <c r="IJ55" s="401"/>
      <c r="IK55" s="401"/>
      <c r="IL55" s="401"/>
      <c r="IM55" s="401"/>
      <c r="IN55" s="401"/>
      <c r="IO55" s="401"/>
      <c r="IP55" s="401"/>
      <c r="IQ55" s="401"/>
      <c r="IR55" s="401"/>
      <c r="IS55" s="401"/>
      <c r="IT55" s="401"/>
      <c r="IU55" s="401"/>
      <c r="IV55" s="401"/>
    </row>
    <row r="56" spans="1:256">
      <c r="A56" s="401"/>
      <c r="B56" s="401"/>
      <c r="C56" s="401"/>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1"/>
      <c r="AN56" s="401"/>
      <c r="AO56" s="401"/>
      <c r="AP56" s="401"/>
      <c r="AQ56" s="401"/>
      <c r="AR56" s="401"/>
      <c r="AS56" s="401"/>
      <c r="AT56" s="401"/>
      <c r="AU56" s="401"/>
      <c r="AV56" s="401"/>
      <c r="AW56" s="401"/>
      <c r="AX56" s="401"/>
      <c r="AY56" s="401"/>
      <c r="AZ56" s="401"/>
      <c r="BA56" s="401"/>
      <c r="BB56" s="401"/>
      <c r="BC56" s="401"/>
      <c r="BD56" s="401"/>
      <c r="BE56" s="401"/>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c r="CF56" s="401"/>
      <c r="CG56" s="401"/>
      <c r="CH56" s="401"/>
      <c r="CI56" s="401"/>
      <c r="CJ56" s="401"/>
      <c r="CK56" s="401"/>
      <c r="CL56" s="401"/>
      <c r="CM56" s="401"/>
      <c r="CN56" s="401"/>
      <c r="CO56" s="401"/>
      <c r="CP56" s="401"/>
      <c r="CQ56" s="401"/>
      <c r="CR56" s="401"/>
      <c r="CS56" s="401"/>
      <c r="CT56" s="401"/>
      <c r="CU56" s="401"/>
      <c r="CV56" s="401"/>
      <c r="CW56" s="401"/>
      <c r="CX56" s="401"/>
      <c r="CY56" s="401"/>
      <c r="CZ56" s="401"/>
      <c r="DA56" s="401"/>
      <c r="DB56" s="401"/>
      <c r="DC56" s="401"/>
      <c r="DD56" s="401"/>
      <c r="DE56" s="401"/>
      <c r="DF56" s="401"/>
      <c r="DG56" s="401"/>
      <c r="DH56" s="401"/>
      <c r="DI56" s="401"/>
      <c r="DJ56" s="401"/>
      <c r="DK56" s="401"/>
      <c r="DL56" s="401"/>
      <c r="DM56" s="401"/>
      <c r="DN56" s="401"/>
      <c r="DO56" s="401"/>
      <c r="DP56" s="401"/>
      <c r="DQ56" s="401"/>
      <c r="DR56" s="401"/>
      <c r="DS56" s="401"/>
      <c r="DT56" s="401"/>
      <c r="DU56" s="401"/>
      <c r="DV56" s="401"/>
      <c r="DW56" s="401"/>
      <c r="DX56" s="401"/>
      <c r="DY56" s="401"/>
      <c r="DZ56" s="401"/>
      <c r="EA56" s="401"/>
      <c r="EB56" s="401"/>
      <c r="EC56" s="401"/>
      <c r="ED56" s="401"/>
      <c r="EE56" s="401"/>
      <c r="EF56" s="401"/>
      <c r="EG56" s="401"/>
      <c r="EH56" s="401"/>
      <c r="EI56" s="401"/>
      <c r="EJ56" s="401"/>
      <c r="EK56" s="401"/>
      <c r="EL56" s="401"/>
      <c r="EM56" s="401"/>
      <c r="EN56" s="401"/>
      <c r="EO56" s="401"/>
      <c r="EP56" s="401"/>
      <c r="EQ56" s="401"/>
      <c r="ER56" s="401"/>
      <c r="ES56" s="401"/>
      <c r="ET56" s="401"/>
      <c r="EU56" s="401"/>
      <c r="EV56" s="401"/>
      <c r="EW56" s="401"/>
      <c r="EX56" s="401"/>
      <c r="EY56" s="401"/>
      <c r="EZ56" s="401"/>
      <c r="FA56" s="401"/>
      <c r="FB56" s="401"/>
      <c r="FC56" s="401"/>
      <c r="FD56" s="401"/>
      <c r="FE56" s="401"/>
      <c r="FF56" s="401"/>
      <c r="FG56" s="401"/>
      <c r="FH56" s="401"/>
      <c r="FI56" s="401"/>
      <c r="FJ56" s="401"/>
      <c r="FK56" s="401"/>
      <c r="FL56" s="401"/>
      <c r="FM56" s="401"/>
      <c r="FN56" s="401"/>
      <c r="FO56" s="401"/>
      <c r="FP56" s="401"/>
      <c r="FQ56" s="401"/>
      <c r="FR56" s="401"/>
      <c r="FS56" s="401"/>
      <c r="FT56" s="401"/>
      <c r="FU56" s="401"/>
      <c r="FV56" s="401"/>
      <c r="FW56" s="401"/>
      <c r="FX56" s="401"/>
      <c r="FY56" s="401"/>
      <c r="FZ56" s="401"/>
      <c r="GA56" s="401"/>
      <c r="GB56" s="401"/>
      <c r="GC56" s="401"/>
      <c r="GD56" s="401"/>
      <c r="GE56" s="401"/>
      <c r="GF56" s="401"/>
      <c r="GG56" s="401"/>
      <c r="GH56" s="401"/>
      <c r="GI56" s="401"/>
      <c r="GJ56" s="401"/>
      <c r="GK56" s="401"/>
      <c r="GL56" s="401"/>
      <c r="GM56" s="401"/>
      <c r="GN56" s="401"/>
      <c r="GO56" s="401"/>
      <c r="GP56" s="401"/>
      <c r="GQ56" s="401"/>
      <c r="GR56" s="401"/>
      <c r="GS56" s="401"/>
      <c r="GT56" s="401"/>
      <c r="GU56" s="401"/>
      <c r="GV56" s="401"/>
      <c r="GW56" s="401"/>
      <c r="GX56" s="401"/>
      <c r="GY56" s="401"/>
      <c r="GZ56" s="401"/>
      <c r="HA56" s="401"/>
      <c r="HB56" s="401"/>
      <c r="HC56" s="401"/>
      <c r="HD56" s="401"/>
      <c r="HE56" s="401"/>
      <c r="HF56" s="401"/>
      <c r="HG56" s="401"/>
      <c r="HH56" s="401"/>
      <c r="HI56" s="401"/>
      <c r="HJ56" s="401"/>
      <c r="HK56" s="401"/>
      <c r="HL56" s="401"/>
      <c r="HM56" s="401"/>
      <c r="HN56" s="401"/>
      <c r="HO56" s="401"/>
      <c r="HP56" s="401"/>
      <c r="HQ56" s="401"/>
      <c r="HR56" s="401"/>
      <c r="HS56" s="401"/>
      <c r="HT56" s="401"/>
      <c r="HU56" s="401"/>
      <c r="HV56" s="401"/>
      <c r="HW56" s="401"/>
      <c r="HX56" s="401"/>
      <c r="HY56" s="401"/>
      <c r="HZ56" s="401"/>
      <c r="IA56" s="401"/>
      <c r="IB56" s="401"/>
      <c r="IC56" s="401"/>
      <c r="ID56" s="401"/>
      <c r="IE56" s="401"/>
      <c r="IF56" s="401"/>
      <c r="IG56" s="401"/>
      <c r="IH56" s="401"/>
      <c r="II56" s="401"/>
      <c r="IJ56" s="401"/>
      <c r="IK56" s="401"/>
      <c r="IL56" s="401"/>
      <c r="IM56" s="401"/>
      <c r="IN56" s="401"/>
      <c r="IO56" s="401"/>
      <c r="IP56" s="401"/>
      <c r="IQ56" s="401"/>
      <c r="IR56" s="401"/>
      <c r="IS56" s="401"/>
      <c r="IT56" s="401"/>
      <c r="IU56" s="401"/>
      <c r="IV56" s="401"/>
    </row>
    <row r="57" spans="1:256">
      <c r="A57" s="401"/>
      <c r="B57" s="401"/>
      <c r="C57" s="401"/>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1"/>
      <c r="BY57" s="401"/>
      <c r="BZ57" s="401"/>
      <c r="CA57" s="401"/>
      <c r="CB57" s="401"/>
      <c r="CC57" s="401"/>
      <c r="CD57" s="401"/>
      <c r="CE57" s="401"/>
      <c r="CF57" s="401"/>
      <c r="CG57" s="401"/>
      <c r="CH57" s="401"/>
      <c r="CI57" s="401"/>
      <c r="CJ57" s="401"/>
      <c r="CK57" s="401"/>
      <c r="CL57" s="401"/>
      <c r="CM57" s="401"/>
      <c r="CN57" s="401"/>
      <c r="CO57" s="401"/>
      <c r="CP57" s="401"/>
      <c r="CQ57" s="401"/>
      <c r="CR57" s="401"/>
      <c r="CS57" s="401"/>
      <c r="CT57" s="401"/>
      <c r="CU57" s="401"/>
      <c r="CV57" s="401"/>
      <c r="CW57" s="401"/>
      <c r="CX57" s="401"/>
      <c r="CY57" s="401"/>
      <c r="CZ57" s="401"/>
      <c r="DA57" s="401"/>
      <c r="DB57" s="401"/>
      <c r="DC57" s="401"/>
      <c r="DD57" s="401"/>
      <c r="DE57" s="401"/>
      <c r="DF57" s="401"/>
      <c r="DG57" s="401"/>
      <c r="DH57" s="401"/>
      <c r="DI57" s="401"/>
      <c r="DJ57" s="401"/>
      <c r="DK57" s="401"/>
      <c r="DL57" s="401"/>
      <c r="DM57" s="401"/>
      <c r="DN57" s="401"/>
      <c r="DO57" s="401"/>
      <c r="DP57" s="401"/>
      <c r="DQ57" s="401"/>
      <c r="DR57" s="401"/>
      <c r="DS57" s="401"/>
      <c r="DT57" s="401"/>
      <c r="DU57" s="401"/>
      <c r="DV57" s="401"/>
      <c r="DW57" s="401"/>
      <c r="DX57" s="401"/>
      <c r="DY57" s="401"/>
      <c r="DZ57" s="401"/>
      <c r="EA57" s="401"/>
      <c r="EB57" s="401"/>
      <c r="EC57" s="401"/>
      <c r="ED57" s="401"/>
      <c r="EE57" s="401"/>
      <c r="EF57" s="401"/>
      <c r="EG57" s="401"/>
      <c r="EH57" s="401"/>
      <c r="EI57" s="401"/>
      <c r="EJ57" s="401"/>
      <c r="EK57" s="401"/>
      <c r="EL57" s="401"/>
      <c r="EM57" s="401"/>
      <c r="EN57" s="401"/>
      <c r="EO57" s="401"/>
      <c r="EP57" s="401"/>
      <c r="EQ57" s="401"/>
      <c r="ER57" s="401"/>
      <c r="ES57" s="401"/>
      <c r="ET57" s="401"/>
      <c r="EU57" s="401"/>
      <c r="EV57" s="401"/>
      <c r="EW57" s="401"/>
      <c r="EX57" s="401"/>
      <c r="EY57" s="401"/>
      <c r="EZ57" s="401"/>
      <c r="FA57" s="401"/>
      <c r="FB57" s="401"/>
      <c r="FC57" s="401"/>
      <c r="FD57" s="401"/>
      <c r="FE57" s="401"/>
      <c r="FF57" s="401"/>
      <c r="FG57" s="401"/>
      <c r="FH57" s="401"/>
      <c r="FI57" s="401"/>
      <c r="FJ57" s="401"/>
      <c r="FK57" s="401"/>
      <c r="FL57" s="401"/>
      <c r="FM57" s="401"/>
      <c r="FN57" s="401"/>
      <c r="FO57" s="401"/>
      <c r="FP57" s="401"/>
      <c r="FQ57" s="401"/>
      <c r="FR57" s="401"/>
      <c r="FS57" s="401"/>
      <c r="FT57" s="401"/>
      <c r="FU57" s="401"/>
      <c r="FV57" s="401"/>
      <c r="FW57" s="401"/>
      <c r="FX57" s="401"/>
      <c r="FY57" s="401"/>
      <c r="FZ57" s="401"/>
      <c r="GA57" s="401"/>
      <c r="GB57" s="401"/>
      <c r="GC57" s="401"/>
      <c r="GD57" s="401"/>
      <c r="GE57" s="401"/>
      <c r="GF57" s="401"/>
      <c r="GG57" s="401"/>
      <c r="GH57" s="401"/>
      <c r="GI57" s="401"/>
      <c r="GJ57" s="401"/>
      <c r="GK57" s="401"/>
      <c r="GL57" s="401"/>
      <c r="GM57" s="401"/>
      <c r="GN57" s="401"/>
      <c r="GO57" s="401"/>
      <c r="GP57" s="401"/>
      <c r="GQ57" s="401"/>
      <c r="GR57" s="401"/>
      <c r="GS57" s="401"/>
      <c r="GT57" s="401"/>
      <c r="GU57" s="401"/>
      <c r="GV57" s="401"/>
      <c r="GW57" s="401"/>
      <c r="GX57" s="401"/>
      <c r="GY57" s="401"/>
      <c r="GZ57" s="401"/>
      <c r="HA57" s="401"/>
      <c r="HB57" s="401"/>
      <c r="HC57" s="401"/>
      <c r="HD57" s="401"/>
      <c r="HE57" s="401"/>
      <c r="HF57" s="401"/>
      <c r="HG57" s="401"/>
      <c r="HH57" s="401"/>
      <c r="HI57" s="401"/>
      <c r="HJ57" s="401"/>
      <c r="HK57" s="401"/>
      <c r="HL57" s="401"/>
      <c r="HM57" s="401"/>
      <c r="HN57" s="401"/>
      <c r="HO57" s="401"/>
      <c r="HP57" s="401"/>
      <c r="HQ57" s="401"/>
      <c r="HR57" s="401"/>
      <c r="HS57" s="401"/>
      <c r="HT57" s="401"/>
      <c r="HU57" s="401"/>
      <c r="HV57" s="401"/>
      <c r="HW57" s="401"/>
      <c r="HX57" s="401"/>
      <c r="HY57" s="401"/>
      <c r="HZ57" s="401"/>
      <c r="IA57" s="401"/>
      <c r="IB57" s="401"/>
      <c r="IC57" s="401"/>
      <c r="ID57" s="401"/>
      <c r="IE57" s="401"/>
      <c r="IF57" s="401"/>
      <c r="IG57" s="401"/>
      <c r="IH57" s="401"/>
      <c r="II57" s="401"/>
      <c r="IJ57" s="401"/>
      <c r="IK57" s="401"/>
      <c r="IL57" s="401"/>
      <c r="IM57" s="401"/>
      <c r="IN57" s="401"/>
      <c r="IO57" s="401"/>
      <c r="IP57" s="401"/>
      <c r="IQ57" s="401"/>
      <c r="IR57" s="401"/>
      <c r="IS57" s="401"/>
      <c r="IT57" s="401"/>
      <c r="IU57" s="401"/>
      <c r="IV57" s="401"/>
    </row>
    <row r="58" spans="1:256">
      <c r="A58" s="401"/>
      <c r="B58" s="401"/>
      <c r="C58" s="401"/>
      <c r="D58" s="401"/>
      <c r="E58" s="401"/>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R58" s="401"/>
      <c r="BS58" s="401"/>
      <c r="BT58" s="401"/>
      <c r="BU58" s="401"/>
      <c r="BV58" s="401"/>
      <c r="BW58" s="401"/>
      <c r="BX58" s="401"/>
      <c r="BY58" s="401"/>
      <c r="BZ58" s="401"/>
      <c r="CA58" s="401"/>
      <c r="CB58" s="401"/>
      <c r="CC58" s="401"/>
      <c r="CD58" s="401"/>
      <c r="CE58" s="401"/>
      <c r="CF58" s="401"/>
      <c r="CG58" s="401"/>
      <c r="CH58" s="401"/>
      <c r="CI58" s="401"/>
      <c r="CJ58" s="401"/>
      <c r="CK58" s="401"/>
      <c r="CL58" s="401"/>
      <c r="CM58" s="401"/>
      <c r="CN58" s="401"/>
      <c r="CO58" s="401"/>
      <c r="CP58" s="401"/>
      <c r="CQ58" s="401"/>
      <c r="CR58" s="401"/>
      <c r="CS58" s="401"/>
      <c r="CT58" s="401"/>
      <c r="CU58" s="401"/>
      <c r="CV58" s="401"/>
      <c r="CW58" s="401"/>
      <c r="CX58" s="401"/>
      <c r="CY58" s="401"/>
      <c r="CZ58" s="401"/>
      <c r="DA58" s="401"/>
      <c r="DB58" s="401"/>
      <c r="DC58" s="401"/>
      <c r="DD58" s="401"/>
      <c r="DE58" s="401"/>
      <c r="DF58" s="401"/>
      <c r="DG58" s="401"/>
      <c r="DH58" s="401"/>
      <c r="DI58" s="401"/>
      <c r="DJ58" s="401"/>
      <c r="DK58" s="401"/>
      <c r="DL58" s="401"/>
      <c r="DM58" s="401"/>
      <c r="DN58" s="401"/>
      <c r="DO58" s="401"/>
      <c r="DP58" s="401"/>
      <c r="DQ58" s="401"/>
      <c r="DR58" s="401"/>
      <c r="DS58" s="401"/>
      <c r="DT58" s="401"/>
      <c r="DU58" s="401"/>
      <c r="DV58" s="401"/>
      <c r="DW58" s="401"/>
      <c r="DX58" s="401"/>
      <c r="DY58" s="401"/>
      <c r="DZ58" s="401"/>
      <c r="EA58" s="401"/>
      <c r="EB58" s="401"/>
      <c r="EC58" s="401"/>
      <c r="ED58" s="401"/>
      <c r="EE58" s="401"/>
      <c r="EF58" s="401"/>
      <c r="EG58" s="401"/>
      <c r="EH58" s="401"/>
      <c r="EI58" s="401"/>
      <c r="EJ58" s="401"/>
      <c r="EK58" s="401"/>
      <c r="EL58" s="401"/>
      <c r="EM58" s="401"/>
      <c r="EN58" s="401"/>
      <c r="EO58" s="401"/>
      <c r="EP58" s="401"/>
      <c r="EQ58" s="401"/>
      <c r="ER58" s="401"/>
      <c r="ES58" s="401"/>
      <c r="ET58" s="401"/>
      <c r="EU58" s="401"/>
      <c r="EV58" s="401"/>
      <c r="EW58" s="401"/>
      <c r="EX58" s="401"/>
      <c r="EY58" s="401"/>
      <c r="EZ58" s="401"/>
      <c r="FA58" s="401"/>
      <c r="FB58" s="401"/>
      <c r="FC58" s="401"/>
      <c r="FD58" s="401"/>
      <c r="FE58" s="401"/>
      <c r="FF58" s="401"/>
      <c r="FG58" s="401"/>
      <c r="FH58" s="401"/>
      <c r="FI58" s="401"/>
      <c r="FJ58" s="401"/>
      <c r="FK58" s="401"/>
      <c r="FL58" s="401"/>
      <c r="FM58" s="401"/>
      <c r="FN58" s="401"/>
      <c r="FO58" s="401"/>
      <c r="FP58" s="401"/>
      <c r="FQ58" s="401"/>
      <c r="FR58" s="401"/>
      <c r="FS58" s="401"/>
      <c r="FT58" s="401"/>
      <c r="FU58" s="401"/>
      <c r="FV58" s="401"/>
      <c r="FW58" s="401"/>
      <c r="FX58" s="401"/>
      <c r="FY58" s="401"/>
      <c r="FZ58" s="401"/>
      <c r="GA58" s="401"/>
      <c r="GB58" s="401"/>
      <c r="GC58" s="401"/>
      <c r="GD58" s="401"/>
      <c r="GE58" s="401"/>
      <c r="GF58" s="401"/>
      <c r="GG58" s="401"/>
      <c r="GH58" s="401"/>
      <c r="GI58" s="401"/>
      <c r="GJ58" s="401"/>
      <c r="GK58" s="401"/>
      <c r="GL58" s="401"/>
      <c r="GM58" s="401"/>
      <c r="GN58" s="401"/>
      <c r="GO58" s="401"/>
      <c r="GP58" s="401"/>
      <c r="GQ58" s="401"/>
      <c r="GR58" s="401"/>
      <c r="GS58" s="401"/>
      <c r="GT58" s="401"/>
      <c r="GU58" s="401"/>
      <c r="GV58" s="401"/>
      <c r="GW58" s="401"/>
      <c r="GX58" s="401"/>
      <c r="GY58" s="401"/>
      <c r="GZ58" s="401"/>
      <c r="HA58" s="401"/>
      <c r="HB58" s="401"/>
      <c r="HC58" s="401"/>
      <c r="HD58" s="401"/>
      <c r="HE58" s="401"/>
      <c r="HF58" s="401"/>
      <c r="HG58" s="401"/>
      <c r="HH58" s="401"/>
      <c r="HI58" s="401"/>
      <c r="HJ58" s="401"/>
      <c r="HK58" s="401"/>
      <c r="HL58" s="401"/>
      <c r="HM58" s="401"/>
      <c r="HN58" s="401"/>
      <c r="HO58" s="401"/>
      <c r="HP58" s="401"/>
      <c r="HQ58" s="401"/>
      <c r="HR58" s="401"/>
      <c r="HS58" s="401"/>
      <c r="HT58" s="401"/>
      <c r="HU58" s="401"/>
      <c r="HV58" s="401"/>
      <c r="HW58" s="401"/>
      <c r="HX58" s="401"/>
      <c r="HY58" s="401"/>
      <c r="HZ58" s="401"/>
      <c r="IA58" s="401"/>
      <c r="IB58" s="401"/>
      <c r="IC58" s="401"/>
      <c r="ID58" s="401"/>
      <c r="IE58" s="401"/>
      <c r="IF58" s="401"/>
      <c r="IG58" s="401"/>
      <c r="IH58" s="401"/>
      <c r="II58" s="401"/>
      <c r="IJ58" s="401"/>
      <c r="IK58" s="401"/>
      <c r="IL58" s="401"/>
      <c r="IM58" s="401"/>
      <c r="IN58" s="401"/>
      <c r="IO58" s="401"/>
      <c r="IP58" s="401"/>
      <c r="IQ58" s="401"/>
      <c r="IR58" s="401"/>
      <c r="IS58" s="401"/>
      <c r="IT58" s="401"/>
      <c r="IU58" s="401"/>
      <c r="IV58" s="401"/>
    </row>
    <row r="59" spans="1:256">
      <c r="A59" s="401"/>
      <c r="B59" s="401"/>
      <c r="C59" s="401"/>
      <c r="D59" s="401"/>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R59" s="401"/>
      <c r="BS59" s="401"/>
      <c r="BT59" s="401"/>
      <c r="BU59" s="401"/>
      <c r="BV59" s="401"/>
      <c r="BW59" s="401"/>
      <c r="BX59" s="401"/>
      <c r="BY59" s="401"/>
      <c r="BZ59" s="401"/>
      <c r="CA59" s="401"/>
      <c r="CB59" s="401"/>
      <c r="CC59" s="401"/>
      <c r="CD59" s="401"/>
      <c r="CE59" s="401"/>
      <c r="CF59" s="401"/>
      <c r="CG59" s="401"/>
      <c r="CH59" s="401"/>
      <c r="CI59" s="401"/>
      <c r="CJ59" s="401"/>
      <c r="CK59" s="401"/>
      <c r="CL59" s="401"/>
      <c r="CM59" s="401"/>
      <c r="CN59" s="401"/>
      <c r="CO59" s="401"/>
      <c r="CP59" s="401"/>
      <c r="CQ59" s="401"/>
      <c r="CR59" s="401"/>
      <c r="CS59" s="401"/>
      <c r="CT59" s="401"/>
      <c r="CU59" s="401"/>
      <c r="CV59" s="401"/>
      <c r="CW59" s="401"/>
      <c r="CX59" s="401"/>
      <c r="CY59" s="401"/>
      <c r="CZ59" s="401"/>
      <c r="DA59" s="401"/>
      <c r="DB59" s="401"/>
      <c r="DC59" s="401"/>
      <c r="DD59" s="401"/>
      <c r="DE59" s="401"/>
      <c r="DF59" s="401"/>
      <c r="DG59" s="401"/>
      <c r="DH59" s="401"/>
      <c r="DI59" s="401"/>
      <c r="DJ59" s="401"/>
      <c r="DK59" s="401"/>
      <c r="DL59" s="401"/>
      <c r="DM59" s="401"/>
      <c r="DN59" s="401"/>
      <c r="DO59" s="401"/>
      <c r="DP59" s="401"/>
      <c r="DQ59" s="401"/>
      <c r="DR59" s="401"/>
      <c r="DS59" s="401"/>
      <c r="DT59" s="401"/>
      <c r="DU59" s="401"/>
      <c r="DV59" s="401"/>
      <c r="DW59" s="401"/>
      <c r="DX59" s="401"/>
      <c r="DY59" s="401"/>
      <c r="DZ59" s="401"/>
      <c r="EA59" s="401"/>
      <c r="EB59" s="401"/>
      <c r="EC59" s="401"/>
      <c r="ED59" s="401"/>
      <c r="EE59" s="401"/>
      <c r="EF59" s="401"/>
      <c r="EG59" s="401"/>
      <c r="EH59" s="401"/>
      <c r="EI59" s="401"/>
      <c r="EJ59" s="401"/>
      <c r="EK59" s="401"/>
      <c r="EL59" s="401"/>
      <c r="EM59" s="401"/>
      <c r="EN59" s="401"/>
      <c r="EO59" s="401"/>
      <c r="EP59" s="401"/>
      <c r="EQ59" s="401"/>
      <c r="ER59" s="401"/>
      <c r="ES59" s="401"/>
      <c r="ET59" s="401"/>
      <c r="EU59" s="401"/>
      <c r="EV59" s="401"/>
      <c r="EW59" s="401"/>
      <c r="EX59" s="401"/>
      <c r="EY59" s="401"/>
      <c r="EZ59" s="401"/>
      <c r="FA59" s="401"/>
      <c r="FB59" s="401"/>
      <c r="FC59" s="401"/>
      <c r="FD59" s="401"/>
      <c r="FE59" s="401"/>
      <c r="FF59" s="401"/>
      <c r="FG59" s="401"/>
      <c r="FH59" s="401"/>
      <c r="FI59" s="401"/>
      <c r="FJ59" s="401"/>
      <c r="FK59" s="401"/>
      <c r="FL59" s="401"/>
      <c r="FM59" s="401"/>
      <c r="FN59" s="401"/>
      <c r="FO59" s="401"/>
      <c r="FP59" s="401"/>
      <c r="FQ59" s="401"/>
      <c r="FR59" s="401"/>
      <c r="FS59" s="401"/>
      <c r="FT59" s="401"/>
      <c r="FU59" s="401"/>
      <c r="FV59" s="401"/>
      <c r="FW59" s="401"/>
      <c r="FX59" s="401"/>
      <c r="FY59" s="401"/>
      <c r="FZ59" s="401"/>
      <c r="GA59" s="401"/>
      <c r="GB59" s="401"/>
      <c r="GC59" s="401"/>
      <c r="GD59" s="401"/>
      <c r="GE59" s="401"/>
      <c r="GF59" s="401"/>
      <c r="GG59" s="401"/>
      <c r="GH59" s="401"/>
      <c r="GI59" s="401"/>
      <c r="GJ59" s="401"/>
      <c r="GK59" s="401"/>
      <c r="GL59" s="401"/>
      <c r="GM59" s="401"/>
      <c r="GN59" s="401"/>
      <c r="GO59" s="401"/>
      <c r="GP59" s="401"/>
      <c r="GQ59" s="401"/>
      <c r="GR59" s="401"/>
      <c r="GS59" s="401"/>
      <c r="GT59" s="401"/>
      <c r="GU59" s="401"/>
      <c r="GV59" s="401"/>
      <c r="GW59" s="401"/>
      <c r="GX59" s="401"/>
      <c r="GY59" s="401"/>
      <c r="GZ59" s="401"/>
      <c r="HA59" s="401"/>
      <c r="HB59" s="401"/>
      <c r="HC59" s="401"/>
      <c r="HD59" s="401"/>
      <c r="HE59" s="401"/>
      <c r="HF59" s="401"/>
      <c r="HG59" s="401"/>
      <c r="HH59" s="401"/>
      <c r="HI59" s="401"/>
      <c r="HJ59" s="401"/>
      <c r="HK59" s="401"/>
      <c r="HL59" s="401"/>
      <c r="HM59" s="401"/>
      <c r="HN59" s="401"/>
      <c r="HO59" s="401"/>
      <c r="HP59" s="401"/>
      <c r="HQ59" s="401"/>
      <c r="HR59" s="401"/>
      <c r="HS59" s="401"/>
      <c r="HT59" s="401"/>
      <c r="HU59" s="401"/>
      <c r="HV59" s="401"/>
      <c r="HW59" s="401"/>
      <c r="HX59" s="401"/>
      <c r="HY59" s="401"/>
      <c r="HZ59" s="401"/>
      <c r="IA59" s="401"/>
      <c r="IB59" s="401"/>
      <c r="IC59" s="401"/>
      <c r="ID59" s="401"/>
      <c r="IE59" s="401"/>
      <c r="IF59" s="401"/>
      <c r="IG59" s="401"/>
      <c r="IH59" s="401"/>
      <c r="II59" s="401"/>
      <c r="IJ59" s="401"/>
      <c r="IK59" s="401"/>
      <c r="IL59" s="401"/>
      <c r="IM59" s="401"/>
      <c r="IN59" s="401"/>
      <c r="IO59" s="401"/>
      <c r="IP59" s="401"/>
      <c r="IQ59" s="401"/>
      <c r="IR59" s="401"/>
      <c r="IS59" s="401"/>
      <c r="IT59" s="401"/>
      <c r="IU59" s="401"/>
      <c r="IV59" s="401"/>
    </row>
    <row r="60" spans="1:256">
      <c r="A60" s="401"/>
      <c r="B60" s="401"/>
      <c r="C60" s="401"/>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c r="CF60" s="401"/>
      <c r="CG60" s="401"/>
      <c r="CH60" s="401"/>
      <c r="CI60" s="401"/>
      <c r="CJ60" s="401"/>
      <c r="CK60" s="401"/>
      <c r="CL60" s="401"/>
      <c r="CM60" s="401"/>
      <c r="CN60" s="401"/>
      <c r="CO60" s="401"/>
      <c r="CP60" s="401"/>
      <c r="CQ60" s="401"/>
      <c r="CR60" s="401"/>
      <c r="CS60" s="401"/>
      <c r="CT60" s="401"/>
      <c r="CU60" s="401"/>
      <c r="CV60" s="401"/>
      <c r="CW60" s="401"/>
      <c r="CX60" s="401"/>
      <c r="CY60" s="401"/>
      <c r="CZ60" s="401"/>
      <c r="DA60" s="401"/>
      <c r="DB60" s="401"/>
      <c r="DC60" s="401"/>
      <c r="DD60" s="401"/>
      <c r="DE60" s="401"/>
      <c r="DF60" s="401"/>
      <c r="DG60" s="401"/>
      <c r="DH60" s="401"/>
      <c r="DI60" s="401"/>
      <c r="DJ60" s="401"/>
      <c r="DK60" s="401"/>
      <c r="DL60" s="401"/>
      <c r="DM60" s="401"/>
      <c r="DN60" s="401"/>
      <c r="DO60" s="401"/>
      <c r="DP60" s="401"/>
      <c r="DQ60" s="401"/>
      <c r="DR60" s="401"/>
      <c r="DS60" s="401"/>
      <c r="DT60" s="401"/>
      <c r="DU60" s="401"/>
      <c r="DV60" s="401"/>
      <c r="DW60" s="401"/>
      <c r="DX60" s="401"/>
      <c r="DY60" s="401"/>
      <c r="DZ60" s="401"/>
      <c r="EA60" s="401"/>
      <c r="EB60" s="401"/>
      <c r="EC60" s="401"/>
      <c r="ED60" s="401"/>
      <c r="EE60" s="401"/>
      <c r="EF60" s="401"/>
      <c r="EG60" s="401"/>
      <c r="EH60" s="401"/>
      <c r="EI60" s="401"/>
      <c r="EJ60" s="401"/>
      <c r="EK60" s="401"/>
      <c r="EL60" s="401"/>
      <c r="EM60" s="401"/>
      <c r="EN60" s="401"/>
      <c r="EO60" s="401"/>
      <c r="EP60" s="401"/>
      <c r="EQ60" s="401"/>
      <c r="ER60" s="401"/>
      <c r="ES60" s="401"/>
      <c r="ET60" s="401"/>
      <c r="EU60" s="401"/>
      <c r="EV60" s="401"/>
      <c r="EW60" s="401"/>
      <c r="EX60" s="401"/>
      <c r="EY60" s="401"/>
      <c r="EZ60" s="401"/>
      <c r="FA60" s="401"/>
      <c r="FB60" s="401"/>
      <c r="FC60" s="401"/>
      <c r="FD60" s="401"/>
      <c r="FE60" s="401"/>
      <c r="FF60" s="401"/>
      <c r="FG60" s="401"/>
      <c r="FH60" s="401"/>
      <c r="FI60" s="401"/>
      <c r="FJ60" s="401"/>
      <c r="FK60" s="401"/>
      <c r="FL60" s="401"/>
      <c r="FM60" s="401"/>
      <c r="FN60" s="401"/>
      <c r="FO60" s="401"/>
      <c r="FP60" s="401"/>
      <c r="FQ60" s="401"/>
      <c r="FR60" s="401"/>
      <c r="FS60" s="401"/>
      <c r="FT60" s="401"/>
      <c r="FU60" s="401"/>
      <c r="FV60" s="401"/>
      <c r="FW60" s="401"/>
      <c r="FX60" s="401"/>
      <c r="FY60" s="401"/>
      <c r="FZ60" s="401"/>
      <c r="GA60" s="401"/>
      <c r="GB60" s="401"/>
      <c r="GC60" s="401"/>
      <c r="GD60" s="401"/>
      <c r="GE60" s="401"/>
      <c r="GF60" s="401"/>
      <c r="GG60" s="401"/>
      <c r="GH60" s="401"/>
      <c r="GI60" s="401"/>
      <c r="GJ60" s="401"/>
      <c r="GK60" s="401"/>
      <c r="GL60" s="401"/>
      <c r="GM60" s="401"/>
      <c r="GN60" s="401"/>
      <c r="GO60" s="401"/>
      <c r="GP60" s="401"/>
      <c r="GQ60" s="401"/>
      <c r="GR60" s="401"/>
      <c r="GS60" s="401"/>
      <c r="GT60" s="401"/>
      <c r="GU60" s="401"/>
      <c r="GV60" s="401"/>
      <c r="GW60" s="401"/>
      <c r="GX60" s="401"/>
      <c r="GY60" s="401"/>
      <c r="GZ60" s="401"/>
      <c r="HA60" s="401"/>
      <c r="HB60" s="401"/>
      <c r="HC60" s="401"/>
      <c r="HD60" s="401"/>
      <c r="HE60" s="401"/>
      <c r="HF60" s="401"/>
      <c r="HG60" s="401"/>
      <c r="HH60" s="401"/>
      <c r="HI60" s="401"/>
      <c r="HJ60" s="401"/>
      <c r="HK60" s="401"/>
      <c r="HL60" s="401"/>
      <c r="HM60" s="401"/>
      <c r="HN60" s="401"/>
      <c r="HO60" s="401"/>
      <c r="HP60" s="401"/>
      <c r="HQ60" s="401"/>
      <c r="HR60" s="401"/>
      <c r="HS60" s="401"/>
      <c r="HT60" s="401"/>
      <c r="HU60" s="401"/>
      <c r="HV60" s="401"/>
      <c r="HW60" s="401"/>
      <c r="HX60" s="401"/>
      <c r="HY60" s="401"/>
      <c r="HZ60" s="401"/>
      <c r="IA60" s="401"/>
      <c r="IB60" s="401"/>
      <c r="IC60" s="401"/>
      <c r="ID60" s="401"/>
      <c r="IE60" s="401"/>
      <c r="IF60" s="401"/>
      <c r="IG60" s="401"/>
      <c r="IH60" s="401"/>
      <c r="II60" s="401"/>
      <c r="IJ60" s="401"/>
      <c r="IK60" s="401"/>
      <c r="IL60" s="401"/>
      <c r="IM60" s="401"/>
      <c r="IN60" s="401"/>
      <c r="IO60" s="401"/>
      <c r="IP60" s="401"/>
      <c r="IQ60" s="401"/>
      <c r="IR60" s="401"/>
      <c r="IS60" s="401"/>
      <c r="IT60" s="401"/>
      <c r="IU60" s="401"/>
      <c r="IV60" s="401"/>
    </row>
    <row r="61" spans="1:256">
      <c r="A61" s="401"/>
      <c r="B61" s="401"/>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1"/>
      <c r="CC61" s="401"/>
      <c r="CD61" s="401"/>
      <c r="CE61" s="401"/>
      <c r="CF61" s="401"/>
      <c r="CG61" s="401"/>
      <c r="CH61" s="401"/>
      <c r="CI61" s="401"/>
      <c r="CJ61" s="401"/>
      <c r="CK61" s="401"/>
      <c r="CL61" s="401"/>
      <c r="CM61" s="401"/>
      <c r="CN61" s="401"/>
      <c r="CO61" s="401"/>
      <c r="CP61" s="401"/>
      <c r="CQ61" s="401"/>
      <c r="CR61" s="401"/>
      <c r="CS61" s="401"/>
      <c r="CT61" s="401"/>
      <c r="CU61" s="401"/>
      <c r="CV61" s="401"/>
      <c r="CW61" s="401"/>
      <c r="CX61" s="401"/>
      <c r="CY61" s="401"/>
      <c r="CZ61" s="401"/>
      <c r="DA61" s="401"/>
      <c r="DB61" s="401"/>
      <c r="DC61" s="401"/>
      <c r="DD61" s="401"/>
      <c r="DE61" s="401"/>
      <c r="DF61" s="401"/>
      <c r="DG61" s="401"/>
      <c r="DH61" s="401"/>
      <c r="DI61" s="401"/>
      <c r="DJ61" s="401"/>
      <c r="DK61" s="401"/>
      <c r="DL61" s="401"/>
      <c r="DM61" s="401"/>
      <c r="DN61" s="401"/>
      <c r="DO61" s="401"/>
      <c r="DP61" s="401"/>
      <c r="DQ61" s="401"/>
      <c r="DR61" s="401"/>
      <c r="DS61" s="401"/>
      <c r="DT61" s="401"/>
      <c r="DU61" s="401"/>
      <c r="DV61" s="401"/>
      <c r="DW61" s="401"/>
      <c r="DX61" s="401"/>
      <c r="DY61" s="401"/>
      <c r="DZ61" s="401"/>
      <c r="EA61" s="401"/>
      <c r="EB61" s="401"/>
      <c r="EC61" s="401"/>
      <c r="ED61" s="401"/>
      <c r="EE61" s="401"/>
      <c r="EF61" s="401"/>
      <c r="EG61" s="401"/>
      <c r="EH61" s="401"/>
      <c r="EI61" s="401"/>
      <c r="EJ61" s="401"/>
      <c r="EK61" s="401"/>
      <c r="EL61" s="401"/>
      <c r="EM61" s="401"/>
      <c r="EN61" s="401"/>
      <c r="EO61" s="401"/>
      <c r="EP61" s="401"/>
      <c r="EQ61" s="401"/>
      <c r="ER61" s="401"/>
      <c r="ES61" s="401"/>
      <c r="ET61" s="401"/>
      <c r="EU61" s="401"/>
      <c r="EV61" s="401"/>
      <c r="EW61" s="401"/>
      <c r="EX61" s="401"/>
      <c r="EY61" s="401"/>
      <c r="EZ61" s="401"/>
      <c r="FA61" s="401"/>
      <c r="FB61" s="401"/>
      <c r="FC61" s="401"/>
      <c r="FD61" s="401"/>
      <c r="FE61" s="401"/>
      <c r="FF61" s="401"/>
      <c r="FG61" s="401"/>
      <c r="FH61" s="401"/>
      <c r="FI61" s="401"/>
      <c r="FJ61" s="401"/>
      <c r="FK61" s="401"/>
      <c r="FL61" s="401"/>
      <c r="FM61" s="401"/>
      <c r="FN61" s="401"/>
      <c r="FO61" s="401"/>
      <c r="FP61" s="401"/>
      <c r="FQ61" s="401"/>
      <c r="FR61" s="401"/>
      <c r="FS61" s="401"/>
      <c r="FT61" s="401"/>
      <c r="FU61" s="401"/>
      <c r="FV61" s="401"/>
      <c r="FW61" s="401"/>
      <c r="FX61" s="401"/>
      <c r="FY61" s="401"/>
      <c r="FZ61" s="401"/>
      <c r="GA61" s="401"/>
      <c r="GB61" s="401"/>
      <c r="GC61" s="401"/>
      <c r="GD61" s="401"/>
      <c r="GE61" s="401"/>
      <c r="GF61" s="401"/>
      <c r="GG61" s="401"/>
      <c r="GH61" s="401"/>
      <c r="GI61" s="401"/>
      <c r="GJ61" s="401"/>
      <c r="GK61" s="401"/>
      <c r="GL61" s="401"/>
      <c r="GM61" s="401"/>
      <c r="GN61" s="401"/>
      <c r="GO61" s="401"/>
      <c r="GP61" s="401"/>
      <c r="GQ61" s="401"/>
      <c r="GR61" s="401"/>
      <c r="GS61" s="401"/>
      <c r="GT61" s="401"/>
      <c r="GU61" s="401"/>
      <c r="GV61" s="401"/>
      <c r="GW61" s="401"/>
      <c r="GX61" s="401"/>
      <c r="GY61" s="401"/>
      <c r="GZ61" s="401"/>
      <c r="HA61" s="401"/>
      <c r="HB61" s="401"/>
      <c r="HC61" s="401"/>
      <c r="HD61" s="401"/>
      <c r="HE61" s="401"/>
      <c r="HF61" s="401"/>
      <c r="HG61" s="401"/>
      <c r="HH61" s="401"/>
      <c r="HI61" s="401"/>
      <c r="HJ61" s="401"/>
      <c r="HK61" s="401"/>
      <c r="HL61" s="401"/>
      <c r="HM61" s="401"/>
      <c r="HN61" s="401"/>
      <c r="HO61" s="401"/>
      <c r="HP61" s="401"/>
      <c r="HQ61" s="401"/>
      <c r="HR61" s="401"/>
      <c r="HS61" s="401"/>
      <c r="HT61" s="401"/>
      <c r="HU61" s="401"/>
      <c r="HV61" s="401"/>
      <c r="HW61" s="401"/>
      <c r="HX61" s="401"/>
      <c r="HY61" s="401"/>
      <c r="HZ61" s="401"/>
      <c r="IA61" s="401"/>
      <c r="IB61" s="401"/>
      <c r="IC61" s="401"/>
      <c r="ID61" s="401"/>
      <c r="IE61" s="401"/>
      <c r="IF61" s="401"/>
      <c r="IG61" s="401"/>
      <c r="IH61" s="401"/>
      <c r="II61" s="401"/>
      <c r="IJ61" s="401"/>
      <c r="IK61" s="401"/>
      <c r="IL61" s="401"/>
      <c r="IM61" s="401"/>
      <c r="IN61" s="401"/>
      <c r="IO61" s="401"/>
      <c r="IP61" s="401"/>
      <c r="IQ61" s="401"/>
      <c r="IR61" s="401"/>
      <c r="IS61" s="401"/>
      <c r="IT61" s="401"/>
      <c r="IU61" s="401"/>
      <c r="IV61" s="401"/>
    </row>
    <row r="62" spans="1:256">
      <c r="A62" s="401"/>
      <c r="B62" s="401"/>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401"/>
      <c r="AX62" s="401"/>
      <c r="AY62" s="401"/>
      <c r="AZ62" s="401"/>
      <c r="BA62" s="401"/>
      <c r="BB62" s="401"/>
      <c r="BC62" s="401"/>
      <c r="BD62" s="401"/>
      <c r="BE62" s="401"/>
      <c r="BF62" s="401"/>
      <c r="BG62" s="401"/>
      <c r="BH62" s="401"/>
      <c r="BI62" s="401"/>
      <c r="BJ62" s="401"/>
      <c r="BK62" s="401"/>
      <c r="BL62" s="401"/>
      <c r="BM62" s="401"/>
      <c r="BN62" s="401"/>
      <c r="BO62" s="401"/>
      <c r="BP62" s="401"/>
      <c r="BQ62" s="401"/>
      <c r="BR62" s="401"/>
      <c r="BS62" s="401"/>
      <c r="BT62" s="401"/>
      <c r="BU62" s="401"/>
      <c r="BV62" s="401"/>
      <c r="BW62" s="401"/>
      <c r="BX62" s="401"/>
      <c r="BY62" s="401"/>
      <c r="BZ62" s="401"/>
      <c r="CA62" s="401"/>
      <c r="CB62" s="401"/>
      <c r="CC62" s="401"/>
      <c r="CD62" s="401"/>
      <c r="CE62" s="401"/>
      <c r="CF62" s="401"/>
      <c r="CG62" s="401"/>
      <c r="CH62" s="401"/>
      <c r="CI62" s="401"/>
      <c r="CJ62" s="401"/>
      <c r="CK62" s="401"/>
      <c r="CL62" s="401"/>
      <c r="CM62" s="401"/>
      <c r="CN62" s="401"/>
      <c r="CO62" s="401"/>
      <c r="CP62" s="401"/>
      <c r="CQ62" s="401"/>
      <c r="CR62" s="401"/>
      <c r="CS62" s="401"/>
      <c r="CT62" s="401"/>
      <c r="CU62" s="401"/>
      <c r="CV62" s="401"/>
      <c r="CW62" s="401"/>
      <c r="CX62" s="401"/>
      <c r="CY62" s="401"/>
      <c r="CZ62" s="401"/>
      <c r="DA62" s="401"/>
      <c r="DB62" s="401"/>
      <c r="DC62" s="401"/>
      <c r="DD62" s="401"/>
      <c r="DE62" s="401"/>
      <c r="DF62" s="401"/>
      <c r="DG62" s="401"/>
      <c r="DH62" s="401"/>
      <c r="DI62" s="401"/>
      <c r="DJ62" s="401"/>
      <c r="DK62" s="401"/>
      <c r="DL62" s="401"/>
      <c r="DM62" s="401"/>
      <c r="DN62" s="401"/>
      <c r="DO62" s="401"/>
      <c r="DP62" s="401"/>
      <c r="DQ62" s="401"/>
      <c r="DR62" s="401"/>
      <c r="DS62" s="401"/>
      <c r="DT62" s="401"/>
      <c r="DU62" s="401"/>
      <c r="DV62" s="401"/>
      <c r="DW62" s="401"/>
      <c r="DX62" s="401"/>
      <c r="DY62" s="401"/>
      <c r="DZ62" s="401"/>
      <c r="EA62" s="401"/>
      <c r="EB62" s="401"/>
      <c r="EC62" s="401"/>
      <c r="ED62" s="401"/>
      <c r="EE62" s="401"/>
      <c r="EF62" s="401"/>
      <c r="EG62" s="401"/>
      <c r="EH62" s="401"/>
      <c r="EI62" s="401"/>
      <c r="EJ62" s="401"/>
      <c r="EK62" s="401"/>
      <c r="EL62" s="401"/>
      <c r="EM62" s="401"/>
      <c r="EN62" s="401"/>
      <c r="EO62" s="401"/>
      <c r="EP62" s="401"/>
      <c r="EQ62" s="401"/>
      <c r="ER62" s="401"/>
      <c r="ES62" s="401"/>
      <c r="ET62" s="401"/>
      <c r="EU62" s="401"/>
      <c r="EV62" s="401"/>
      <c r="EW62" s="401"/>
      <c r="EX62" s="401"/>
      <c r="EY62" s="401"/>
      <c r="EZ62" s="401"/>
      <c r="FA62" s="401"/>
      <c r="FB62" s="401"/>
      <c r="FC62" s="401"/>
      <c r="FD62" s="401"/>
      <c r="FE62" s="401"/>
      <c r="FF62" s="401"/>
      <c r="FG62" s="401"/>
      <c r="FH62" s="401"/>
      <c r="FI62" s="401"/>
      <c r="FJ62" s="401"/>
      <c r="FK62" s="401"/>
      <c r="FL62" s="401"/>
      <c r="FM62" s="401"/>
      <c r="FN62" s="401"/>
      <c r="FO62" s="401"/>
      <c r="FP62" s="401"/>
      <c r="FQ62" s="401"/>
      <c r="FR62" s="401"/>
      <c r="FS62" s="401"/>
      <c r="FT62" s="401"/>
      <c r="FU62" s="401"/>
      <c r="FV62" s="401"/>
      <c r="FW62" s="401"/>
      <c r="FX62" s="401"/>
      <c r="FY62" s="401"/>
      <c r="FZ62" s="401"/>
      <c r="GA62" s="401"/>
      <c r="GB62" s="401"/>
      <c r="GC62" s="401"/>
      <c r="GD62" s="401"/>
      <c r="GE62" s="401"/>
      <c r="GF62" s="401"/>
      <c r="GG62" s="401"/>
      <c r="GH62" s="401"/>
      <c r="GI62" s="401"/>
      <c r="GJ62" s="401"/>
      <c r="GK62" s="401"/>
      <c r="GL62" s="401"/>
      <c r="GM62" s="401"/>
      <c r="GN62" s="401"/>
      <c r="GO62" s="401"/>
      <c r="GP62" s="401"/>
      <c r="GQ62" s="401"/>
      <c r="GR62" s="401"/>
      <c r="GS62" s="401"/>
      <c r="GT62" s="401"/>
      <c r="GU62" s="401"/>
      <c r="GV62" s="401"/>
      <c r="GW62" s="401"/>
      <c r="GX62" s="401"/>
      <c r="GY62" s="401"/>
      <c r="GZ62" s="401"/>
      <c r="HA62" s="401"/>
      <c r="HB62" s="401"/>
      <c r="HC62" s="401"/>
      <c r="HD62" s="401"/>
      <c r="HE62" s="401"/>
      <c r="HF62" s="401"/>
      <c r="HG62" s="401"/>
      <c r="HH62" s="401"/>
      <c r="HI62" s="401"/>
      <c r="HJ62" s="401"/>
      <c r="HK62" s="401"/>
      <c r="HL62" s="401"/>
      <c r="HM62" s="401"/>
      <c r="HN62" s="401"/>
      <c r="HO62" s="401"/>
      <c r="HP62" s="401"/>
      <c r="HQ62" s="401"/>
      <c r="HR62" s="401"/>
      <c r="HS62" s="401"/>
      <c r="HT62" s="401"/>
      <c r="HU62" s="401"/>
      <c r="HV62" s="401"/>
      <c r="HW62" s="401"/>
      <c r="HX62" s="401"/>
      <c r="HY62" s="401"/>
      <c r="HZ62" s="401"/>
      <c r="IA62" s="401"/>
      <c r="IB62" s="401"/>
      <c r="IC62" s="401"/>
      <c r="ID62" s="401"/>
      <c r="IE62" s="401"/>
      <c r="IF62" s="401"/>
      <c r="IG62" s="401"/>
      <c r="IH62" s="401"/>
      <c r="II62" s="401"/>
      <c r="IJ62" s="401"/>
      <c r="IK62" s="401"/>
      <c r="IL62" s="401"/>
      <c r="IM62" s="401"/>
      <c r="IN62" s="401"/>
      <c r="IO62" s="401"/>
      <c r="IP62" s="401"/>
      <c r="IQ62" s="401"/>
      <c r="IR62" s="401"/>
      <c r="IS62" s="401"/>
      <c r="IT62" s="401"/>
      <c r="IU62" s="401"/>
      <c r="IV62" s="401"/>
    </row>
    <row r="63" spans="1:256">
      <c r="A63" s="401"/>
      <c r="B63" s="401"/>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c r="CF63" s="401"/>
      <c r="CG63" s="401"/>
      <c r="CH63" s="401"/>
      <c r="CI63" s="401"/>
      <c r="CJ63" s="401"/>
      <c r="CK63" s="401"/>
      <c r="CL63" s="401"/>
      <c r="CM63" s="401"/>
      <c r="CN63" s="401"/>
      <c r="CO63" s="401"/>
      <c r="CP63" s="401"/>
      <c r="CQ63" s="401"/>
      <c r="CR63" s="401"/>
      <c r="CS63" s="401"/>
      <c r="CT63" s="401"/>
      <c r="CU63" s="401"/>
      <c r="CV63" s="401"/>
      <c r="CW63" s="401"/>
      <c r="CX63" s="401"/>
      <c r="CY63" s="401"/>
      <c r="CZ63" s="401"/>
      <c r="DA63" s="401"/>
      <c r="DB63" s="401"/>
      <c r="DC63" s="401"/>
      <c r="DD63" s="401"/>
      <c r="DE63" s="401"/>
      <c r="DF63" s="401"/>
      <c r="DG63" s="401"/>
      <c r="DH63" s="401"/>
      <c r="DI63" s="401"/>
      <c r="DJ63" s="401"/>
      <c r="DK63" s="401"/>
      <c r="DL63" s="401"/>
      <c r="DM63" s="401"/>
      <c r="DN63" s="401"/>
      <c r="DO63" s="401"/>
      <c r="DP63" s="401"/>
      <c r="DQ63" s="401"/>
      <c r="DR63" s="401"/>
      <c r="DS63" s="401"/>
      <c r="DT63" s="401"/>
      <c r="DU63" s="401"/>
      <c r="DV63" s="401"/>
      <c r="DW63" s="401"/>
      <c r="DX63" s="401"/>
      <c r="DY63" s="401"/>
      <c r="DZ63" s="401"/>
      <c r="EA63" s="401"/>
      <c r="EB63" s="401"/>
      <c r="EC63" s="401"/>
      <c r="ED63" s="401"/>
      <c r="EE63" s="401"/>
      <c r="EF63" s="401"/>
      <c r="EG63" s="401"/>
      <c r="EH63" s="401"/>
      <c r="EI63" s="401"/>
      <c r="EJ63" s="401"/>
      <c r="EK63" s="401"/>
      <c r="EL63" s="401"/>
      <c r="EM63" s="401"/>
      <c r="EN63" s="401"/>
      <c r="EO63" s="401"/>
      <c r="EP63" s="401"/>
      <c r="EQ63" s="401"/>
      <c r="ER63" s="401"/>
      <c r="ES63" s="401"/>
      <c r="ET63" s="401"/>
      <c r="EU63" s="401"/>
      <c r="EV63" s="401"/>
      <c r="EW63" s="401"/>
      <c r="EX63" s="401"/>
      <c r="EY63" s="401"/>
      <c r="EZ63" s="401"/>
      <c r="FA63" s="401"/>
      <c r="FB63" s="401"/>
      <c r="FC63" s="401"/>
      <c r="FD63" s="401"/>
      <c r="FE63" s="401"/>
      <c r="FF63" s="401"/>
      <c r="FG63" s="401"/>
      <c r="FH63" s="401"/>
      <c r="FI63" s="401"/>
      <c r="FJ63" s="401"/>
      <c r="FK63" s="401"/>
      <c r="FL63" s="401"/>
      <c r="FM63" s="401"/>
      <c r="FN63" s="401"/>
      <c r="FO63" s="401"/>
      <c r="FP63" s="401"/>
      <c r="FQ63" s="401"/>
      <c r="FR63" s="401"/>
      <c r="FS63" s="401"/>
      <c r="FT63" s="401"/>
      <c r="FU63" s="401"/>
      <c r="FV63" s="401"/>
      <c r="FW63" s="401"/>
      <c r="FX63" s="401"/>
      <c r="FY63" s="401"/>
      <c r="FZ63" s="401"/>
      <c r="GA63" s="401"/>
      <c r="GB63" s="401"/>
      <c r="GC63" s="401"/>
      <c r="GD63" s="401"/>
      <c r="GE63" s="401"/>
      <c r="GF63" s="401"/>
      <c r="GG63" s="401"/>
      <c r="GH63" s="401"/>
      <c r="GI63" s="401"/>
      <c r="GJ63" s="401"/>
      <c r="GK63" s="401"/>
      <c r="GL63" s="401"/>
      <c r="GM63" s="401"/>
      <c r="GN63" s="401"/>
      <c r="GO63" s="401"/>
      <c r="GP63" s="401"/>
      <c r="GQ63" s="401"/>
      <c r="GR63" s="401"/>
      <c r="GS63" s="401"/>
      <c r="GT63" s="401"/>
      <c r="GU63" s="401"/>
      <c r="GV63" s="401"/>
      <c r="GW63" s="401"/>
      <c r="GX63" s="401"/>
      <c r="GY63" s="401"/>
      <c r="GZ63" s="401"/>
      <c r="HA63" s="401"/>
      <c r="HB63" s="401"/>
      <c r="HC63" s="401"/>
      <c r="HD63" s="401"/>
      <c r="HE63" s="401"/>
      <c r="HF63" s="401"/>
      <c r="HG63" s="401"/>
      <c r="HH63" s="401"/>
      <c r="HI63" s="401"/>
      <c r="HJ63" s="401"/>
      <c r="HK63" s="401"/>
      <c r="HL63" s="401"/>
      <c r="HM63" s="401"/>
      <c r="HN63" s="401"/>
      <c r="HO63" s="401"/>
      <c r="HP63" s="401"/>
      <c r="HQ63" s="401"/>
      <c r="HR63" s="401"/>
      <c r="HS63" s="401"/>
      <c r="HT63" s="401"/>
      <c r="HU63" s="401"/>
      <c r="HV63" s="401"/>
      <c r="HW63" s="401"/>
      <c r="HX63" s="401"/>
      <c r="HY63" s="401"/>
      <c r="HZ63" s="401"/>
      <c r="IA63" s="401"/>
      <c r="IB63" s="401"/>
      <c r="IC63" s="401"/>
      <c r="ID63" s="401"/>
      <c r="IE63" s="401"/>
      <c r="IF63" s="401"/>
      <c r="IG63" s="401"/>
      <c r="IH63" s="401"/>
      <c r="II63" s="401"/>
      <c r="IJ63" s="401"/>
      <c r="IK63" s="401"/>
      <c r="IL63" s="401"/>
      <c r="IM63" s="401"/>
      <c r="IN63" s="401"/>
      <c r="IO63" s="401"/>
      <c r="IP63" s="401"/>
      <c r="IQ63" s="401"/>
      <c r="IR63" s="401"/>
      <c r="IS63" s="401"/>
      <c r="IT63" s="401"/>
      <c r="IU63" s="401"/>
      <c r="IV63" s="401"/>
    </row>
    <row r="64" spans="1:256">
      <c r="A64" s="401"/>
      <c r="B64" s="401"/>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1"/>
      <c r="BY64" s="401"/>
      <c r="BZ64" s="401"/>
      <c r="CA64" s="401"/>
      <c r="CB64" s="401"/>
      <c r="CC64" s="401"/>
      <c r="CD64" s="401"/>
      <c r="CE64" s="401"/>
      <c r="CF64" s="401"/>
      <c r="CG64" s="401"/>
      <c r="CH64" s="401"/>
      <c r="CI64" s="401"/>
      <c r="CJ64" s="401"/>
      <c r="CK64" s="401"/>
      <c r="CL64" s="401"/>
      <c r="CM64" s="401"/>
      <c r="CN64" s="401"/>
      <c r="CO64" s="401"/>
      <c r="CP64" s="401"/>
      <c r="CQ64" s="401"/>
      <c r="CR64" s="401"/>
      <c r="CS64" s="401"/>
      <c r="CT64" s="401"/>
      <c r="CU64" s="401"/>
      <c r="CV64" s="401"/>
      <c r="CW64" s="401"/>
      <c r="CX64" s="401"/>
      <c r="CY64" s="401"/>
      <c r="CZ64" s="401"/>
      <c r="DA64" s="401"/>
      <c r="DB64" s="401"/>
      <c r="DC64" s="401"/>
      <c r="DD64" s="401"/>
      <c r="DE64" s="401"/>
      <c r="DF64" s="401"/>
      <c r="DG64" s="401"/>
      <c r="DH64" s="401"/>
      <c r="DI64" s="401"/>
      <c r="DJ64" s="401"/>
      <c r="DK64" s="401"/>
      <c r="DL64" s="401"/>
      <c r="DM64" s="401"/>
      <c r="DN64" s="401"/>
      <c r="DO64" s="401"/>
      <c r="DP64" s="401"/>
      <c r="DQ64" s="401"/>
      <c r="DR64" s="401"/>
      <c r="DS64" s="401"/>
      <c r="DT64" s="401"/>
      <c r="DU64" s="401"/>
      <c r="DV64" s="401"/>
      <c r="DW64" s="401"/>
      <c r="DX64" s="401"/>
      <c r="DY64" s="401"/>
      <c r="DZ64" s="401"/>
      <c r="EA64" s="401"/>
      <c r="EB64" s="401"/>
      <c r="EC64" s="401"/>
      <c r="ED64" s="401"/>
      <c r="EE64" s="401"/>
      <c r="EF64" s="401"/>
      <c r="EG64" s="401"/>
      <c r="EH64" s="401"/>
      <c r="EI64" s="401"/>
      <c r="EJ64" s="401"/>
      <c r="EK64" s="401"/>
      <c r="EL64" s="401"/>
      <c r="EM64" s="401"/>
      <c r="EN64" s="401"/>
      <c r="EO64" s="401"/>
      <c r="EP64" s="401"/>
      <c r="EQ64" s="401"/>
      <c r="ER64" s="401"/>
      <c r="ES64" s="401"/>
      <c r="ET64" s="401"/>
      <c r="EU64" s="401"/>
      <c r="EV64" s="401"/>
      <c r="EW64" s="401"/>
      <c r="EX64" s="401"/>
      <c r="EY64" s="401"/>
      <c r="EZ64" s="401"/>
      <c r="FA64" s="401"/>
      <c r="FB64" s="401"/>
      <c r="FC64" s="401"/>
      <c r="FD64" s="401"/>
      <c r="FE64" s="401"/>
      <c r="FF64" s="401"/>
      <c r="FG64" s="401"/>
      <c r="FH64" s="401"/>
      <c r="FI64" s="401"/>
      <c r="FJ64" s="401"/>
      <c r="FK64" s="401"/>
      <c r="FL64" s="401"/>
      <c r="FM64" s="401"/>
      <c r="FN64" s="401"/>
      <c r="FO64" s="401"/>
      <c r="FP64" s="401"/>
      <c r="FQ64" s="401"/>
      <c r="FR64" s="401"/>
      <c r="FS64" s="401"/>
      <c r="FT64" s="401"/>
      <c r="FU64" s="401"/>
      <c r="FV64" s="401"/>
      <c r="FW64" s="401"/>
      <c r="FX64" s="401"/>
      <c r="FY64" s="401"/>
      <c r="FZ64" s="401"/>
      <c r="GA64" s="401"/>
      <c r="GB64" s="401"/>
      <c r="GC64" s="401"/>
      <c r="GD64" s="401"/>
      <c r="GE64" s="401"/>
      <c r="GF64" s="401"/>
      <c r="GG64" s="401"/>
      <c r="GH64" s="401"/>
      <c r="GI64" s="401"/>
      <c r="GJ64" s="401"/>
      <c r="GK64" s="401"/>
      <c r="GL64" s="401"/>
      <c r="GM64" s="401"/>
      <c r="GN64" s="401"/>
      <c r="GO64" s="401"/>
      <c r="GP64" s="401"/>
      <c r="GQ64" s="401"/>
      <c r="GR64" s="401"/>
      <c r="GS64" s="401"/>
      <c r="GT64" s="401"/>
      <c r="GU64" s="401"/>
      <c r="GV64" s="401"/>
      <c r="GW64" s="401"/>
      <c r="GX64" s="401"/>
      <c r="GY64" s="401"/>
      <c r="GZ64" s="401"/>
      <c r="HA64" s="401"/>
      <c r="HB64" s="401"/>
      <c r="HC64" s="401"/>
      <c r="HD64" s="401"/>
      <c r="HE64" s="401"/>
      <c r="HF64" s="401"/>
      <c r="HG64" s="401"/>
      <c r="HH64" s="401"/>
      <c r="HI64" s="401"/>
      <c r="HJ64" s="401"/>
      <c r="HK64" s="401"/>
      <c r="HL64" s="401"/>
      <c r="HM64" s="401"/>
      <c r="HN64" s="401"/>
      <c r="HO64" s="401"/>
      <c r="HP64" s="401"/>
      <c r="HQ64" s="401"/>
      <c r="HR64" s="401"/>
      <c r="HS64" s="401"/>
      <c r="HT64" s="401"/>
      <c r="HU64" s="401"/>
      <c r="HV64" s="401"/>
      <c r="HW64" s="401"/>
      <c r="HX64" s="401"/>
      <c r="HY64" s="401"/>
      <c r="HZ64" s="401"/>
      <c r="IA64" s="401"/>
      <c r="IB64" s="401"/>
      <c r="IC64" s="401"/>
      <c r="ID64" s="401"/>
      <c r="IE64" s="401"/>
      <c r="IF64" s="401"/>
      <c r="IG64" s="401"/>
      <c r="IH64" s="401"/>
      <c r="II64" s="401"/>
      <c r="IJ64" s="401"/>
      <c r="IK64" s="401"/>
      <c r="IL64" s="401"/>
      <c r="IM64" s="401"/>
      <c r="IN64" s="401"/>
      <c r="IO64" s="401"/>
      <c r="IP64" s="401"/>
      <c r="IQ64" s="401"/>
      <c r="IR64" s="401"/>
      <c r="IS64" s="401"/>
      <c r="IT64" s="401"/>
      <c r="IU64" s="401"/>
      <c r="IV64" s="401"/>
    </row>
    <row r="65" spans="1:256">
      <c r="A65" s="401"/>
      <c r="B65" s="401"/>
      <c r="C65" s="401"/>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1"/>
      <c r="BD65" s="401"/>
      <c r="BE65" s="401"/>
      <c r="BF65" s="401"/>
      <c r="BG65" s="401"/>
      <c r="BH65" s="401"/>
      <c r="BI65" s="401"/>
      <c r="BJ65" s="401"/>
      <c r="BK65" s="401"/>
      <c r="BL65" s="401"/>
      <c r="BM65" s="401"/>
      <c r="BN65" s="401"/>
      <c r="BO65" s="401"/>
      <c r="BP65" s="401"/>
      <c r="BQ65" s="401"/>
      <c r="BR65" s="401"/>
      <c r="BS65" s="401"/>
      <c r="BT65" s="401"/>
      <c r="BU65" s="401"/>
      <c r="BV65" s="401"/>
      <c r="BW65" s="401"/>
      <c r="BX65" s="401"/>
      <c r="BY65" s="401"/>
      <c r="BZ65" s="401"/>
      <c r="CA65" s="401"/>
      <c r="CB65" s="401"/>
      <c r="CC65" s="401"/>
      <c r="CD65" s="401"/>
      <c r="CE65" s="401"/>
      <c r="CF65" s="401"/>
      <c r="CG65" s="401"/>
      <c r="CH65" s="401"/>
      <c r="CI65" s="401"/>
      <c r="CJ65" s="401"/>
      <c r="CK65" s="401"/>
      <c r="CL65" s="401"/>
      <c r="CM65" s="401"/>
      <c r="CN65" s="401"/>
      <c r="CO65" s="401"/>
      <c r="CP65" s="401"/>
      <c r="CQ65" s="401"/>
      <c r="CR65" s="401"/>
      <c r="CS65" s="401"/>
      <c r="CT65" s="401"/>
      <c r="CU65" s="401"/>
      <c r="CV65" s="401"/>
      <c r="CW65" s="401"/>
      <c r="CX65" s="401"/>
      <c r="CY65" s="401"/>
      <c r="CZ65" s="401"/>
      <c r="DA65" s="401"/>
      <c r="DB65" s="401"/>
      <c r="DC65" s="401"/>
      <c r="DD65" s="401"/>
      <c r="DE65" s="401"/>
      <c r="DF65" s="401"/>
      <c r="DG65" s="401"/>
      <c r="DH65" s="401"/>
      <c r="DI65" s="401"/>
      <c r="DJ65" s="401"/>
      <c r="DK65" s="401"/>
      <c r="DL65" s="401"/>
      <c r="DM65" s="401"/>
      <c r="DN65" s="401"/>
      <c r="DO65" s="401"/>
      <c r="DP65" s="401"/>
      <c r="DQ65" s="401"/>
      <c r="DR65" s="401"/>
      <c r="DS65" s="401"/>
      <c r="DT65" s="401"/>
      <c r="DU65" s="401"/>
      <c r="DV65" s="401"/>
      <c r="DW65" s="401"/>
      <c r="DX65" s="401"/>
      <c r="DY65" s="401"/>
      <c r="DZ65" s="401"/>
      <c r="EA65" s="401"/>
      <c r="EB65" s="401"/>
      <c r="EC65" s="401"/>
      <c r="ED65" s="401"/>
      <c r="EE65" s="401"/>
      <c r="EF65" s="401"/>
      <c r="EG65" s="401"/>
      <c r="EH65" s="401"/>
      <c r="EI65" s="401"/>
      <c r="EJ65" s="401"/>
      <c r="EK65" s="401"/>
      <c r="EL65" s="401"/>
      <c r="EM65" s="401"/>
      <c r="EN65" s="401"/>
      <c r="EO65" s="401"/>
      <c r="EP65" s="401"/>
      <c r="EQ65" s="401"/>
      <c r="ER65" s="401"/>
      <c r="ES65" s="401"/>
      <c r="ET65" s="401"/>
      <c r="EU65" s="401"/>
      <c r="EV65" s="401"/>
      <c r="EW65" s="401"/>
      <c r="EX65" s="401"/>
      <c r="EY65" s="401"/>
      <c r="EZ65" s="401"/>
      <c r="FA65" s="401"/>
      <c r="FB65" s="401"/>
      <c r="FC65" s="401"/>
      <c r="FD65" s="401"/>
      <c r="FE65" s="401"/>
      <c r="FF65" s="401"/>
      <c r="FG65" s="401"/>
      <c r="FH65" s="401"/>
      <c r="FI65" s="401"/>
      <c r="FJ65" s="401"/>
      <c r="FK65" s="401"/>
      <c r="FL65" s="401"/>
      <c r="FM65" s="401"/>
      <c r="FN65" s="401"/>
      <c r="FO65" s="401"/>
      <c r="FP65" s="401"/>
      <c r="FQ65" s="401"/>
      <c r="FR65" s="401"/>
      <c r="FS65" s="401"/>
      <c r="FT65" s="401"/>
      <c r="FU65" s="401"/>
      <c r="FV65" s="401"/>
      <c r="FW65" s="401"/>
      <c r="FX65" s="401"/>
      <c r="FY65" s="401"/>
      <c r="FZ65" s="401"/>
      <c r="GA65" s="401"/>
      <c r="GB65" s="401"/>
      <c r="GC65" s="401"/>
      <c r="GD65" s="401"/>
      <c r="GE65" s="401"/>
      <c r="GF65" s="401"/>
      <c r="GG65" s="401"/>
      <c r="GH65" s="401"/>
      <c r="GI65" s="401"/>
      <c r="GJ65" s="401"/>
      <c r="GK65" s="401"/>
      <c r="GL65" s="401"/>
      <c r="GM65" s="401"/>
      <c r="GN65" s="401"/>
      <c r="GO65" s="401"/>
      <c r="GP65" s="401"/>
      <c r="GQ65" s="401"/>
      <c r="GR65" s="401"/>
      <c r="GS65" s="401"/>
      <c r="GT65" s="401"/>
      <c r="GU65" s="401"/>
      <c r="GV65" s="401"/>
      <c r="GW65" s="401"/>
      <c r="GX65" s="401"/>
      <c r="GY65" s="401"/>
      <c r="GZ65" s="401"/>
      <c r="HA65" s="401"/>
      <c r="HB65" s="401"/>
      <c r="HC65" s="401"/>
      <c r="HD65" s="401"/>
      <c r="HE65" s="401"/>
      <c r="HF65" s="401"/>
      <c r="HG65" s="401"/>
      <c r="HH65" s="401"/>
      <c r="HI65" s="401"/>
      <c r="HJ65" s="401"/>
      <c r="HK65" s="401"/>
      <c r="HL65" s="401"/>
      <c r="HM65" s="401"/>
      <c r="HN65" s="401"/>
      <c r="HO65" s="401"/>
      <c r="HP65" s="401"/>
      <c r="HQ65" s="401"/>
      <c r="HR65" s="401"/>
      <c r="HS65" s="401"/>
      <c r="HT65" s="401"/>
      <c r="HU65" s="401"/>
      <c r="HV65" s="401"/>
      <c r="HW65" s="401"/>
      <c r="HX65" s="401"/>
      <c r="HY65" s="401"/>
      <c r="HZ65" s="401"/>
      <c r="IA65" s="401"/>
      <c r="IB65" s="401"/>
      <c r="IC65" s="401"/>
      <c r="ID65" s="401"/>
      <c r="IE65" s="401"/>
      <c r="IF65" s="401"/>
      <c r="IG65" s="401"/>
      <c r="IH65" s="401"/>
      <c r="II65" s="401"/>
      <c r="IJ65" s="401"/>
      <c r="IK65" s="401"/>
      <c r="IL65" s="401"/>
      <c r="IM65" s="401"/>
      <c r="IN65" s="401"/>
      <c r="IO65" s="401"/>
      <c r="IP65" s="401"/>
      <c r="IQ65" s="401"/>
      <c r="IR65" s="401"/>
      <c r="IS65" s="401"/>
      <c r="IT65" s="401"/>
      <c r="IU65" s="401"/>
      <c r="IV65" s="401"/>
    </row>
    <row r="66" spans="1:256">
      <c r="A66" s="401"/>
      <c r="B66" s="401"/>
      <c r="C66" s="401"/>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1"/>
      <c r="AS66" s="401"/>
      <c r="AT66" s="401"/>
      <c r="AU66" s="401"/>
      <c r="AV66" s="401"/>
      <c r="AW66" s="401"/>
      <c r="AX66" s="401"/>
      <c r="AY66" s="401"/>
      <c r="AZ66" s="401"/>
      <c r="BA66" s="401"/>
      <c r="BB66" s="401"/>
      <c r="BC66" s="401"/>
      <c r="BD66" s="401"/>
      <c r="BE66" s="401"/>
      <c r="BF66" s="401"/>
      <c r="BG66" s="401"/>
      <c r="BH66" s="401"/>
      <c r="BI66" s="401"/>
      <c r="BJ66" s="401"/>
      <c r="BK66" s="401"/>
      <c r="BL66" s="401"/>
      <c r="BM66" s="401"/>
      <c r="BN66" s="401"/>
      <c r="BO66" s="401"/>
      <c r="BP66" s="401"/>
      <c r="BQ66" s="401"/>
      <c r="BR66" s="401"/>
      <c r="BS66" s="401"/>
      <c r="BT66" s="401"/>
      <c r="BU66" s="401"/>
      <c r="BV66" s="401"/>
      <c r="BW66" s="401"/>
      <c r="BX66" s="401"/>
      <c r="BY66" s="401"/>
      <c r="BZ66" s="401"/>
      <c r="CA66" s="401"/>
      <c r="CB66" s="401"/>
      <c r="CC66" s="401"/>
      <c r="CD66" s="401"/>
      <c r="CE66" s="401"/>
      <c r="CF66" s="401"/>
      <c r="CG66" s="401"/>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c r="FK66" s="401"/>
      <c r="FL66" s="401"/>
      <c r="FM66" s="401"/>
      <c r="FN66" s="401"/>
      <c r="FO66" s="401"/>
      <c r="FP66" s="401"/>
      <c r="FQ66" s="401"/>
      <c r="FR66" s="401"/>
      <c r="FS66" s="401"/>
      <c r="FT66" s="401"/>
      <c r="FU66" s="401"/>
      <c r="FV66" s="401"/>
      <c r="FW66" s="401"/>
      <c r="FX66" s="401"/>
      <c r="FY66" s="401"/>
      <c r="FZ66" s="401"/>
      <c r="GA66" s="401"/>
      <c r="GB66" s="401"/>
      <c r="GC66" s="401"/>
      <c r="GD66" s="401"/>
      <c r="GE66" s="401"/>
      <c r="GF66" s="401"/>
      <c r="GG66" s="401"/>
      <c r="GH66" s="401"/>
      <c r="GI66" s="401"/>
      <c r="GJ66" s="401"/>
      <c r="GK66" s="401"/>
      <c r="GL66" s="401"/>
      <c r="GM66" s="401"/>
      <c r="GN66" s="401"/>
      <c r="GO66" s="401"/>
      <c r="GP66" s="401"/>
      <c r="GQ66" s="401"/>
      <c r="GR66" s="401"/>
      <c r="GS66" s="401"/>
      <c r="GT66" s="401"/>
      <c r="GU66" s="401"/>
      <c r="GV66" s="401"/>
      <c r="GW66" s="401"/>
      <c r="GX66" s="401"/>
      <c r="GY66" s="401"/>
      <c r="GZ66" s="401"/>
      <c r="HA66" s="401"/>
      <c r="HB66" s="401"/>
      <c r="HC66" s="401"/>
      <c r="HD66" s="401"/>
      <c r="HE66" s="401"/>
      <c r="HF66" s="401"/>
      <c r="HG66" s="401"/>
      <c r="HH66" s="401"/>
      <c r="HI66" s="401"/>
      <c r="HJ66" s="401"/>
      <c r="HK66" s="401"/>
      <c r="HL66" s="401"/>
      <c r="HM66" s="401"/>
      <c r="HN66" s="401"/>
      <c r="HO66" s="401"/>
      <c r="HP66" s="401"/>
      <c r="HQ66" s="401"/>
      <c r="HR66" s="401"/>
      <c r="HS66" s="401"/>
      <c r="HT66" s="401"/>
      <c r="HU66" s="401"/>
      <c r="HV66" s="401"/>
      <c r="HW66" s="401"/>
      <c r="HX66" s="401"/>
      <c r="HY66" s="401"/>
      <c r="HZ66" s="401"/>
      <c r="IA66" s="401"/>
      <c r="IB66" s="401"/>
      <c r="IC66" s="401"/>
      <c r="ID66" s="401"/>
      <c r="IE66" s="401"/>
      <c r="IF66" s="401"/>
      <c r="IG66" s="401"/>
      <c r="IH66" s="401"/>
      <c r="II66" s="401"/>
      <c r="IJ66" s="401"/>
      <c r="IK66" s="401"/>
      <c r="IL66" s="401"/>
      <c r="IM66" s="401"/>
      <c r="IN66" s="401"/>
      <c r="IO66" s="401"/>
      <c r="IP66" s="401"/>
      <c r="IQ66" s="401"/>
      <c r="IR66" s="401"/>
      <c r="IS66" s="401"/>
      <c r="IT66" s="401"/>
      <c r="IU66" s="401"/>
      <c r="IV66" s="401"/>
    </row>
    <row r="67" spans="1:256">
      <c r="A67" s="401"/>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1"/>
      <c r="BB67" s="401"/>
      <c r="BC67" s="401"/>
      <c r="BD67" s="401"/>
      <c r="BE67" s="401"/>
      <c r="BF67" s="401"/>
      <c r="BG67" s="401"/>
      <c r="BH67" s="401"/>
      <c r="BI67" s="401"/>
      <c r="BJ67" s="401"/>
      <c r="BK67" s="401"/>
      <c r="BL67" s="401"/>
      <c r="BM67" s="401"/>
      <c r="BN67" s="401"/>
      <c r="BO67" s="401"/>
      <c r="BP67" s="401"/>
      <c r="BQ67" s="401"/>
      <c r="BR67" s="401"/>
      <c r="BS67" s="401"/>
      <c r="BT67" s="401"/>
      <c r="BU67" s="401"/>
      <c r="BV67" s="401"/>
      <c r="BW67" s="401"/>
      <c r="BX67" s="401"/>
      <c r="BY67" s="401"/>
      <c r="BZ67" s="401"/>
      <c r="CA67" s="401"/>
      <c r="CB67" s="401"/>
      <c r="CC67" s="401"/>
      <c r="CD67" s="401"/>
      <c r="CE67" s="401"/>
      <c r="CF67" s="401"/>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c r="FK67" s="401"/>
      <c r="FL67" s="401"/>
      <c r="FM67" s="401"/>
      <c r="FN67" s="401"/>
      <c r="FO67" s="401"/>
      <c r="FP67" s="401"/>
      <c r="FQ67" s="401"/>
      <c r="FR67" s="401"/>
      <c r="FS67" s="401"/>
      <c r="FT67" s="401"/>
      <c r="FU67" s="401"/>
      <c r="FV67" s="401"/>
      <c r="FW67" s="401"/>
      <c r="FX67" s="401"/>
      <c r="FY67" s="401"/>
      <c r="FZ67" s="401"/>
      <c r="GA67" s="401"/>
      <c r="GB67" s="401"/>
      <c r="GC67" s="401"/>
      <c r="GD67" s="401"/>
      <c r="GE67" s="401"/>
      <c r="GF67" s="401"/>
      <c r="GG67" s="401"/>
      <c r="GH67" s="401"/>
      <c r="GI67" s="401"/>
      <c r="GJ67" s="401"/>
      <c r="GK67" s="401"/>
      <c r="GL67" s="401"/>
      <c r="GM67" s="401"/>
      <c r="GN67" s="401"/>
      <c r="GO67" s="401"/>
      <c r="GP67" s="401"/>
      <c r="GQ67" s="401"/>
      <c r="GR67" s="401"/>
      <c r="GS67" s="401"/>
      <c r="GT67" s="401"/>
      <c r="GU67" s="401"/>
      <c r="GV67" s="401"/>
      <c r="GW67" s="401"/>
      <c r="GX67" s="401"/>
      <c r="GY67" s="401"/>
      <c r="GZ67" s="401"/>
      <c r="HA67" s="401"/>
      <c r="HB67" s="401"/>
      <c r="HC67" s="401"/>
      <c r="HD67" s="401"/>
      <c r="HE67" s="401"/>
      <c r="HF67" s="401"/>
      <c r="HG67" s="401"/>
      <c r="HH67" s="401"/>
      <c r="HI67" s="401"/>
      <c r="HJ67" s="401"/>
      <c r="HK67" s="401"/>
      <c r="HL67" s="401"/>
      <c r="HM67" s="401"/>
      <c r="HN67" s="401"/>
      <c r="HO67" s="401"/>
      <c r="HP67" s="401"/>
      <c r="HQ67" s="401"/>
      <c r="HR67" s="401"/>
      <c r="HS67" s="401"/>
      <c r="HT67" s="401"/>
      <c r="HU67" s="401"/>
      <c r="HV67" s="401"/>
      <c r="HW67" s="401"/>
      <c r="HX67" s="401"/>
      <c r="HY67" s="401"/>
      <c r="HZ67" s="401"/>
      <c r="IA67" s="401"/>
      <c r="IB67" s="401"/>
      <c r="IC67" s="401"/>
      <c r="ID67" s="401"/>
      <c r="IE67" s="401"/>
      <c r="IF67" s="401"/>
      <c r="IG67" s="401"/>
      <c r="IH67" s="401"/>
      <c r="II67" s="401"/>
      <c r="IJ67" s="401"/>
      <c r="IK67" s="401"/>
      <c r="IL67" s="401"/>
      <c r="IM67" s="401"/>
      <c r="IN67" s="401"/>
      <c r="IO67" s="401"/>
      <c r="IP67" s="401"/>
      <c r="IQ67" s="401"/>
      <c r="IR67" s="401"/>
      <c r="IS67" s="401"/>
      <c r="IT67" s="401"/>
      <c r="IU67" s="401"/>
      <c r="IV67" s="401"/>
    </row>
    <row r="68" spans="1:256">
      <c r="A68" s="401"/>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401"/>
      <c r="AU68" s="401"/>
      <c r="AV68" s="401"/>
      <c r="AW68" s="401"/>
      <c r="AX68" s="401"/>
      <c r="AY68" s="401"/>
      <c r="AZ68" s="401"/>
      <c r="BA68" s="401"/>
      <c r="BB68" s="401"/>
      <c r="BC68" s="401"/>
      <c r="BD68" s="401"/>
      <c r="BE68" s="401"/>
      <c r="BF68" s="401"/>
      <c r="BG68" s="401"/>
      <c r="BH68" s="401"/>
      <c r="BI68" s="401"/>
      <c r="BJ68" s="401"/>
      <c r="BK68" s="401"/>
      <c r="BL68" s="401"/>
      <c r="BM68" s="401"/>
      <c r="BN68" s="401"/>
      <c r="BO68" s="401"/>
      <c r="BP68" s="401"/>
      <c r="BQ68" s="401"/>
      <c r="BR68" s="401"/>
      <c r="BS68" s="401"/>
      <c r="BT68" s="401"/>
      <c r="BU68" s="401"/>
      <c r="BV68" s="401"/>
      <c r="BW68" s="401"/>
      <c r="BX68" s="401"/>
      <c r="BY68" s="401"/>
      <c r="BZ68" s="401"/>
      <c r="CA68" s="401"/>
      <c r="CB68" s="401"/>
      <c r="CC68" s="401"/>
      <c r="CD68" s="401"/>
      <c r="CE68" s="401"/>
      <c r="CF68" s="401"/>
      <c r="CG68" s="401"/>
      <c r="CH68" s="401"/>
      <c r="CI68" s="401"/>
      <c r="CJ68" s="401"/>
      <c r="CK68" s="401"/>
      <c r="CL68" s="401"/>
      <c r="CM68" s="401"/>
      <c r="CN68" s="401"/>
      <c r="CO68" s="401"/>
      <c r="CP68" s="401"/>
      <c r="CQ68" s="401"/>
      <c r="CR68" s="401"/>
      <c r="CS68" s="401"/>
      <c r="CT68" s="401"/>
      <c r="CU68" s="401"/>
      <c r="CV68" s="401"/>
      <c r="CW68" s="401"/>
      <c r="CX68" s="401"/>
      <c r="CY68" s="401"/>
      <c r="CZ68" s="401"/>
      <c r="DA68" s="401"/>
      <c r="DB68" s="401"/>
      <c r="DC68" s="401"/>
      <c r="DD68" s="401"/>
      <c r="DE68" s="401"/>
      <c r="DF68" s="401"/>
      <c r="DG68" s="401"/>
      <c r="DH68" s="401"/>
      <c r="DI68" s="401"/>
      <c r="DJ68" s="401"/>
      <c r="DK68" s="401"/>
      <c r="DL68" s="401"/>
      <c r="DM68" s="401"/>
      <c r="DN68" s="401"/>
      <c r="DO68" s="401"/>
      <c r="DP68" s="401"/>
      <c r="DQ68" s="401"/>
      <c r="DR68" s="401"/>
      <c r="DS68" s="401"/>
      <c r="DT68" s="401"/>
      <c r="DU68" s="401"/>
      <c r="DV68" s="401"/>
      <c r="DW68" s="401"/>
      <c r="DX68" s="401"/>
      <c r="DY68" s="401"/>
      <c r="DZ68" s="401"/>
      <c r="EA68" s="401"/>
      <c r="EB68" s="401"/>
      <c r="EC68" s="401"/>
      <c r="ED68" s="401"/>
      <c r="EE68" s="401"/>
      <c r="EF68" s="401"/>
      <c r="EG68" s="401"/>
      <c r="EH68" s="401"/>
      <c r="EI68" s="401"/>
      <c r="EJ68" s="401"/>
      <c r="EK68" s="401"/>
      <c r="EL68" s="401"/>
      <c r="EM68" s="401"/>
      <c r="EN68" s="401"/>
      <c r="EO68" s="401"/>
      <c r="EP68" s="401"/>
      <c r="EQ68" s="401"/>
      <c r="ER68" s="401"/>
      <c r="ES68" s="401"/>
      <c r="ET68" s="401"/>
      <c r="EU68" s="401"/>
      <c r="EV68" s="401"/>
      <c r="EW68" s="401"/>
      <c r="EX68" s="401"/>
      <c r="EY68" s="401"/>
      <c r="EZ68" s="401"/>
      <c r="FA68" s="401"/>
      <c r="FB68" s="401"/>
      <c r="FC68" s="401"/>
      <c r="FD68" s="401"/>
      <c r="FE68" s="401"/>
      <c r="FF68" s="401"/>
      <c r="FG68" s="401"/>
      <c r="FH68" s="401"/>
      <c r="FI68" s="401"/>
      <c r="FJ68" s="401"/>
      <c r="FK68" s="401"/>
      <c r="FL68" s="401"/>
      <c r="FM68" s="401"/>
      <c r="FN68" s="401"/>
      <c r="FO68" s="401"/>
      <c r="FP68" s="401"/>
      <c r="FQ68" s="401"/>
      <c r="FR68" s="401"/>
      <c r="FS68" s="401"/>
      <c r="FT68" s="401"/>
      <c r="FU68" s="401"/>
      <c r="FV68" s="401"/>
      <c r="FW68" s="401"/>
      <c r="FX68" s="401"/>
      <c r="FY68" s="401"/>
      <c r="FZ68" s="401"/>
      <c r="GA68" s="401"/>
      <c r="GB68" s="401"/>
      <c r="GC68" s="401"/>
      <c r="GD68" s="401"/>
      <c r="GE68" s="401"/>
      <c r="GF68" s="401"/>
      <c r="GG68" s="401"/>
      <c r="GH68" s="401"/>
      <c r="GI68" s="401"/>
      <c r="GJ68" s="401"/>
      <c r="GK68" s="401"/>
      <c r="GL68" s="401"/>
      <c r="GM68" s="401"/>
      <c r="GN68" s="401"/>
      <c r="GO68" s="401"/>
      <c r="GP68" s="401"/>
      <c r="GQ68" s="401"/>
      <c r="GR68" s="401"/>
      <c r="GS68" s="401"/>
      <c r="GT68" s="401"/>
      <c r="GU68" s="401"/>
      <c r="GV68" s="401"/>
      <c r="GW68" s="401"/>
      <c r="GX68" s="401"/>
      <c r="GY68" s="401"/>
      <c r="GZ68" s="401"/>
      <c r="HA68" s="401"/>
      <c r="HB68" s="401"/>
      <c r="HC68" s="401"/>
      <c r="HD68" s="401"/>
      <c r="HE68" s="401"/>
      <c r="HF68" s="401"/>
      <c r="HG68" s="401"/>
      <c r="HH68" s="401"/>
      <c r="HI68" s="401"/>
      <c r="HJ68" s="401"/>
      <c r="HK68" s="401"/>
      <c r="HL68" s="401"/>
      <c r="HM68" s="401"/>
      <c r="HN68" s="401"/>
      <c r="HO68" s="401"/>
      <c r="HP68" s="401"/>
      <c r="HQ68" s="401"/>
      <c r="HR68" s="401"/>
      <c r="HS68" s="401"/>
      <c r="HT68" s="401"/>
      <c r="HU68" s="401"/>
      <c r="HV68" s="401"/>
      <c r="HW68" s="401"/>
      <c r="HX68" s="401"/>
      <c r="HY68" s="401"/>
      <c r="HZ68" s="401"/>
      <c r="IA68" s="401"/>
      <c r="IB68" s="401"/>
      <c r="IC68" s="401"/>
      <c r="ID68" s="401"/>
      <c r="IE68" s="401"/>
      <c r="IF68" s="401"/>
      <c r="IG68" s="401"/>
      <c r="IH68" s="401"/>
      <c r="II68" s="401"/>
      <c r="IJ68" s="401"/>
      <c r="IK68" s="401"/>
      <c r="IL68" s="401"/>
      <c r="IM68" s="401"/>
      <c r="IN68" s="401"/>
      <c r="IO68" s="401"/>
      <c r="IP68" s="401"/>
      <c r="IQ68" s="401"/>
      <c r="IR68" s="401"/>
      <c r="IS68" s="401"/>
      <c r="IT68" s="401"/>
      <c r="IU68" s="401"/>
      <c r="IV68" s="401"/>
    </row>
    <row r="69" spans="1:256">
      <c r="A69" s="401"/>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c r="CZ69" s="401"/>
      <c r="DA69" s="401"/>
      <c r="DB69" s="401"/>
      <c r="DC69" s="401"/>
      <c r="DD69" s="401"/>
      <c r="DE69" s="401"/>
      <c r="DF69" s="401"/>
      <c r="DG69" s="401"/>
      <c r="DH69" s="401"/>
      <c r="DI69" s="401"/>
      <c r="DJ69" s="401"/>
      <c r="DK69" s="401"/>
      <c r="DL69" s="401"/>
      <c r="DM69" s="401"/>
      <c r="DN69" s="401"/>
      <c r="DO69" s="401"/>
      <c r="DP69" s="401"/>
      <c r="DQ69" s="401"/>
      <c r="DR69" s="401"/>
      <c r="DS69" s="401"/>
      <c r="DT69" s="401"/>
      <c r="DU69" s="401"/>
      <c r="DV69" s="401"/>
      <c r="DW69" s="401"/>
      <c r="DX69" s="401"/>
      <c r="DY69" s="401"/>
      <c r="DZ69" s="401"/>
      <c r="EA69" s="401"/>
      <c r="EB69" s="401"/>
      <c r="EC69" s="401"/>
      <c r="ED69" s="401"/>
      <c r="EE69" s="401"/>
      <c r="EF69" s="401"/>
      <c r="EG69" s="401"/>
      <c r="EH69" s="401"/>
      <c r="EI69" s="401"/>
      <c r="EJ69" s="401"/>
      <c r="EK69" s="401"/>
      <c r="EL69" s="401"/>
      <c r="EM69" s="401"/>
      <c r="EN69" s="401"/>
      <c r="EO69" s="401"/>
      <c r="EP69" s="401"/>
      <c r="EQ69" s="401"/>
      <c r="ER69" s="401"/>
      <c r="ES69" s="401"/>
      <c r="ET69" s="401"/>
      <c r="EU69" s="401"/>
      <c r="EV69" s="401"/>
      <c r="EW69" s="401"/>
      <c r="EX69" s="401"/>
      <c r="EY69" s="401"/>
      <c r="EZ69" s="401"/>
      <c r="FA69" s="401"/>
      <c r="FB69" s="401"/>
      <c r="FC69" s="401"/>
      <c r="FD69" s="401"/>
      <c r="FE69" s="401"/>
      <c r="FF69" s="401"/>
      <c r="FG69" s="401"/>
      <c r="FH69" s="401"/>
      <c r="FI69" s="401"/>
      <c r="FJ69" s="401"/>
      <c r="FK69" s="401"/>
      <c r="FL69" s="401"/>
      <c r="FM69" s="401"/>
      <c r="FN69" s="401"/>
      <c r="FO69" s="401"/>
      <c r="FP69" s="401"/>
      <c r="FQ69" s="401"/>
      <c r="FR69" s="401"/>
      <c r="FS69" s="401"/>
      <c r="FT69" s="401"/>
      <c r="FU69" s="401"/>
      <c r="FV69" s="401"/>
      <c r="FW69" s="401"/>
      <c r="FX69" s="401"/>
      <c r="FY69" s="401"/>
      <c r="FZ69" s="401"/>
      <c r="GA69" s="401"/>
      <c r="GB69" s="401"/>
      <c r="GC69" s="401"/>
      <c r="GD69" s="401"/>
      <c r="GE69" s="401"/>
      <c r="GF69" s="401"/>
      <c r="GG69" s="401"/>
      <c r="GH69" s="401"/>
      <c r="GI69" s="401"/>
      <c r="GJ69" s="401"/>
      <c r="GK69" s="401"/>
      <c r="GL69" s="401"/>
      <c r="GM69" s="401"/>
      <c r="GN69" s="401"/>
      <c r="GO69" s="401"/>
      <c r="GP69" s="401"/>
      <c r="GQ69" s="401"/>
      <c r="GR69" s="401"/>
      <c r="GS69" s="401"/>
      <c r="GT69" s="401"/>
      <c r="GU69" s="401"/>
      <c r="GV69" s="401"/>
      <c r="GW69" s="401"/>
      <c r="GX69" s="401"/>
      <c r="GY69" s="401"/>
      <c r="GZ69" s="401"/>
      <c r="HA69" s="401"/>
      <c r="HB69" s="401"/>
      <c r="HC69" s="401"/>
      <c r="HD69" s="401"/>
      <c r="HE69" s="401"/>
      <c r="HF69" s="401"/>
      <c r="HG69" s="401"/>
      <c r="HH69" s="401"/>
      <c r="HI69" s="401"/>
      <c r="HJ69" s="401"/>
      <c r="HK69" s="401"/>
      <c r="HL69" s="401"/>
      <c r="HM69" s="401"/>
      <c r="HN69" s="401"/>
      <c r="HO69" s="401"/>
      <c r="HP69" s="401"/>
      <c r="HQ69" s="401"/>
      <c r="HR69" s="401"/>
      <c r="HS69" s="401"/>
      <c r="HT69" s="401"/>
      <c r="HU69" s="401"/>
      <c r="HV69" s="401"/>
      <c r="HW69" s="401"/>
      <c r="HX69" s="401"/>
      <c r="HY69" s="401"/>
      <c r="HZ69" s="401"/>
      <c r="IA69" s="401"/>
      <c r="IB69" s="401"/>
      <c r="IC69" s="401"/>
      <c r="ID69" s="401"/>
      <c r="IE69" s="401"/>
      <c r="IF69" s="401"/>
      <c r="IG69" s="401"/>
      <c r="IH69" s="401"/>
      <c r="II69" s="401"/>
      <c r="IJ69" s="401"/>
      <c r="IK69" s="401"/>
      <c r="IL69" s="401"/>
      <c r="IM69" s="401"/>
      <c r="IN69" s="401"/>
      <c r="IO69" s="401"/>
      <c r="IP69" s="401"/>
      <c r="IQ69" s="401"/>
      <c r="IR69" s="401"/>
      <c r="IS69" s="401"/>
      <c r="IT69" s="401"/>
      <c r="IU69" s="401"/>
      <c r="IV69" s="401"/>
    </row>
    <row r="70" spans="1:256">
      <c r="A70" s="401"/>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c r="BD70" s="401"/>
      <c r="BE70" s="401"/>
      <c r="BF70" s="401"/>
      <c r="BG70" s="401"/>
      <c r="BH70" s="401"/>
      <c r="BI70" s="401"/>
      <c r="BJ70" s="401"/>
      <c r="BK70" s="401"/>
      <c r="BL70" s="401"/>
      <c r="BM70" s="401"/>
      <c r="BN70" s="401"/>
      <c r="BO70" s="401"/>
      <c r="BP70" s="401"/>
      <c r="BQ70" s="401"/>
      <c r="BR70" s="401"/>
      <c r="BS70" s="401"/>
      <c r="BT70" s="401"/>
      <c r="BU70" s="401"/>
      <c r="BV70" s="401"/>
      <c r="BW70" s="401"/>
      <c r="BX70" s="401"/>
      <c r="BY70" s="401"/>
      <c r="BZ70" s="401"/>
      <c r="CA70" s="401"/>
      <c r="CB70" s="401"/>
      <c r="CC70" s="401"/>
      <c r="CD70" s="401"/>
      <c r="CE70" s="401"/>
      <c r="CF70" s="401"/>
      <c r="CG70" s="401"/>
      <c r="CH70" s="401"/>
      <c r="CI70" s="401"/>
      <c r="CJ70" s="401"/>
      <c r="CK70" s="401"/>
      <c r="CL70" s="401"/>
      <c r="CM70" s="401"/>
      <c r="CN70" s="401"/>
      <c r="CO70" s="401"/>
      <c r="CP70" s="401"/>
      <c r="CQ70" s="401"/>
      <c r="CR70" s="401"/>
      <c r="CS70" s="401"/>
      <c r="CT70" s="401"/>
      <c r="CU70" s="401"/>
      <c r="CV70" s="401"/>
      <c r="CW70" s="401"/>
      <c r="CX70" s="401"/>
      <c r="CY70" s="401"/>
      <c r="CZ70" s="401"/>
      <c r="DA70" s="401"/>
      <c r="DB70" s="401"/>
      <c r="DC70" s="401"/>
      <c r="DD70" s="401"/>
      <c r="DE70" s="401"/>
      <c r="DF70" s="401"/>
      <c r="DG70" s="401"/>
      <c r="DH70" s="401"/>
      <c r="DI70" s="401"/>
      <c r="DJ70" s="401"/>
      <c r="DK70" s="401"/>
      <c r="DL70" s="401"/>
      <c r="DM70" s="401"/>
      <c r="DN70" s="401"/>
      <c r="DO70" s="401"/>
      <c r="DP70" s="401"/>
      <c r="DQ70" s="401"/>
      <c r="DR70" s="401"/>
      <c r="DS70" s="401"/>
      <c r="DT70" s="401"/>
      <c r="DU70" s="401"/>
      <c r="DV70" s="401"/>
      <c r="DW70" s="401"/>
      <c r="DX70" s="401"/>
      <c r="DY70" s="401"/>
      <c r="DZ70" s="401"/>
      <c r="EA70" s="401"/>
      <c r="EB70" s="401"/>
      <c r="EC70" s="401"/>
      <c r="ED70" s="401"/>
      <c r="EE70" s="401"/>
      <c r="EF70" s="401"/>
      <c r="EG70" s="401"/>
      <c r="EH70" s="401"/>
      <c r="EI70" s="401"/>
      <c r="EJ70" s="401"/>
      <c r="EK70" s="401"/>
      <c r="EL70" s="401"/>
      <c r="EM70" s="401"/>
      <c r="EN70" s="401"/>
      <c r="EO70" s="401"/>
      <c r="EP70" s="401"/>
      <c r="EQ70" s="401"/>
      <c r="ER70" s="401"/>
      <c r="ES70" s="401"/>
      <c r="ET70" s="401"/>
      <c r="EU70" s="401"/>
      <c r="EV70" s="401"/>
      <c r="EW70" s="401"/>
      <c r="EX70" s="401"/>
      <c r="EY70" s="401"/>
      <c r="EZ70" s="401"/>
      <c r="FA70" s="401"/>
      <c r="FB70" s="401"/>
      <c r="FC70" s="401"/>
      <c r="FD70" s="401"/>
      <c r="FE70" s="401"/>
      <c r="FF70" s="401"/>
      <c r="FG70" s="401"/>
      <c r="FH70" s="401"/>
      <c r="FI70" s="401"/>
      <c r="FJ70" s="401"/>
      <c r="FK70" s="401"/>
      <c r="FL70" s="401"/>
      <c r="FM70" s="401"/>
      <c r="FN70" s="401"/>
      <c r="FO70" s="401"/>
      <c r="FP70" s="401"/>
      <c r="FQ70" s="401"/>
      <c r="FR70" s="401"/>
      <c r="FS70" s="401"/>
      <c r="FT70" s="401"/>
      <c r="FU70" s="401"/>
      <c r="FV70" s="401"/>
      <c r="FW70" s="401"/>
      <c r="FX70" s="401"/>
      <c r="FY70" s="401"/>
      <c r="FZ70" s="401"/>
      <c r="GA70" s="401"/>
      <c r="GB70" s="401"/>
      <c r="GC70" s="401"/>
      <c r="GD70" s="401"/>
      <c r="GE70" s="401"/>
      <c r="GF70" s="401"/>
      <c r="GG70" s="401"/>
      <c r="GH70" s="401"/>
      <c r="GI70" s="401"/>
      <c r="GJ70" s="401"/>
      <c r="GK70" s="401"/>
      <c r="GL70" s="401"/>
      <c r="GM70" s="401"/>
      <c r="GN70" s="401"/>
      <c r="GO70" s="401"/>
      <c r="GP70" s="401"/>
      <c r="GQ70" s="401"/>
      <c r="GR70" s="401"/>
      <c r="GS70" s="401"/>
      <c r="GT70" s="401"/>
      <c r="GU70" s="401"/>
      <c r="GV70" s="401"/>
      <c r="GW70" s="401"/>
      <c r="GX70" s="401"/>
      <c r="GY70" s="401"/>
      <c r="GZ70" s="401"/>
      <c r="HA70" s="401"/>
      <c r="HB70" s="401"/>
      <c r="HC70" s="401"/>
      <c r="HD70" s="401"/>
      <c r="HE70" s="401"/>
      <c r="HF70" s="401"/>
      <c r="HG70" s="401"/>
      <c r="HH70" s="401"/>
      <c r="HI70" s="401"/>
      <c r="HJ70" s="401"/>
      <c r="HK70" s="401"/>
      <c r="HL70" s="401"/>
      <c r="HM70" s="401"/>
      <c r="HN70" s="401"/>
      <c r="HO70" s="401"/>
      <c r="HP70" s="401"/>
      <c r="HQ70" s="401"/>
      <c r="HR70" s="401"/>
      <c r="HS70" s="401"/>
      <c r="HT70" s="401"/>
      <c r="HU70" s="401"/>
      <c r="HV70" s="401"/>
      <c r="HW70" s="401"/>
      <c r="HX70" s="401"/>
      <c r="HY70" s="401"/>
      <c r="HZ70" s="401"/>
      <c r="IA70" s="401"/>
      <c r="IB70" s="401"/>
      <c r="IC70" s="401"/>
      <c r="ID70" s="401"/>
      <c r="IE70" s="401"/>
      <c r="IF70" s="401"/>
      <c r="IG70" s="401"/>
      <c r="IH70" s="401"/>
      <c r="II70" s="401"/>
      <c r="IJ70" s="401"/>
      <c r="IK70" s="401"/>
      <c r="IL70" s="401"/>
      <c r="IM70" s="401"/>
      <c r="IN70" s="401"/>
      <c r="IO70" s="401"/>
      <c r="IP70" s="401"/>
      <c r="IQ70" s="401"/>
      <c r="IR70" s="401"/>
      <c r="IS70" s="401"/>
      <c r="IT70" s="401"/>
      <c r="IU70" s="401"/>
      <c r="IV70" s="401"/>
    </row>
    <row r="71" spans="1:256">
      <c r="A71" s="401"/>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401"/>
      <c r="AX71" s="401"/>
      <c r="AY71" s="401"/>
      <c r="AZ71" s="401"/>
      <c r="BA71" s="401"/>
      <c r="BB71" s="401"/>
      <c r="BC71" s="401"/>
      <c r="BD71" s="401"/>
      <c r="BE71" s="401"/>
      <c r="BF71" s="401"/>
      <c r="BG71" s="401"/>
      <c r="BH71" s="401"/>
      <c r="BI71" s="401"/>
      <c r="BJ71" s="401"/>
      <c r="BK71" s="401"/>
      <c r="BL71" s="401"/>
      <c r="BM71" s="401"/>
      <c r="BN71" s="401"/>
      <c r="BO71" s="401"/>
      <c r="BP71" s="401"/>
      <c r="BQ71" s="401"/>
      <c r="BR71" s="401"/>
      <c r="BS71" s="401"/>
      <c r="BT71" s="401"/>
      <c r="BU71" s="401"/>
      <c r="BV71" s="401"/>
      <c r="BW71" s="401"/>
      <c r="BX71" s="401"/>
      <c r="BY71" s="401"/>
      <c r="BZ71" s="401"/>
      <c r="CA71" s="401"/>
      <c r="CB71" s="401"/>
      <c r="CC71" s="401"/>
      <c r="CD71" s="401"/>
      <c r="CE71" s="401"/>
      <c r="CF71" s="401"/>
      <c r="CG71" s="401"/>
      <c r="CH71" s="401"/>
      <c r="CI71" s="401"/>
      <c r="CJ71" s="401"/>
      <c r="CK71" s="401"/>
      <c r="CL71" s="401"/>
      <c r="CM71" s="401"/>
      <c r="CN71" s="401"/>
      <c r="CO71" s="401"/>
      <c r="CP71" s="401"/>
      <c r="CQ71" s="401"/>
      <c r="CR71" s="401"/>
      <c r="CS71" s="401"/>
      <c r="CT71" s="401"/>
      <c r="CU71" s="401"/>
      <c r="CV71" s="401"/>
      <c r="CW71" s="401"/>
      <c r="CX71" s="401"/>
      <c r="CY71" s="401"/>
      <c r="CZ71" s="401"/>
      <c r="DA71" s="401"/>
      <c r="DB71" s="401"/>
      <c r="DC71" s="401"/>
      <c r="DD71" s="401"/>
      <c r="DE71" s="401"/>
      <c r="DF71" s="401"/>
      <c r="DG71" s="401"/>
      <c r="DH71" s="401"/>
      <c r="DI71" s="401"/>
      <c r="DJ71" s="401"/>
      <c r="DK71" s="401"/>
      <c r="DL71" s="401"/>
      <c r="DM71" s="401"/>
      <c r="DN71" s="401"/>
      <c r="DO71" s="401"/>
      <c r="DP71" s="401"/>
      <c r="DQ71" s="401"/>
      <c r="DR71" s="401"/>
      <c r="DS71" s="401"/>
      <c r="DT71" s="401"/>
      <c r="DU71" s="401"/>
      <c r="DV71" s="401"/>
      <c r="DW71" s="401"/>
      <c r="DX71" s="401"/>
      <c r="DY71" s="401"/>
      <c r="DZ71" s="401"/>
      <c r="EA71" s="401"/>
      <c r="EB71" s="401"/>
      <c r="EC71" s="401"/>
      <c r="ED71" s="401"/>
      <c r="EE71" s="401"/>
      <c r="EF71" s="401"/>
      <c r="EG71" s="401"/>
      <c r="EH71" s="401"/>
      <c r="EI71" s="401"/>
      <c r="EJ71" s="401"/>
      <c r="EK71" s="401"/>
      <c r="EL71" s="401"/>
      <c r="EM71" s="401"/>
      <c r="EN71" s="401"/>
      <c r="EO71" s="401"/>
      <c r="EP71" s="401"/>
      <c r="EQ71" s="401"/>
      <c r="ER71" s="401"/>
      <c r="ES71" s="401"/>
      <c r="ET71" s="401"/>
      <c r="EU71" s="401"/>
      <c r="EV71" s="401"/>
      <c r="EW71" s="401"/>
      <c r="EX71" s="401"/>
      <c r="EY71" s="401"/>
      <c r="EZ71" s="401"/>
      <c r="FA71" s="401"/>
      <c r="FB71" s="401"/>
      <c r="FC71" s="401"/>
      <c r="FD71" s="401"/>
      <c r="FE71" s="401"/>
      <c r="FF71" s="401"/>
      <c r="FG71" s="401"/>
      <c r="FH71" s="401"/>
      <c r="FI71" s="401"/>
      <c r="FJ71" s="401"/>
      <c r="FK71" s="401"/>
      <c r="FL71" s="401"/>
      <c r="FM71" s="401"/>
      <c r="FN71" s="401"/>
      <c r="FO71" s="401"/>
      <c r="FP71" s="401"/>
      <c r="FQ71" s="401"/>
      <c r="FR71" s="401"/>
      <c r="FS71" s="401"/>
      <c r="FT71" s="401"/>
      <c r="FU71" s="401"/>
      <c r="FV71" s="401"/>
      <c r="FW71" s="401"/>
      <c r="FX71" s="401"/>
      <c r="FY71" s="401"/>
      <c r="FZ71" s="401"/>
      <c r="GA71" s="401"/>
      <c r="GB71" s="401"/>
      <c r="GC71" s="401"/>
      <c r="GD71" s="401"/>
      <c r="GE71" s="401"/>
      <c r="GF71" s="401"/>
      <c r="GG71" s="401"/>
      <c r="GH71" s="401"/>
      <c r="GI71" s="401"/>
      <c r="GJ71" s="401"/>
      <c r="GK71" s="401"/>
      <c r="GL71" s="401"/>
      <c r="GM71" s="401"/>
      <c r="GN71" s="401"/>
      <c r="GO71" s="401"/>
      <c r="GP71" s="401"/>
      <c r="GQ71" s="401"/>
      <c r="GR71" s="401"/>
      <c r="GS71" s="401"/>
      <c r="GT71" s="401"/>
      <c r="GU71" s="401"/>
      <c r="GV71" s="401"/>
      <c r="GW71" s="401"/>
      <c r="GX71" s="401"/>
      <c r="GY71" s="401"/>
      <c r="GZ71" s="401"/>
      <c r="HA71" s="401"/>
      <c r="HB71" s="401"/>
      <c r="HC71" s="401"/>
      <c r="HD71" s="401"/>
      <c r="HE71" s="401"/>
      <c r="HF71" s="401"/>
      <c r="HG71" s="401"/>
      <c r="HH71" s="401"/>
      <c r="HI71" s="401"/>
      <c r="HJ71" s="401"/>
      <c r="HK71" s="401"/>
      <c r="HL71" s="401"/>
      <c r="HM71" s="401"/>
      <c r="HN71" s="401"/>
      <c r="HO71" s="401"/>
      <c r="HP71" s="401"/>
      <c r="HQ71" s="401"/>
      <c r="HR71" s="401"/>
      <c r="HS71" s="401"/>
      <c r="HT71" s="401"/>
      <c r="HU71" s="401"/>
      <c r="HV71" s="401"/>
      <c r="HW71" s="401"/>
      <c r="HX71" s="401"/>
      <c r="HY71" s="401"/>
      <c r="HZ71" s="401"/>
      <c r="IA71" s="401"/>
      <c r="IB71" s="401"/>
      <c r="IC71" s="401"/>
      <c r="ID71" s="401"/>
      <c r="IE71" s="401"/>
      <c r="IF71" s="401"/>
      <c r="IG71" s="401"/>
      <c r="IH71" s="401"/>
      <c r="II71" s="401"/>
      <c r="IJ71" s="401"/>
      <c r="IK71" s="401"/>
      <c r="IL71" s="401"/>
      <c r="IM71" s="401"/>
      <c r="IN71" s="401"/>
      <c r="IO71" s="401"/>
      <c r="IP71" s="401"/>
      <c r="IQ71" s="401"/>
      <c r="IR71" s="401"/>
      <c r="IS71" s="401"/>
      <c r="IT71" s="401"/>
      <c r="IU71" s="401"/>
      <c r="IV71" s="401"/>
    </row>
    <row r="72" spans="1:256">
      <c r="A72" s="401"/>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1"/>
      <c r="BB72" s="401"/>
      <c r="BC72" s="401"/>
      <c r="BD72" s="401"/>
      <c r="BE72" s="401"/>
      <c r="BF72" s="401"/>
      <c r="BG72" s="401"/>
      <c r="BH72" s="401"/>
      <c r="BI72" s="401"/>
      <c r="BJ72" s="401"/>
      <c r="BK72" s="401"/>
      <c r="BL72" s="401"/>
      <c r="BM72" s="401"/>
      <c r="BN72" s="401"/>
      <c r="BO72" s="401"/>
      <c r="BP72" s="401"/>
      <c r="BQ72" s="401"/>
      <c r="BR72" s="401"/>
      <c r="BS72" s="401"/>
      <c r="BT72" s="401"/>
      <c r="BU72" s="401"/>
      <c r="BV72" s="401"/>
      <c r="BW72" s="401"/>
      <c r="BX72" s="401"/>
      <c r="BY72" s="401"/>
      <c r="BZ72" s="401"/>
      <c r="CA72" s="401"/>
      <c r="CB72" s="401"/>
      <c r="CC72" s="401"/>
      <c r="CD72" s="401"/>
      <c r="CE72" s="401"/>
      <c r="CF72" s="401"/>
      <c r="CG72" s="401"/>
      <c r="CH72" s="401"/>
      <c r="CI72" s="401"/>
      <c r="CJ72" s="401"/>
      <c r="CK72" s="401"/>
      <c r="CL72" s="401"/>
      <c r="CM72" s="401"/>
      <c r="CN72" s="401"/>
      <c r="CO72" s="401"/>
      <c r="CP72" s="401"/>
      <c r="CQ72" s="401"/>
      <c r="CR72" s="401"/>
      <c r="CS72" s="401"/>
      <c r="CT72" s="401"/>
      <c r="CU72" s="401"/>
      <c r="CV72" s="401"/>
      <c r="CW72" s="401"/>
      <c r="CX72" s="401"/>
      <c r="CY72" s="401"/>
      <c r="CZ72" s="401"/>
      <c r="DA72" s="401"/>
      <c r="DB72" s="401"/>
      <c r="DC72" s="401"/>
      <c r="DD72" s="401"/>
      <c r="DE72" s="401"/>
      <c r="DF72" s="401"/>
      <c r="DG72" s="401"/>
      <c r="DH72" s="401"/>
      <c r="DI72" s="401"/>
      <c r="DJ72" s="401"/>
      <c r="DK72" s="401"/>
      <c r="DL72" s="401"/>
      <c r="DM72" s="401"/>
      <c r="DN72" s="401"/>
      <c r="DO72" s="401"/>
      <c r="DP72" s="401"/>
      <c r="DQ72" s="401"/>
      <c r="DR72" s="401"/>
      <c r="DS72" s="401"/>
      <c r="DT72" s="401"/>
      <c r="DU72" s="401"/>
      <c r="DV72" s="401"/>
      <c r="DW72" s="401"/>
      <c r="DX72" s="401"/>
      <c r="DY72" s="401"/>
      <c r="DZ72" s="401"/>
      <c r="EA72" s="401"/>
      <c r="EB72" s="401"/>
      <c r="EC72" s="401"/>
      <c r="ED72" s="401"/>
      <c r="EE72" s="401"/>
      <c r="EF72" s="401"/>
      <c r="EG72" s="401"/>
      <c r="EH72" s="401"/>
      <c r="EI72" s="401"/>
      <c r="EJ72" s="401"/>
      <c r="EK72" s="401"/>
      <c r="EL72" s="401"/>
      <c r="EM72" s="401"/>
      <c r="EN72" s="401"/>
      <c r="EO72" s="401"/>
      <c r="EP72" s="401"/>
      <c r="EQ72" s="401"/>
      <c r="ER72" s="401"/>
      <c r="ES72" s="401"/>
      <c r="ET72" s="401"/>
      <c r="EU72" s="401"/>
      <c r="EV72" s="401"/>
      <c r="EW72" s="401"/>
      <c r="EX72" s="401"/>
      <c r="EY72" s="401"/>
      <c r="EZ72" s="401"/>
      <c r="FA72" s="401"/>
      <c r="FB72" s="401"/>
      <c r="FC72" s="401"/>
      <c r="FD72" s="401"/>
      <c r="FE72" s="401"/>
      <c r="FF72" s="401"/>
      <c r="FG72" s="401"/>
      <c r="FH72" s="401"/>
      <c r="FI72" s="401"/>
      <c r="FJ72" s="401"/>
      <c r="FK72" s="401"/>
      <c r="FL72" s="401"/>
      <c r="FM72" s="401"/>
      <c r="FN72" s="401"/>
      <c r="FO72" s="401"/>
      <c r="FP72" s="401"/>
      <c r="FQ72" s="401"/>
      <c r="FR72" s="401"/>
      <c r="FS72" s="401"/>
      <c r="FT72" s="401"/>
      <c r="FU72" s="401"/>
      <c r="FV72" s="401"/>
      <c r="FW72" s="401"/>
      <c r="FX72" s="401"/>
      <c r="FY72" s="401"/>
      <c r="FZ72" s="401"/>
      <c r="GA72" s="401"/>
      <c r="GB72" s="401"/>
      <c r="GC72" s="401"/>
      <c r="GD72" s="401"/>
      <c r="GE72" s="401"/>
      <c r="GF72" s="401"/>
      <c r="GG72" s="401"/>
      <c r="GH72" s="401"/>
      <c r="GI72" s="401"/>
      <c r="GJ72" s="401"/>
      <c r="GK72" s="401"/>
      <c r="GL72" s="401"/>
      <c r="GM72" s="401"/>
      <c r="GN72" s="401"/>
      <c r="GO72" s="401"/>
      <c r="GP72" s="401"/>
      <c r="GQ72" s="401"/>
      <c r="GR72" s="401"/>
      <c r="GS72" s="401"/>
      <c r="GT72" s="401"/>
      <c r="GU72" s="401"/>
      <c r="GV72" s="401"/>
      <c r="GW72" s="401"/>
      <c r="GX72" s="401"/>
      <c r="GY72" s="401"/>
      <c r="GZ72" s="401"/>
      <c r="HA72" s="401"/>
      <c r="HB72" s="401"/>
      <c r="HC72" s="401"/>
      <c r="HD72" s="401"/>
      <c r="HE72" s="401"/>
      <c r="HF72" s="401"/>
      <c r="HG72" s="401"/>
      <c r="HH72" s="401"/>
      <c r="HI72" s="401"/>
      <c r="HJ72" s="401"/>
      <c r="HK72" s="401"/>
      <c r="HL72" s="401"/>
      <c r="HM72" s="401"/>
      <c r="HN72" s="401"/>
      <c r="HO72" s="401"/>
      <c r="HP72" s="401"/>
      <c r="HQ72" s="401"/>
      <c r="HR72" s="401"/>
      <c r="HS72" s="401"/>
      <c r="HT72" s="401"/>
      <c r="HU72" s="401"/>
      <c r="HV72" s="401"/>
      <c r="HW72" s="401"/>
      <c r="HX72" s="401"/>
      <c r="HY72" s="401"/>
      <c r="HZ72" s="401"/>
      <c r="IA72" s="401"/>
      <c r="IB72" s="401"/>
      <c r="IC72" s="401"/>
      <c r="ID72" s="401"/>
      <c r="IE72" s="401"/>
      <c r="IF72" s="401"/>
      <c r="IG72" s="401"/>
      <c r="IH72" s="401"/>
      <c r="II72" s="401"/>
      <c r="IJ72" s="401"/>
      <c r="IK72" s="401"/>
      <c r="IL72" s="401"/>
      <c r="IM72" s="401"/>
      <c r="IN72" s="401"/>
      <c r="IO72" s="401"/>
      <c r="IP72" s="401"/>
      <c r="IQ72" s="401"/>
      <c r="IR72" s="401"/>
      <c r="IS72" s="401"/>
      <c r="IT72" s="401"/>
      <c r="IU72" s="401"/>
      <c r="IV72" s="401"/>
    </row>
    <row r="73" spans="1:256">
      <c r="A73" s="401"/>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1"/>
      <c r="BD73" s="401"/>
      <c r="BE73" s="401"/>
      <c r="BF73" s="401"/>
      <c r="BG73" s="401"/>
      <c r="BH73" s="401"/>
      <c r="BI73" s="401"/>
      <c r="BJ73" s="401"/>
      <c r="BK73" s="401"/>
      <c r="BL73" s="401"/>
      <c r="BM73" s="401"/>
      <c r="BN73" s="401"/>
      <c r="BO73" s="401"/>
      <c r="BP73" s="401"/>
      <c r="BQ73" s="401"/>
      <c r="BR73" s="401"/>
      <c r="BS73" s="401"/>
      <c r="BT73" s="401"/>
      <c r="BU73" s="401"/>
      <c r="BV73" s="401"/>
      <c r="BW73" s="401"/>
      <c r="BX73" s="401"/>
      <c r="BY73" s="401"/>
      <c r="BZ73" s="401"/>
      <c r="CA73" s="401"/>
      <c r="CB73" s="401"/>
      <c r="CC73" s="401"/>
      <c r="CD73" s="401"/>
      <c r="CE73" s="401"/>
      <c r="CF73" s="401"/>
      <c r="CG73" s="401"/>
      <c r="CH73" s="401"/>
      <c r="CI73" s="401"/>
      <c r="CJ73" s="401"/>
      <c r="CK73" s="401"/>
      <c r="CL73" s="401"/>
      <c r="CM73" s="401"/>
      <c r="CN73" s="401"/>
      <c r="CO73" s="401"/>
      <c r="CP73" s="401"/>
      <c r="CQ73" s="401"/>
      <c r="CR73" s="401"/>
      <c r="CS73" s="401"/>
      <c r="CT73" s="401"/>
      <c r="CU73" s="401"/>
      <c r="CV73" s="401"/>
      <c r="CW73" s="401"/>
      <c r="CX73" s="401"/>
      <c r="CY73" s="401"/>
      <c r="CZ73" s="401"/>
      <c r="DA73" s="401"/>
      <c r="DB73" s="401"/>
      <c r="DC73" s="401"/>
      <c r="DD73" s="401"/>
      <c r="DE73" s="401"/>
      <c r="DF73" s="401"/>
      <c r="DG73" s="401"/>
      <c r="DH73" s="401"/>
      <c r="DI73" s="401"/>
      <c r="DJ73" s="401"/>
      <c r="DK73" s="401"/>
      <c r="DL73" s="401"/>
      <c r="DM73" s="401"/>
      <c r="DN73" s="401"/>
      <c r="DO73" s="401"/>
      <c r="DP73" s="401"/>
      <c r="DQ73" s="401"/>
      <c r="DR73" s="401"/>
      <c r="DS73" s="401"/>
      <c r="DT73" s="401"/>
      <c r="DU73" s="401"/>
      <c r="DV73" s="401"/>
      <c r="DW73" s="401"/>
      <c r="DX73" s="401"/>
      <c r="DY73" s="401"/>
      <c r="DZ73" s="401"/>
      <c r="EA73" s="401"/>
      <c r="EB73" s="401"/>
      <c r="EC73" s="401"/>
      <c r="ED73" s="401"/>
      <c r="EE73" s="401"/>
      <c r="EF73" s="401"/>
      <c r="EG73" s="401"/>
      <c r="EH73" s="401"/>
      <c r="EI73" s="401"/>
      <c r="EJ73" s="401"/>
      <c r="EK73" s="401"/>
      <c r="EL73" s="401"/>
      <c r="EM73" s="401"/>
      <c r="EN73" s="401"/>
      <c r="EO73" s="401"/>
      <c r="EP73" s="401"/>
      <c r="EQ73" s="401"/>
      <c r="ER73" s="401"/>
      <c r="ES73" s="401"/>
      <c r="ET73" s="401"/>
      <c r="EU73" s="401"/>
      <c r="EV73" s="401"/>
      <c r="EW73" s="401"/>
      <c r="EX73" s="401"/>
      <c r="EY73" s="401"/>
      <c r="EZ73" s="401"/>
      <c r="FA73" s="401"/>
      <c r="FB73" s="401"/>
      <c r="FC73" s="401"/>
      <c r="FD73" s="401"/>
      <c r="FE73" s="401"/>
      <c r="FF73" s="401"/>
      <c r="FG73" s="401"/>
      <c r="FH73" s="401"/>
      <c r="FI73" s="401"/>
      <c r="FJ73" s="401"/>
      <c r="FK73" s="401"/>
      <c r="FL73" s="401"/>
      <c r="FM73" s="401"/>
      <c r="FN73" s="401"/>
      <c r="FO73" s="401"/>
      <c r="FP73" s="401"/>
      <c r="FQ73" s="401"/>
      <c r="FR73" s="401"/>
      <c r="FS73" s="401"/>
      <c r="FT73" s="401"/>
      <c r="FU73" s="401"/>
      <c r="FV73" s="401"/>
      <c r="FW73" s="401"/>
      <c r="FX73" s="401"/>
      <c r="FY73" s="401"/>
      <c r="FZ73" s="401"/>
      <c r="GA73" s="401"/>
      <c r="GB73" s="401"/>
      <c r="GC73" s="401"/>
      <c r="GD73" s="401"/>
      <c r="GE73" s="401"/>
      <c r="GF73" s="401"/>
      <c r="GG73" s="401"/>
      <c r="GH73" s="401"/>
      <c r="GI73" s="401"/>
      <c r="GJ73" s="401"/>
      <c r="GK73" s="401"/>
      <c r="GL73" s="401"/>
      <c r="GM73" s="401"/>
      <c r="GN73" s="401"/>
      <c r="GO73" s="401"/>
      <c r="GP73" s="401"/>
      <c r="GQ73" s="401"/>
      <c r="GR73" s="401"/>
      <c r="GS73" s="401"/>
      <c r="GT73" s="401"/>
      <c r="GU73" s="401"/>
      <c r="GV73" s="401"/>
      <c r="GW73" s="401"/>
      <c r="GX73" s="401"/>
      <c r="GY73" s="401"/>
      <c r="GZ73" s="401"/>
      <c r="HA73" s="401"/>
      <c r="HB73" s="401"/>
      <c r="HC73" s="401"/>
      <c r="HD73" s="401"/>
      <c r="HE73" s="401"/>
      <c r="HF73" s="401"/>
      <c r="HG73" s="401"/>
      <c r="HH73" s="401"/>
      <c r="HI73" s="401"/>
      <c r="HJ73" s="401"/>
      <c r="HK73" s="401"/>
      <c r="HL73" s="401"/>
      <c r="HM73" s="401"/>
      <c r="HN73" s="401"/>
      <c r="HO73" s="401"/>
      <c r="HP73" s="401"/>
      <c r="HQ73" s="401"/>
      <c r="HR73" s="401"/>
      <c r="HS73" s="401"/>
      <c r="HT73" s="401"/>
      <c r="HU73" s="401"/>
      <c r="HV73" s="401"/>
      <c r="HW73" s="401"/>
      <c r="HX73" s="401"/>
      <c r="HY73" s="401"/>
      <c r="HZ73" s="401"/>
      <c r="IA73" s="401"/>
      <c r="IB73" s="401"/>
      <c r="IC73" s="401"/>
      <c r="ID73" s="401"/>
      <c r="IE73" s="401"/>
      <c r="IF73" s="401"/>
      <c r="IG73" s="401"/>
      <c r="IH73" s="401"/>
      <c r="II73" s="401"/>
      <c r="IJ73" s="401"/>
      <c r="IK73" s="401"/>
      <c r="IL73" s="401"/>
      <c r="IM73" s="401"/>
      <c r="IN73" s="401"/>
      <c r="IO73" s="401"/>
      <c r="IP73" s="401"/>
      <c r="IQ73" s="401"/>
      <c r="IR73" s="401"/>
      <c r="IS73" s="401"/>
      <c r="IT73" s="401"/>
      <c r="IU73" s="401"/>
      <c r="IV73" s="401"/>
    </row>
    <row r="74" spans="1:256">
      <c r="A74" s="401"/>
      <c r="B74" s="401"/>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1"/>
      <c r="BY74" s="401"/>
      <c r="BZ74" s="401"/>
      <c r="CA74" s="401"/>
      <c r="CB74" s="401"/>
      <c r="CC74" s="401"/>
      <c r="CD74" s="401"/>
      <c r="CE74" s="401"/>
      <c r="CF74" s="401"/>
      <c r="CG74" s="401"/>
      <c r="CH74" s="401"/>
      <c r="CI74" s="401"/>
      <c r="CJ74" s="401"/>
      <c r="CK74" s="401"/>
      <c r="CL74" s="401"/>
      <c r="CM74" s="401"/>
      <c r="CN74" s="401"/>
      <c r="CO74" s="401"/>
      <c r="CP74" s="401"/>
      <c r="CQ74" s="401"/>
      <c r="CR74" s="401"/>
      <c r="CS74" s="401"/>
      <c r="CT74" s="401"/>
      <c r="CU74" s="401"/>
      <c r="CV74" s="401"/>
      <c r="CW74" s="401"/>
      <c r="CX74" s="401"/>
      <c r="CY74" s="401"/>
      <c r="CZ74" s="401"/>
      <c r="DA74" s="401"/>
      <c r="DB74" s="401"/>
      <c r="DC74" s="401"/>
      <c r="DD74" s="401"/>
      <c r="DE74" s="401"/>
      <c r="DF74" s="401"/>
      <c r="DG74" s="401"/>
      <c r="DH74" s="401"/>
      <c r="DI74" s="401"/>
      <c r="DJ74" s="401"/>
      <c r="DK74" s="401"/>
      <c r="DL74" s="401"/>
      <c r="DM74" s="401"/>
      <c r="DN74" s="401"/>
      <c r="DO74" s="401"/>
      <c r="DP74" s="401"/>
      <c r="DQ74" s="401"/>
      <c r="DR74" s="401"/>
      <c r="DS74" s="401"/>
      <c r="DT74" s="401"/>
      <c r="DU74" s="401"/>
      <c r="DV74" s="401"/>
      <c r="DW74" s="401"/>
      <c r="DX74" s="401"/>
      <c r="DY74" s="401"/>
      <c r="DZ74" s="401"/>
      <c r="EA74" s="401"/>
      <c r="EB74" s="401"/>
      <c r="EC74" s="401"/>
      <c r="ED74" s="401"/>
      <c r="EE74" s="401"/>
      <c r="EF74" s="401"/>
      <c r="EG74" s="401"/>
      <c r="EH74" s="401"/>
      <c r="EI74" s="401"/>
      <c r="EJ74" s="401"/>
      <c r="EK74" s="401"/>
      <c r="EL74" s="401"/>
      <c r="EM74" s="401"/>
      <c r="EN74" s="401"/>
      <c r="EO74" s="401"/>
      <c r="EP74" s="401"/>
      <c r="EQ74" s="401"/>
      <c r="ER74" s="401"/>
      <c r="ES74" s="401"/>
      <c r="ET74" s="401"/>
      <c r="EU74" s="401"/>
      <c r="EV74" s="401"/>
      <c r="EW74" s="401"/>
      <c r="EX74" s="401"/>
      <c r="EY74" s="401"/>
      <c r="EZ74" s="401"/>
      <c r="FA74" s="401"/>
      <c r="FB74" s="401"/>
      <c r="FC74" s="401"/>
      <c r="FD74" s="401"/>
      <c r="FE74" s="401"/>
      <c r="FF74" s="401"/>
      <c r="FG74" s="401"/>
      <c r="FH74" s="401"/>
      <c r="FI74" s="401"/>
      <c r="FJ74" s="401"/>
      <c r="FK74" s="401"/>
      <c r="FL74" s="401"/>
      <c r="FM74" s="401"/>
      <c r="FN74" s="401"/>
      <c r="FO74" s="401"/>
      <c r="FP74" s="401"/>
      <c r="FQ74" s="401"/>
      <c r="FR74" s="401"/>
      <c r="FS74" s="401"/>
      <c r="FT74" s="401"/>
      <c r="FU74" s="401"/>
      <c r="FV74" s="401"/>
      <c r="FW74" s="401"/>
      <c r="FX74" s="401"/>
      <c r="FY74" s="401"/>
      <c r="FZ74" s="401"/>
      <c r="GA74" s="401"/>
      <c r="GB74" s="401"/>
      <c r="GC74" s="401"/>
      <c r="GD74" s="401"/>
      <c r="GE74" s="401"/>
      <c r="GF74" s="401"/>
      <c r="GG74" s="401"/>
      <c r="GH74" s="401"/>
      <c r="GI74" s="401"/>
      <c r="GJ74" s="401"/>
      <c r="GK74" s="401"/>
      <c r="GL74" s="401"/>
      <c r="GM74" s="401"/>
      <c r="GN74" s="401"/>
      <c r="GO74" s="401"/>
      <c r="GP74" s="401"/>
      <c r="GQ74" s="401"/>
      <c r="GR74" s="401"/>
      <c r="GS74" s="401"/>
      <c r="GT74" s="401"/>
      <c r="GU74" s="401"/>
      <c r="GV74" s="401"/>
      <c r="GW74" s="401"/>
      <c r="GX74" s="401"/>
      <c r="GY74" s="401"/>
      <c r="GZ74" s="401"/>
      <c r="HA74" s="401"/>
      <c r="HB74" s="401"/>
      <c r="HC74" s="401"/>
      <c r="HD74" s="401"/>
      <c r="HE74" s="401"/>
      <c r="HF74" s="401"/>
      <c r="HG74" s="401"/>
      <c r="HH74" s="401"/>
      <c r="HI74" s="401"/>
      <c r="HJ74" s="401"/>
      <c r="HK74" s="401"/>
      <c r="HL74" s="401"/>
      <c r="HM74" s="401"/>
      <c r="HN74" s="401"/>
      <c r="HO74" s="401"/>
      <c r="HP74" s="401"/>
      <c r="HQ74" s="401"/>
      <c r="HR74" s="401"/>
      <c r="HS74" s="401"/>
      <c r="HT74" s="401"/>
      <c r="HU74" s="401"/>
      <c r="HV74" s="401"/>
      <c r="HW74" s="401"/>
      <c r="HX74" s="401"/>
      <c r="HY74" s="401"/>
      <c r="HZ74" s="401"/>
      <c r="IA74" s="401"/>
      <c r="IB74" s="401"/>
      <c r="IC74" s="401"/>
      <c r="ID74" s="401"/>
      <c r="IE74" s="401"/>
      <c r="IF74" s="401"/>
      <c r="IG74" s="401"/>
      <c r="IH74" s="401"/>
      <c r="II74" s="401"/>
      <c r="IJ74" s="401"/>
      <c r="IK74" s="401"/>
      <c r="IL74" s="401"/>
      <c r="IM74" s="401"/>
      <c r="IN74" s="401"/>
      <c r="IO74" s="401"/>
      <c r="IP74" s="401"/>
      <c r="IQ74" s="401"/>
      <c r="IR74" s="401"/>
      <c r="IS74" s="401"/>
      <c r="IT74" s="401"/>
      <c r="IU74" s="401"/>
      <c r="IV74" s="401"/>
    </row>
    <row r="75" spans="1:256">
      <c r="A75" s="401"/>
      <c r="B75" s="401"/>
      <c r="C75" s="401"/>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c r="BE75" s="401"/>
      <c r="BF75" s="401"/>
      <c r="BG75" s="401"/>
      <c r="BH75" s="401"/>
      <c r="BI75" s="401"/>
      <c r="BJ75" s="401"/>
      <c r="BK75" s="401"/>
      <c r="BL75" s="401"/>
      <c r="BM75" s="401"/>
      <c r="BN75" s="401"/>
      <c r="BO75" s="401"/>
      <c r="BP75" s="401"/>
      <c r="BQ75" s="401"/>
      <c r="BR75" s="401"/>
      <c r="BS75" s="401"/>
      <c r="BT75" s="401"/>
      <c r="BU75" s="401"/>
      <c r="BV75" s="401"/>
      <c r="BW75" s="401"/>
      <c r="BX75" s="401"/>
      <c r="BY75" s="401"/>
      <c r="BZ75" s="401"/>
      <c r="CA75" s="401"/>
      <c r="CB75" s="401"/>
      <c r="CC75" s="401"/>
      <c r="CD75" s="401"/>
      <c r="CE75" s="401"/>
      <c r="CF75" s="401"/>
      <c r="CG75" s="401"/>
      <c r="CH75" s="401"/>
      <c r="CI75" s="401"/>
      <c r="CJ75" s="401"/>
      <c r="CK75" s="401"/>
      <c r="CL75" s="401"/>
      <c r="CM75" s="401"/>
      <c r="CN75" s="401"/>
      <c r="CO75" s="401"/>
      <c r="CP75" s="401"/>
      <c r="CQ75" s="401"/>
      <c r="CR75" s="401"/>
      <c r="CS75" s="401"/>
      <c r="CT75" s="401"/>
      <c r="CU75" s="401"/>
      <c r="CV75" s="401"/>
      <c r="CW75" s="401"/>
      <c r="CX75" s="401"/>
      <c r="CY75" s="401"/>
      <c r="CZ75" s="401"/>
      <c r="DA75" s="401"/>
      <c r="DB75" s="401"/>
      <c r="DC75" s="401"/>
      <c r="DD75" s="401"/>
      <c r="DE75" s="401"/>
      <c r="DF75" s="401"/>
      <c r="DG75" s="401"/>
      <c r="DH75" s="401"/>
      <c r="DI75" s="401"/>
      <c r="DJ75" s="401"/>
      <c r="DK75" s="401"/>
      <c r="DL75" s="401"/>
      <c r="DM75" s="401"/>
      <c r="DN75" s="401"/>
      <c r="DO75" s="401"/>
      <c r="DP75" s="401"/>
      <c r="DQ75" s="401"/>
      <c r="DR75" s="401"/>
      <c r="DS75" s="401"/>
      <c r="DT75" s="401"/>
      <c r="DU75" s="401"/>
      <c r="DV75" s="401"/>
      <c r="DW75" s="401"/>
      <c r="DX75" s="401"/>
      <c r="DY75" s="401"/>
      <c r="DZ75" s="401"/>
      <c r="EA75" s="401"/>
      <c r="EB75" s="401"/>
      <c r="EC75" s="401"/>
      <c r="ED75" s="401"/>
      <c r="EE75" s="401"/>
      <c r="EF75" s="401"/>
      <c r="EG75" s="401"/>
      <c r="EH75" s="401"/>
      <c r="EI75" s="401"/>
      <c r="EJ75" s="401"/>
      <c r="EK75" s="401"/>
      <c r="EL75" s="401"/>
      <c r="EM75" s="401"/>
      <c r="EN75" s="401"/>
      <c r="EO75" s="401"/>
      <c r="EP75" s="401"/>
      <c r="EQ75" s="401"/>
      <c r="ER75" s="401"/>
      <c r="ES75" s="401"/>
      <c r="ET75" s="401"/>
      <c r="EU75" s="401"/>
      <c r="EV75" s="401"/>
      <c r="EW75" s="401"/>
      <c r="EX75" s="401"/>
      <c r="EY75" s="401"/>
      <c r="EZ75" s="401"/>
      <c r="FA75" s="401"/>
      <c r="FB75" s="401"/>
      <c r="FC75" s="401"/>
      <c r="FD75" s="401"/>
      <c r="FE75" s="401"/>
      <c r="FF75" s="401"/>
      <c r="FG75" s="401"/>
      <c r="FH75" s="401"/>
      <c r="FI75" s="401"/>
      <c r="FJ75" s="401"/>
      <c r="FK75" s="401"/>
      <c r="FL75" s="401"/>
      <c r="FM75" s="401"/>
      <c r="FN75" s="401"/>
      <c r="FO75" s="401"/>
      <c r="FP75" s="401"/>
      <c r="FQ75" s="401"/>
      <c r="FR75" s="401"/>
      <c r="FS75" s="401"/>
      <c r="FT75" s="401"/>
      <c r="FU75" s="401"/>
      <c r="FV75" s="401"/>
      <c r="FW75" s="401"/>
      <c r="FX75" s="401"/>
      <c r="FY75" s="401"/>
      <c r="FZ75" s="401"/>
      <c r="GA75" s="401"/>
      <c r="GB75" s="401"/>
      <c r="GC75" s="401"/>
      <c r="GD75" s="401"/>
      <c r="GE75" s="401"/>
      <c r="GF75" s="401"/>
      <c r="GG75" s="401"/>
      <c r="GH75" s="401"/>
      <c r="GI75" s="401"/>
      <c r="GJ75" s="401"/>
      <c r="GK75" s="401"/>
      <c r="GL75" s="401"/>
      <c r="GM75" s="401"/>
      <c r="GN75" s="401"/>
      <c r="GO75" s="401"/>
      <c r="GP75" s="401"/>
      <c r="GQ75" s="401"/>
      <c r="GR75" s="401"/>
      <c r="GS75" s="401"/>
      <c r="GT75" s="401"/>
      <c r="GU75" s="401"/>
      <c r="GV75" s="401"/>
      <c r="GW75" s="401"/>
      <c r="GX75" s="401"/>
      <c r="GY75" s="401"/>
      <c r="GZ75" s="401"/>
      <c r="HA75" s="401"/>
      <c r="HB75" s="401"/>
      <c r="HC75" s="401"/>
      <c r="HD75" s="401"/>
      <c r="HE75" s="401"/>
      <c r="HF75" s="401"/>
      <c r="HG75" s="401"/>
      <c r="HH75" s="401"/>
      <c r="HI75" s="401"/>
      <c r="HJ75" s="401"/>
      <c r="HK75" s="401"/>
      <c r="HL75" s="401"/>
      <c r="HM75" s="401"/>
      <c r="HN75" s="401"/>
      <c r="HO75" s="401"/>
      <c r="HP75" s="401"/>
      <c r="HQ75" s="401"/>
      <c r="HR75" s="401"/>
      <c r="HS75" s="401"/>
      <c r="HT75" s="401"/>
      <c r="HU75" s="401"/>
      <c r="HV75" s="401"/>
      <c r="HW75" s="401"/>
      <c r="HX75" s="401"/>
      <c r="HY75" s="401"/>
      <c r="HZ75" s="401"/>
      <c r="IA75" s="401"/>
      <c r="IB75" s="401"/>
      <c r="IC75" s="401"/>
      <c r="ID75" s="401"/>
      <c r="IE75" s="401"/>
      <c r="IF75" s="401"/>
      <c r="IG75" s="401"/>
      <c r="IH75" s="401"/>
      <c r="II75" s="401"/>
      <c r="IJ75" s="401"/>
      <c r="IK75" s="401"/>
      <c r="IL75" s="401"/>
      <c r="IM75" s="401"/>
      <c r="IN75" s="401"/>
      <c r="IO75" s="401"/>
      <c r="IP75" s="401"/>
      <c r="IQ75" s="401"/>
      <c r="IR75" s="401"/>
      <c r="IS75" s="401"/>
      <c r="IT75" s="401"/>
      <c r="IU75" s="401"/>
      <c r="IV75" s="401"/>
    </row>
    <row r="76" spans="1:256">
      <c r="A76" s="401"/>
      <c r="B76" s="401"/>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c r="BD76" s="401"/>
      <c r="BE76" s="401"/>
      <c r="BF76" s="401"/>
      <c r="BG76" s="401"/>
      <c r="BH76" s="401"/>
      <c r="BI76" s="401"/>
      <c r="BJ76" s="401"/>
      <c r="BK76" s="401"/>
      <c r="BL76" s="401"/>
      <c r="BM76" s="401"/>
      <c r="BN76" s="401"/>
      <c r="BO76" s="401"/>
      <c r="BP76" s="401"/>
      <c r="BQ76" s="401"/>
      <c r="BR76" s="401"/>
      <c r="BS76" s="401"/>
      <c r="BT76" s="401"/>
      <c r="BU76" s="401"/>
      <c r="BV76" s="401"/>
      <c r="BW76" s="401"/>
      <c r="BX76" s="401"/>
      <c r="BY76" s="401"/>
      <c r="BZ76" s="401"/>
      <c r="CA76" s="401"/>
      <c r="CB76" s="401"/>
      <c r="CC76" s="401"/>
      <c r="CD76" s="401"/>
      <c r="CE76" s="401"/>
      <c r="CF76" s="401"/>
      <c r="CG76" s="401"/>
      <c r="CH76" s="401"/>
      <c r="CI76" s="401"/>
      <c r="CJ76" s="401"/>
      <c r="CK76" s="401"/>
      <c r="CL76" s="401"/>
      <c r="CM76" s="401"/>
      <c r="CN76" s="401"/>
      <c r="CO76" s="401"/>
      <c r="CP76" s="401"/>
      <c r="CQ76" s="401"/>
      <c r="CR76" s="401"/>
      <c r="CS76" s="401"/>
      <c r="CT76" s="401"/>
      <c r="CU76" s="401"/>
      <c r="CV76" s="401"/>
      <c r="CW76" s="401"/>
      <c r="CX76" s="401"/>
      <c r="CY76" s="401"/>
      <c r="CZ76" s="401"/>
      <c r="DA76" s="401"/>
      <c r="DB76" s="401"/>
      <c r="DC76" s="401"/>
      <c r="DD76" s="401"/>
      <c r="DE76" s="401"/>
      <c r="DF76" s="401"/>
      <c r="DG76" s="401"/>
      <c r="DH76" s="401"/>
      <c r="DI76" s="401"/>
      <c r="DJ76" s="401"/>
      <c r="DK76" s="401"/>
      <c r="DL76" s="401"/>
      <c r="DM76" s="401"/>
      <c r="DN76" s="401"/>
      <c r="DO76" s="401"/>
      <c r="DP76" s="401"/>
      <c r="DQ76" s="401"/>
      <c r="DR76" s="401"/>
      <c r="DS76" s="401"/>
      <c r="DT76" s="401"/>
      <c r="DU76" s="401"/>
      <c r="DV76" s="401"/>
      <c r="DW76" s="401"/>
      <c r="DX76" s="401"/>
      <c r="DY76" s="401"/>
      <c r="DZ76" s="401"/>
      <c r="EA76" s="401"/>
      <c r="EB76" s="401"/>
      <c r="EC76" s="401"/>
      <c r="ED76" s="401"/>
      <c r="EE76" s="401"/>
      <c r="EF76" s="401"/>
      <c r="EG76" s="401"/>
      <c r="EH76" s="401"/>
      <c r="EI76" s="401"/>
      <c r="EJ76" s="401"/>
      <c r="EK76" s="401"/>
      <c r="EL76" s="401"/>
      <c r="EM76" s="401"/>
      <c r="EN76" s="401"/>
      <c r="EO76" s="401"/>
      <c r="EP76" s="401"/>
      <c r="EQ76" s="401"/>
      <c r="ER76" s="401"/>
      <c r="ES76" s="401"/>
      <c r="ET76" s="401"/>
      <c r="EU76" s="401"/>
      <c r="EV76" s="401"/>
      <c r="EW76" s="401"/>
      <c r="EX76" s="401"/>
      <c r="EY76" s="401"/>
      <c r="EZ76" s="401"/>
      <c r="FA76" s="401"/>
      <c r="FB76" s="401"/>
      <c r="FC76" s="401"/>
      <c r="FD76" s="401"/>
      <c r="FE76" s="401"/>
      <c r="FF76" s="401"/>
      <c r="FG76" s="401"/>
      <c r="FH76" s="401"/>
      <c r="FI76" s="401"/>
      <c r="FJ76" s="401"/>
      <c r="FK76" s="401"/>
      <c r="FL76" s="401"/>
      <c r="FM76" s="401"/>
      <c r="FN76" s="401"/>
      <c r="FO76" s="401"/>
      <c r="FP76" s="401"/>
      <c r="FQ76" s="401"/>
      <c r="FR76" s="401"/>
      <c r="FS76" s="401"/>
      <c r="FT76" s="401"/>
      <c r="FU76" s="401"/>
      <c r="FV76" s="401"/>
      <c r="FW76" s="401"/>
      <c r="FX76" s="401"/>
      <c r="FY76" s="401"/>
      <c r="FZ76" s="401"/>
      <c r="GA76" s="401"/>
      <c r="GB76" s="401"/>
      <c r="GC76" s="401"/>
      <c r="GD76" s="401"/>
      <c r="GE76" s="401"/>
      <c r="GF76" s="401"/>
      <c r="GG76" s="401"/>
      <c r="GH76" s="401"/>
      <c r="GI76" s="401"/>
      <c r="GJ76" s="401"/>
      <c r="GK76" s="401"/>
      <c r="GL76" s="401"/>
      <c r="GM76" s="401"/>
      <c r="GN76" s="401"/>
      <c r="GO76" s="401"/>
      <c r="GP76" s="401"/>
      <c r="GQ76" s="401"/>
      <c r="GR76" s="401"/>
      <c r="GS76" s="401"/>
      <c r="GT76" s="401"/>
      <c r="GU76" s="401"/>
      <c r="GV76" s="401"/>
      <c r="GW76" s="401"/>
      <c r="GX76" s="401"/>
      <c r="GY76" s="401"/>
      <c r="GZ76" s="401"/>
      <c r="HA76" s="401"/>
      <c r="HB76" s="401"/>
      <c r="HC76" s="401"/>
      <c r="HD76" s="401"/>
      <c r="HE76" s="401"/>
      <c r="HF76" s="401"/>
      <c r="HG76" s="401"/>
      <c r="HH76" s="401"/>
      <c r="HI76" s="401"/>
      <c r="HJ76" s="401"/>
      <c r="HK76" s="401"/>
      <c r="HL76" s="401"/>
      <c r="HM76" s="401"/>
      <c r="HN76" s="401"/>
      <c r="HO76" s="401"/>
      <c r="HP76" s="401"/>
      <c r="HQ76" s="401"/>
      <c r="HR76" s="401"/>
      <c r="HS76" s="401"/>
      <c r="HT76" s="401"/>
      <c r="HU76" s="401"/>
      <c r="HV76" s="401"/>
      <c r="HW76" s="401"/>
      <c r="HX76" s="401"/>
      <c r="HY76" s="401"/>
      <c r="HZ76" s="401"/>
      <c r="IA76" s="401"/>
      <c r="IB76" s="401"/>
      <c r="IC76" s="401"/>
      <c r="ID76" s="401"/>
      <c r="IE76" s="401"/>
      <c r="IF76" s="401"/>
      <c r="IG76" s="401"/>
      <c r="IH76" s="401"/>
      <c r="II76" s="401"/>
      <c r="IJ76" s="401"/>
      <c r="IK76" s="401"/>
      <c r="IL76" s="401"/>
      <c r="IM76" s="401"/>
      <c r="IN76" s="401"/>
      <c r="IO76" s="401"/>
      <c r="IP76" s="401"/>
      <c r="IQ76" s="401"/>
      <c r="IR76" s="401"/>
      <c r="IS76" s="401"/>
      <c r="IT76" s="401"/>
      <c r="IU76" s="401"/>
      <c r="IV76" s="401"/>
    </row>
    <row r="77" spans="1:256">
      <c r="A77" s="401"/>
      <c r="B77" s="401"/>
      <c r="C77" s="401"/>
      <c r="D77" s="401"/>
      <c r="E77" s="401"/>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1"/>
      <c r="BD77" s="401"/>
      <c r="BE77" s="401"/>
      <c r="BF77" s="401"/>
      <c r="BG77" s="401"/>
      <c r="BH77" s="401"/>
      <c r="BI77" s="401"/>
      <c r="BJ77" s="401"/>
      <c r="BK77" s="401"/>
      <c r="BL77" s="401"/>
      <c r="BM77" s="401"/>
      <c r="BN77" s="401"/>
      <c r="BO77" s="401"/>
      <c r="BP77" s="401"/>
      <c r="BQ77" s="401"/>
      <c r="BR77" s="401"/>
      <c r="BS77" s="401"/>
      <c r="BT77" s="401"/>
      <c r="BU77" s="401"/>
      <c r="BV77" s="401"/>
      <c r="BW77" s="401"/>
      <c r="BX77" s="401"/>
      <c r="BY77" s="401"/>
      <c r="BZ77" s="401"/>
      <c r="CA77" s="401"/>
      <c r="CB77" s="401"/>
      <c r="CC77" s="401"/>
      <c r="CD77" s="401"/>
      <c r="CE77" s="401"/>
      <c r="CF77" s="401"/>
      <c r="CG77" s="401"/>
      <c r="CH77" s="401"/>
      <c r="CI77" s="401"/>
      <c r="CJ77" s="401"/>
      <c r="CK77" s="401"/>
      <c r="CL77" s="401"/>
      <c r="CM77" s="401"/>
      <c r="CN77" s="401"/>
      <c r="CO77" s="401"/>
      <c r="CP77" s="401"/>
      <c r="CQ77" s="401"/>
      <c r="CR77" s="401"/>
      <c r="CS77" s="401"/>
      <c r="CT77" s="401"/>
      <c r="CU77" s="401"/>
      <c r="CV77" s="401"/>
      <c r="CW77" s="401"/>
      <c r="CX77" s="401"/>
      <c r="CY77" s="401"/>
      <c r="CZ77" s="401"/>
      <c r="DA77" s="401"/>
      <c r="DB77" s="401"/>
      <c r="DC77" s="401"/>
      <c r="DD77" s="401"/>
      <c r="DE77" s="401"/>
      <c r="DF77" s="401"/>
      <c r="DG77" s="401"/>
      <c r="DH77" s="401"/>
      <c r="DI77" s="401"/>
      <c r="DJ77" s="401"/>
      <c r="DK77" s="401"/>
      <c r="DL77" s="401"/>
      <c r="DM77" s="401"/>
      <c r="DN77" s="401"/>
      <c r="DO77" s="401"/>
      <c r="DP77" s="401"/>
      <c r="DQ77" s="401"/>
      <c r="DR77" s="401"/>
      <c r="DS77" s="401"/>
      <c r="DT77" s="401"/>
      <c r="DU77" s="401"/>
      <c r="DV77" s="401"/>
      <c r="DW77" s="401"/>
      <c r="DX77" s="401"/>
      <c r="DY77" s="401"/>
      <c r="DZ77" s="401"/>
      <c r="EA77" s="401"/>
      <c r="EB77" s="401"/>
      <c r="EC77" s="401"/>
      <c r="ED77" s="401"/>
      <c r="EE77" s="401"/>
      <c r="EF77" s="401"/>
      <c r="EG77" s="401"/>
      <c r="EH77" s="401"/>
      <c r="EI77" s="401"/>
      <c r="EJ77" s="401"/>
      <c r="EK77" s="401"/>
      <c r="EL77" s="401"/>
      <c r="EM77" s="401"/>
      <c r="EN77" s="401"/>
      <c r="EO77" s="401"/>
      <c r="EP77" s="401"/>
      <c r="EQ77" s="401"/>
      <c r="ER77" s="401"/>
      <c r="ES77" s="401"/>
      <c r="ET77" s="401"/>
      <c r="EU77" s="401"/>
      <c r="EV77" s="401"/>
      <c r="EW77" s="401"/>
      <c r="EX77" s="401"/>
      <c r="EY77" s="401"/>
      <c r="EZ77" s="401"/>
      <c r="FA77" s="401"/>
      <c r="FB77" s="401"/>
      <c r="FC77" s="401"/>
      <c r="FD77" s="401"/>
      <c r="FE77" s="401"/>
      <c r="FF77" s="401"/>
      <c r="FG77" s="401"/>
      <c r="FH77" s="401"/>
      <c r="FI77" s="401"/>
      <c r="FJ77" s="401"/>
      <c r="FK77" s="401"/>
      <c r="FL77" s="401"/>
      <c r="FM77" s="401"/>
      <c r="FN77" s="401"/>
      <c r="FO77" s="401"/>
      <c r="FP77" s="401"/>
      <c r="FQ77" s="401"/>
      <c r="FR77" s="401"/>
      <c r="FS77" s="401"/>
      <c r="FT77" s="401"/>
      <c r="FU77" s="401"/>
      <c r="FV77" s="401"/>
      <c r="FW77" s="401"/>
      <c r="FX77" s="401"/>
      <c r="FY77" s="401"/>
      <c r="FZ77" s="401"/>
      <c r="GA77" s="401"/>
      <c r="GB77" s="401"/>
      <c r="GC77" s="401"/>
      <c r="GD77" s="401"/>
      <c r="GE77" s="401"/>
      <c r="GF77" s="401"/>
      <c r="GG77" s="401"/>
      <c r="GH77" s="401"/>
      <c r="GI77" s="401"/>
      <c r="GJ77" s="401"/>
      <c r="GK77" s="401"/>
      <c r="GL77" s="401"/>
      <c r="GM77" s="401"/>
      <c r="GN77" s="401"/>
      <c r="GO77" s="401"/>
      <c r="GP77" s="401"/>
      <c r="GQ77" s="401"/>
      <c r="GR77" s="401"/>
      <c r="GS77" s="401"/>
      <c r="GT77" s="401"/>
      <c r="GU77" s="401"/>
      <c r="GV77" s="401"/>
      <c r="GW77" s="401"/>
      <c r="GX77" s="401"/>
      <c r="GY77" s="401"/>
      <c r="GZ77" s="401"/>
      <c r="HA77" s="401"/>
      <c r="HB77" s="401"/>
      <c r="HC77" s="401"/>
      <c r="HD77" s="401"/>
      <c r="HE77" s="401"/>
      <c r="HF77" s="401"/>
      <c r="HG77" s="401"/>
      <c r="HH77" s="401"/>
      <c r="HI77" s="401"/>
      <c r="HJ77" s="401"/>
      <c r="HK77" s="401"/>
      <c r="HL77" s="401"/>
      <c r="HM77" s="401"/>
      <c r="HN77" s="401"/>
      <c r="HO77" s="401"/>
      <c r="HP77" s="401"/>
      <c r="HQ77" s="401"/>
      <c r="HR77" s="401"/>
      <c r="HS77" s="401"/>
      <c r="HT77" s="401"/>
      <c r="HU77" s="401"/>
      <c r="HV77" s="401"/>
      <c r="HW77" s="401"/>
      <c r="HX77" s="401"/>
      <c r="HY77" s="401"/>
      <c r="HZ77" s="401"/>
      <c r="IA77" s="401"/>
      <c r="IB77" s="401"/>
      <c r="IC77" s="401"/>
      <c r="ID77" s="401"/>
      <c r="IE77" s="401"/>
      <c r="IF77" s="401"/>
      <c r="IG77" s="401"/>
      <c r="IH77" s="401"/>
      <c r="II77" s="401"/>
      <c r="IJ77" s="401"/>
      <c r="IK77" s="401"/>
      <c r="IL77" s="401"/>
      <c r="IM77" s="401"/>
      <c r="IN77" s="401"/>
      <c r="IO77" s="401"/>
      <c r="IP77" s="401"/>
      <c r="IQ77" s="401"/>
      <c r="IR77" s="401"/>
      <c r="IS77" s="401"/>
      <c r="IT77" s="401"/>
      <c r="IU77" s="401"/>
      <c r="IV77" s="401"/>
    </row>
    <row r="78" spans="1:256">
      <c r="A78" s="401"/>
      <c r="B78" s="401"/>
      <c r="C78" s="401"/>
      <c r="D78" s="401"/>
      <c r="E78" s="401"/>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c r="CF78" s="401"/>
      <c r="CG78" s="401"/>
      <c r="CH78" s="401"/>
      <c r="CI78" s="401"/>
      <c r="CJ78" s="401"/>
      <c r="CK78" s="401"/>
      <c r="CL78" s="401"/>
      <c r="CM78" s="401"/>
      <c r="CN78" s="401"/>
      <c r="CO78" s="401"/>
      <c r="CP78" s="401"/>
      <c r="CQ78" s="401"/>
      <c r="CR78" s="401"/>
      <c r="CS78" s="401"/>
      <c r="CT78" s="401"/>
      <c r="CU78" s="401"/>
      <c r="CV78" s="401"/>
      <c r="CW78" s="401"/>
      <c r="CX78" s="401"/>
      <c r="CY78" s="401"/>
      <c r="CZ78" s="401"/>
      <c r="DA78" s="401"/>
      <c r="DB78" s="401"/>
      <c r="DC78" s="401"/>
      <c r="DD78" s="401"/>
      <c r="DE78" s="401"/>
      <c r="DF78" s="401"/>
      <c r="DG78" s="401"/>
      <c r="DH78" s="401"/>
      <c r="DI78" s="401"/>
      <c r="DJ78" s="401"/>
      <c r="DK78" s="401"/>
      <c r="DL78" s="401"/>
      <c r="DM78" s="401"/>
      <c r="DN78" s="401"/>
      <c r="DO78" s="401"/>
      <c r="DP78" s="401"/>
      <c r="DQ78" s="401"/>
      <c r="DR78" s="401"/>
      <c r="DS78" s="401"/>
      <c r="DT78" s="401"/>
      <c r="DU78" s="401"/>
      <c r="DV78" s="401"/>
      <c r="DW78" s="401"/>
      <c r="DX78" s="401"/>
      <c r="DY78" s="401"/>
      <c r="DZ78" s="401"/>
      <c r="EA78" s="401"/>
      <c r="EB78" s="401"/>
      <c r="EC78" s="401"/>
      <c r="ED78" s="401"/>
      <c r="EE78" s="401"/>
      <c r="EF78" s="401"/>
      <c r="EG78" s="401"/>
      <c r="EH78" s="401"/>
      <c r="EI78" s="401"/>
      <c r="EJ78" s="401"/>
      <c r="EK78" s="401"/>
      <c r="EL78" s="401"/>
      <c r="EM78" s="401"/>
      <c r="EN78" s="401"/>
      <c r="EO78" s="401"/>
      <c r="EP78" s="401"/>
      <c r="EQ78" s="401"/>
      <c r="ER78" s="401"/>
      <c r="ES78" s="401"/>
      <c r="ET78" s="401"/>
      <c r="EU78" s="401"/>
      <c r="EV78" s="401"/>
      <c r="EW78" s="401"/>
      <c r="EX78" s="401"/>
      <c r="EY78" s="401"/>
      <c r="EZ78" s="401"/>
      <c r="FA78" s="401"/>
      <c r="FB78" s="401"/>
      <c r="FC78" s="401"/>
      <c r="FD78" s="401"/>
      <c r="FE78" s="401"/>
      <c r="FF78" s="401"/>
      <c r="FG78" s="401"/>
      <c r="FH78" s="401"/>
      <c r="FI78" s="401"/>
      <c r="FJ78" s="401"/>
      <c r="FK78" s="401"/>
      <c r="FL78" s="401"/>
      <c r="FM78" s="401"/>
      <c r="FN78" s="401"/>
      <c r="FO78" s="401"/>
      <c r="FP78" s="401"/>
      <c r="FQ78" s="401"/>
      <c r="FR78" s="401"/>
      <c r="FS78" s="401"/>
      <c r="FT78" s="401"/>
      <c r="FU78" s="401"/>
      <c r="FV78" s="401"/>
      <c r="FW78" s="401"/>
      <c r="FX78" s="401"/>
      <c r="FY78" s="401"/>
      <c r="FZ78" s="401"/>
      <c r="GA78" s="401"/>
      <c r="GB78" s="401"/>
      <c r="GC78" s="401"/>
      <c r="GD78" s="401"/>
      <c r="GE78" s="401"/>
      <c r="GF78" s="401"/>
      <c r="GG78" s="401"/>
      <c r="GH78" s="401"/>
      <c r="GI78" s="401"/>
      <c r="GJ78" s="401"/>
      <c r="GK78" s="401"/>
      <c r="GL78" s="401"/>
      <c r="GM78" s="401"/>
      <c r="GN78" s="401"/>
      <c r="GO78" s="401"/>
      <c r="GP78" s="401"/>
      <c r="GQ78" s="401"/>
      <c r="GR78" s="401"/>
      <c r="GS78" s="401"/>
      <c r="GT78" s="401"/>
      <c r="GU78" s="401"/>
      <c r="GV78" s="401"/>
      <c r="GW78" s="401"/>
      <c r="GX78" s="401"/>
      <c r="GY78" s="401"/>
      <c r="GZ78" s="401"/>
      <c r="HA78" s="401"/>
      <c r="HB78" s="401"/>
      <c r="HC78" s="401"/>
      <c r="HD78" s="401"/>
      <c r="HE78" s="401"/>
      <c r="HF78" s="401"/>
      <c r="HG78" s="401"/>
      <c r="HH78" s="401"/>
      <c r="HI78" s="401"/>
      <c r="HJ78" s="401"/>
      <c r="HK78" s="401"/>
      <c r="HL78" s="401"/>
      <c r="HM78" s="401"/>
      <c r="HN78" s="401"/>
      <c r="HO78" s="401"/>
      <c r="HP78" s="401"/>
      <c r="HQ78" s="401"/>
      <c r="HR78" s="401"/>
      <c r="HS78" s="401"/>
      <c r="HT78" s="401"/>
      <c r="HU78" s="401"/>
      <c r="HV78" s="401"/>
      <c r="HW78" s="401"/>
      <c r="HX78" s="401"/>
      <c r="HY78" s="401"/>
      <c r="HZ78" s="401"/>
      <c r="IA78" s="401"/>
      <c r="IB78" s="401"/>
      <c r="IC78" s="401"/>
      <c r="ID78" s="401"/>
      <c r="IE78" s="401"/>
      <c r="IF78" s="401"/>
      <c r="IG78" s="401"/>
      <c r="IH78" s="401"/>
      <c r="II78" s="401"/>
      <c r="IJ78" s="401"/>
      <c r="IK78" s="401"/>
      <c r="IL78" s="401"/>
      <c r="IM78" s="401"/>
      <c r="IN78" s="401"/>
      <c r="IO78" s="401"/>
      <c r="IP78" s="401"/>
      <c r="IQ78" s="401"/>
      <c r="IR78" s="401"/>
      <c r="IS78" s="401"/>
      <c r="IT78" s="401"/>
      <c r="IU78" s="401"/>
      <c r="IV78" s="401"/>
    </row>
    <row r="79" spans="1:256">
      <c r="A79" s="401"/>
      <c r="B79" s="401"/>
      <c r="C79" s="401"/>
      <c r="D79" s="401"/>
      <c r="E79" s="401"/>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01"/>
      <c r="BD79" s="401"/>
      <c r="BE79" s="401"/>
      <c r="BF79" s="401"/>
      <c r="BG79" s="401"/>
      <c r="BH79" s="401"/>
      <c r="BI79" s="401"/>
      <c r="BJ79" s="401"/>
      <c r="BK79" s="401"/>
      <c r="BL79" s="401"/>
      <c r="BM79" s="401"/>
      <c r="BN79" s="401"/>
      <c r="BO79" s="401"/>
      <c r="BP79" s="401"/>
      <c r="BQ79" s="401"/>
      <c r="BR79" s="401"/>
      <c r="BS79" s="401"/>
      <c r="BT79" s="401"/>
      <c r="BU79" s="401"/>
      <c r="BV79" s="401"/>
      <c r="BW79" s="401"/>
      <c r="BX79" s="401"/>
      <c r="BY79" s="401"/>
      <c r="BZ79" s="401"/>
      <c r="CA79" s="401"/>
      <c r="CB79" s="401"/>
      <c r="CC79" s="401"/>
      <c r="CD79" s="401"/>
      <c r="CE79" s="401"/>
      <c r="CF79" s="401"/>
      <c r="CG79" s="401"/>
      <c r="CH79" s="401"/>
      <c r="CI79" s="401"/>
      <c r="CJ79" s="401"/>
      <c r="CK79" s="401"/>
      <c r="CL79" s="401"/>
      <c r="CM79" s="401"/>
      <c r="CN79" s="401"/>
      <c r="CO79" s="401"/>
      <c r="CP79" s="401"/>
      <c r="CQ79" s="401"/>
      <c r="CR79" s="401"/>
      <c r="CS79" s="401"/>
      <c r="CT79" s="401"/>
      <c r="CU79" s="401"/>
      <c r="CV79" s="401"/>
      <c r="CW79" s="401"/>
      <c r="CX79" s="401"/>
      <c r="CY79" s="401"/>
      <c r="CZ79" s="401"/>
      <c r="DA79" s="401"/>
      <c r="DB79" s="401"/>
      <c r="DC79" s="401"/>
      <c r="DD79" s="401"/>
      <c r="DE79" s="401"/>
      <c r="DF79" s="401"/>
      <c r="DG79" s="401"/>
      <c r="DH79" s="401"/>
      <c r="DI79" s="401"/>
      <c r="DJ79" s="401"/>
      <c r="DK79" s="401"/>
      <c r="DL79" s="401"/>
      <c r="DM79" s="401"/>
      <c r="DN79" s="401"/>
      <c r="DO79" s="401"/>
      <c r="DP79" s="401"/>
      <c r="DQ79" s="401"/>
      <c r="DR79" s="401"/>
      <c r="DS79" s="401"/>
      <c r="DT79" s="401"/>
      <c r="DU79" s="401"/>
      <c r="DV79" s="401"/>
      <c r="DW79" s="401"/>
      <c r="DX79" s="401"/>
      <c r="DY79" s="401"/>
      <c r="DZ79" s="401"/>
      <c r="EA79" s="401"/>
      <c r="EB79" s="401"/>
      <c r="EC79" s="401"/>
      <c r="ED79" s="401"/>
      <c r="EE79" s="401"/>
      <c r="EF79" s="401"/>
      <c r="EG79" s="401"/>
      <c r="EH79" s="401"/>
      <c r="EI79" s="401"/>
      <c r="EJ79" s="401"/>
      <c r="EK79" s="401"/>
      <c r="EL79" s="401"/>
      <c r="EM79" s="401"/>
      <c r="EN79" s="401"/>
      <c r="EO79" s="401"/>
      <c r="EP79" s="401"/>
      <c r="EQ79" s="401"/>
      <c r="ER79" s="401"/>
      <c r="ES79" s="401"/>
      <c r="ET79" s="401"/>
      <c r="EU79" s="401"/>
      <c r="EV79" s="401"/>
      <c r="EW79" s="401"/>
      <c r="EX79" s="401"/>
      <c r="EY79" s="401"/>
      <c r="EZ79" s="401"/>
      <c r="FA79" s="401"/>
      <c r="FB79" s="401"/>
      <c r="FC79" s="401"/>
      <c r="FD79" s="401"/>
      <c r="FE79" s="401"/>
      <c r="FF79" s="401"/>
      <c r="FG79" s="401"/>
      <c r="FH79" s="401"/>
      <c r="FI79" s="401"/>
      <c r="FJ79" s="401"/>
      <c r="FK79" s="401"/>
      <c r="FL79" s="401"/>
      <c r="FM79" s="401"/>
      <c r="FN79" s="401"/>
      <c r="FO79" s="401"/>
      <c r="FP79" s="401"/>
      <c r="FQ79" s="401"/>
      <c r="FR79" s="401"/>
      <c r="FS79" s="401"/>
      <c r="FT79" s="401"/>
      <c r="FU79" s="401"/>
      <c r="FV79" s="401"/>
      <c r="FW79" s="401"/>
      <c r="FX79" s="401"/>
      <c r="FY79" s="401"/>
      <c r="FZ79" s="401"/>
      <c r="GA79" s="401"/>
      <c r="GB79" s="401"/>
      <c r="GC79" s="401"/>
      <c r="GD79" s="401"/>
      <c r="GE79" s="401"/>
      <c r="GF79" s="401"/>
      <c r="GG79" s="401"/>
      <c r="GH79" s="401"/>
      <c r="GI79" s="401"/>
      <c r="GJ79" s="401"/>
      <c r="GK79" s="401"/>
      <c r="GL79" s="401"/>
      <c r="GM79" s="401"/>
      <c r="GN79" s="401"/>
      <c r="GO79" s="401"/>
      <c r="GP79" s="401"/>
      <c r="GQ79" s="401"/>
      <c r="GR79" s="401"/>
      <c r="GS79" s="401"/>
      <c r="GT79" s="401"/>
      <c r="GU79" s="401"/>
      <c r="GV79" s="401"/>
      <c r="GW79" s="401"/>
      <c r="GX79" s="401"/>
      <c r="GY79" s="401"/>
      <c r="GZ79" s="401"/>
      <c r="HA79" s="401"/>
      <c r="HB79" s="401"/>
      <c r="HC79" s="401"/>
      <c r="HD79" s="401"/>
      <c r="HE79" s="401"/>
      <c r="HF79" s="401"/>
      <c r="HG79" s="401"/>
      <c r="HH79" s="401"/>
      <c r="HI79" s="401"/>
      <c r="HJ79" s="401"/>
      <c r="HK79" s="401"/>
      <c r="HL79" s="401"/>
      <c r="HM79" s="401"/>
      <c r="HN79" s="401"/>
      <c r="HO79" s="401"/>
      <c r="HP79" s="401"/>
      <c r="HQ79" s="401"/>
      <c r="HR79" s="401"/>
      <c r="HS79" s="401"/>
      <c r="HT79" s="401"/>
      <c r="HU79" s="401"/>
      <c r="HV79" s="401"/>
      <c r="HW79" s="401"/>
      <c r="HX79" s="401"/>
      <c r="HY79" s="401"/>
      <c r="HZ79" s="401"/>
      <c r="IA79" s="401"/>
      <c r="IB79" s="401"/>
      <c r="IC79" s="401"/>
      <c r="ID79" s="401"/>
      <c r="IE79" s="401"/>
      <c r="IF79" s="401"/>
      <c r="IG79" s="401"/>
      <c r="IH79" s="401"/>
      <c r="II79" s="401"/>
      <c r="IJ79" s="401"/>
      <c r="IK79" s="401"/>
      <c r="IL79" s="401"/>
      <c r="IM79" s="401"/>
      <c r="IN79" s="401"/>
      <c r="IO79" s="401"/>
      <c r="IP79" s="401"/>
      <c r="IQ79" s="401"/>
      <c r="IR79" s="401"/>
      <c r="IS79" s="401"/>
      <c r="IT79" s="401"/>
      <c r="IU79" s="401"/>
      <c r="IV79" s="401"/>
    </row>
    <row r="80" spans="1:256">
      <c r="A80" s="401"/>
      <c r="B80" s="401"/>
      <c r="C80" s="401"/>
      <c r="D80" s="401"/>
      <c r="E80" s="401"/>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c r="BD80" s="401"/>
      <c r="BE80" s="401"/>
      <c r="BF80" s="401"/>
      <c r="BG80" s="401"/>
      <c r="BH80" s="401"/>
      <c r="BI80" s="401"/>
      <c r="BJ80" s="401"/>
      <c r="BK80" s="401"/>
      <c r="BL80" s="401"/>
      <c r="BM80" s="401"/>
      <c r="BN80" s="401"/>
      <c r="BO80" s="401"/>
      <c r="BP80" s="401"/>
      <c r="BQ80" s="401"/>
      <c r="BR80" s="401"/>
      <c r="BS80" s="401"/>
      <c r="BT80" s="401"/>
      <c r="BU80" s="401"/>
      <c r="BV80" s="401"/>
      <c r="BW80" s="401"/>
      <c r="BX80" s="401"/>
      <c r="BY80" s="401"/>
      <c r="BZ80" s="401"/>
      <c r="CA80" s="401"/>
      <c r="CB80" s="401"/>
      <c r="CC80" s="401"/>
      <c r="CD80" s="401"/>
      <c r="CE80" s="401"/>
      <c r="CF80" s="401"/>
      <c r="CG80" s="401"/>
      <c r="CH80" s="401"/>
      <c r="CI80" s="401"/>
      <c r="CJ80" s="401"/>
      <c r="CK80" s="401"/>
      <c r="CL80" s="401"/>
      <c r="CM80" s="401"/>
      <c r="CN80" s="401"/>
      <c r="CO80" s="401"/>
      <c r="CP80" s="401"/>
      <c r="CQ80" s="401"/>
      <c r="CR80" s="401"/>
      <c r="CS80" s="401"/>
      <c r="CT80" s="401"/>
      <c r="CU80" s="401"/>
      <c r="CV80" s="401"/>
      <c r="CW80" s="401"/>
      <c r="CX80" s="401"/>
      <c r="CY80" s="401"/>
      <c r="CZ80" s="401"/>
      <c r="DA80" s="401"/>
      <c r="DB80" s="401"/>
      <c r="DC80" s="401"/>
      <c r="DD80" s="401"/>
      <c r="DE80" s="401"/>
      <c r="DF80" s="401"/>
      <c r="DG80" s="401"/>
      <c r="DH80" s="401"/>
      <c r="DI80" s="401"/>
      <c r="DJ80" s="401"/>
      <c r="DK80" s="401"/>
      <c r="DL80" s="401"/>
      <c r="DM80" s="401"/>
      <c r="DN80" s="401"/>
      <c r="DO80" s="401"/>
      <c r="DP80" s="401"/>
      <c r="DQ80" s="401"/>
      <c r="DR80" s="401"/>
      <c r="DS80" s="401"/>
      <c r="DT80" s="401"/>
      <c r="DU80" s="401"/>
      <c r="DV80" s="401"/>
      <c r="DW80" s="401"/>
      <c r="DX80" s="401"/>
      <c r="DY80" s="401"/>
      <c r="DZ80" s="401"/>
      <c r="EA80" s="401"/>
      <c r="EB80" s="401"/>
      <c r="EC80" s="401"/>
      <c r="ED80" s="401"/>
      <c r="EE80" s="401"/>
      <c r="EF80" s="401"/>
      <c r="EG80" s="401"/>
      <c r="EH80" s="401"/>
      <c r="EI80" s="401"/>
      <c r="EJ80" s="401"/>
      <c r="EK80" s="401"/>
      <c r="EL80" s="401"/>
      <c r="EM80" s="401"/>
      <c r="EN80" s="401"/>
      <c r="EO80" s="401"/>
      <c r="EP80" s="401"/>
      <c r="EQ80" s="401"/>
      <c r="ER80" s="401"/>
      <c r="ES80" s="401"/>
      <c r="ET80" s="401"/>
      <c r="EU80" s="401"/>
      <c r="EV80" s="401"/>
      <c r="EW80" s="401"/>
      <c r="EX80" s="401"/>
      <c r="EY80" s="401"/>
      <c r="EZ80" s="401"/>
      <c r="FA80" s="401"/>
      <c r="FB80" s="401"/>
      <c r="FC80" s="401"/>
      <c r="FD80" s="401"/>
      <c r="FE80" s="401"/>
      <c r="FF80" s="401"/>
      <c r="FG80" s="401"/>
      <c r="FH80" s="401"/>
      <c r="FI80" s="401"/>
      <c r="FJ80" s="401"/>
      <c r="FK80" s="401"/>
      <c r="FL80" s="401"/>
      <c r="FM80" s="401"/>
      <c r="FN80" s="401"/>
      <c r="FO80" s="401"/>
      <c r="FP80" s="401"/>
      <c r="FQ80" s="401"/>
      <c r="FR80" s="401"/>
      <c r="FS80" s="401"/>
      <c r="FT80" s="401"/>
      <c r="FU80" s="401"/>
      <c r="FV80" s="401"/>
      <c r="FW80" s="401"/>
      <c r="FX80" s="401"/>
      <c r="FY80" s="401"/>
      <c r="FZ80" s="401"/>
      <c r="GA80" s="401"/>
      <c r="GB80" s="401"/>
      <c r="GC80" s="401"/>
      <c r="GD80" s="401"/>
      <c r="GE80" s="401"/>
      <c r="GF80" s="401"/>
      <c r="GG80" s="401"/>
      <c r="GH80" s="401"/>
      <c r="GI80" s="401"/>
      <c r="GJ80" s="401"/>
      <c r="GK80" s="401"/>
      <c r="GL80" s="401"/>
      <c r="GM80" s="401"/>
      <c r="GN80" s="401"/>
      <c r="GO80" s="401"/>
      <c r="GP80" s="401"/>
      <c r="GQ80" s="401"/>
      <c r="GR80" s="401"/>
      <c r="GS80" s="401"/>
      <c r="GT80" s="401"/>
      <c r="GU80" s="401"/>
      <c r="GV80" s="401"/>
      <c r="GW80" s="401"/>
      <c r="GX80" s="401"/>
      <c r="GY80" s="401"/>
      <c r="GZ80" s="401"/>
      <c r="HA80" s="401"/>
      <c r="HB80" s="401"/>
      <c r="HC80" s="401"/>
      <c r="HD80" s="401"/>
      <c r="HE80" s="401"/>
      <c r="HF80" s="401"/>
      <c r="HG80" s="401"/>
      <c r="HH80" s="401"/>
      <c r="HI80" s="401"/>
      <c r="HJ80" s="401"/>
      <c r="HK80" s="401"/>
      <c r="HL80" s="401"/>
      <c r="HM80" s="401"/>
      <c r="HN80" s="401"/>
      <c r="HO80" s="401"/>
      <c r="HP80" s="401"/>
      <c r="HQ80" s="401"/>
      <c r="HR80" s="401"/>
      <c r="HS80" s="401"/>
      <c r="HT80" s="401"/>
      <c r="HU80" s="401"/>
      <c r="HV80" s="401"/>
      <c r="HW80" s="401"/>
      <c r="HX80" s="401"/>
      <c r="HY80" s="401"/>
      <c r="HZ80" s="401"/>
      <c r="IA80" s="401"/>
      <c r="IB80" s="401"/>
      <c r="IC80" s="401"/>
      <c r="ID80" s="401"/>
      <c r="IE80" s="401"/>
      <c r="IF80" s="401"/>
      <c r="IG80" s="401"/>
      <c r="IH80" s="401"/>
      <c r="II80" s="401"/>
      <c r="IJ80" s="401"/>
      <c r="IK80" s="401"/>
      <c r="IL80" s="401"/>
      <c r="IM80" s="401"/>
      <c r="IN80" s="401"/>
      <c r="IO80" s="401"/>
      <c r="IP80" s="401"/>
      <c r="IQ80" s="401"/>
      <c r="IR80" s="401"/>
      <c r="IS80" s="401"/>
      <c r="IT80" s="401"/>
      <c r="IU80" s="401"/>
      <c r="IV80" s="401"/>
    </row>
    <row r="81" spans="1:256">
      <c r="A81" s="401"/>
      <c r="B81" s="401"/>
      <c r="C81" s="401"/>
      <c r="D81" s="401"/>
      <c r="E81" s="401"/>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1"/>
      <c r="BD81" s="401"/>
      <c r="BE81" s="401"/>
      <c r="BF81" s="401"/>
      <c r="BG81" s="401"/>
      <c r="BH81" s="401"/>
      <c r="BI81" s="401"/>
      <c r="BJ81" s="401"/>
      <c r="BK81" s="401"/>
      <c r="BL81" s="401"/>
      <c r="BM81" s="401"/>
      <c r="BN81" s="401"/>
      <c r="BO81" s="401"/>
      <c r="BP81" s="401"/>
      <c r="BQ81" s="401"/>
      <c r="BR81" s="401"/>
      <c r="BS81" s="401"/>
      <c r="BT81" s="401"/>
      <c r="BU81" s="401"/>
      <c r="BV81" s="401"/>
      <c r="BW81" s="401"/>
      <c r="BX81" s="401"/>
      <c r="BY81" s="401"/>
      <c r="BZ81" s="401"/>
      <c r="CA81" s="401"/>
      <c r="CB81" s="401"/>
      <c r="CC81" s="401"/>
      <c r="CD81" s="401"/>
      <c r="CE81" s="401"/>
      <c r="CF81" s="401"/>
      <c r="CG81" s="401"/>
      <c r="CH81" s="401"/>
      <c r="CI81" s="401"/>
      <c r="CJ81" s="401"/>
      <c r="CK81" s="401"/>
      <c r="CL81" s="401"/>
      <c r="CM81" s="401"/>
      <c r="CN81" s="401"/>
      <c r="CO81" s="401"/>
      <c r="CP81" s="401"/>
      <c r="CQ81" s="401"/>
      <c r="CR81" s="401"/>
      <c r="CS81" s="401"/>
      <c r="CT81" s="401"/>
      <c r="CU81" s="401"/>
      <c r="CV81" s="401"/>
      <c r="CW81" s="401"/>
      <c r="CX81" s="401"/>
      <c r="CY81" s="401"/>
      <c r="CZ81" s="401"/>
      <c r="DA81" s="401"/>
      <c r="DB81" s="401"/>
      <c r="DC81" s="401"/>
      <c r="DD81" s="401"/>
      <c r="DE81" s="401"/>
      <c r="DF81" s="401"/>
      <c r="DG81" s="401"/>
      <c r="DH81" s="401"/>
      <c r="DI81" s="401"/>
      <c r="DJ81" s="401"/>
      <c r="DK81" s="401"/>
      <c r="DL81" s="401"/>
      <c r="DM81" s="401"/>
      <c r="DN81" s="401"/>
      <c r="DO81" s="401"/>
      <c r="DP81" s="401"/>
      <c r="DQ81" s="401"/>
      <c r="DR81" s="401"/>
      <c r="DS81" s="401"/>
      <c r="DT81" s="401"/>
      <c r="DU81" s="401"/>
      <c r="DV81" s="401"/>
      <c r="DW81" s="401"/>
      <c r="DX81" s="401"/>
      <c r="DY81" s="401"/>
      <c r="DZ81" s="401"/>
      <c r="EA81" s="401"/>
      <c r="EB81" s="401"/>
      <c r="EC81" s="401"/>
      <c r="ED81" s="401"/>
      <c r="EE81" s="401"/>
      <c r="EF81" s="401"/>
      <c r="EG81" s="401"/>
      <c r="EH81" s="401"/>
      <c r="EI81" s="401"/>
      <c r="EJ81" s="401"/>
      <c r="EK81" s="401"/>
      <c r="EL81" s="401"/>
      <c r="EM81" s="401"/>
      <c r="EN81" s="401"/>
      <c r="EO81" s="401"/>
      <c r="EP81" s="401"/>
      <c r="EQ81" s="401"/>
      <c r="ER81" s="401"/>
      <c r="ES81" s="401"/>
      <c r="ET81" s="401"/>
      <c r="EU81" s="401"/>
      <c r="EV81" s="401"/>
      <c r="EW81" s="401"/>
      <c r="EX81" s="401"/>
      <c r="EY81" s="401"/>
      <c r="EZ81" s="401"/>
      <c r="FA81" s="401"/>
      <c r="FB81" s="401"/>
      <c r="FC81" s="401"/>
      <c r="FD81" s="401"/>
      <c r="FE81" s="401"/>
      <c r="FF81" s="401"/>
      <c r="FG81" s="401"/>
      <c r="FH81" s="401"/>
      <c r="FI81" s="401"/>
      <c r="FJ81" s="401"/>
      <c r="FK81" s="401"/>
      <c r="FL81" s="401"/>
      <c r="FM81" s="401"/>
      <c r="FN81" s="401"/>
      <c r="FO81" s="401"/>
      <c r="FP81" s="401"/>
      <c r="FQ81" s="401"/>
      <c r="FR81" s="401"/>
      <c r="FS81" s="401"/>
      <c r="FT81" s="401"/>
      <c r="FU81" s="401"/>
      <c r="FV81" s="401"/>
      <c r="FW81" s="401"/>
      <c r="FX81" s="401"/>
      <c r="FY81" s="401"/>
      <c r="FZ81" s="401"/>
      <c r="GA81" s="401"/>
      <c r="GB81" s="401"/>
      <c r="GC81" s="401"/>
      <c r="GD81" s="401"/>
      <c r="GE81" s="401"/>
      <c r="GF81" s="401"/>
      <c r="GG81" s="401"/>
      <c r="GH81" s="401"/>
      <c r="GI81" s="401"/>
      <c r="GJ81" s="401"/>
      <c r="GK81" s="401"/>
      <c r="GL81" s="401"/>
      <c r="GM81" s="401"/>
      <c r="GN81" s="401"/>
      <c r="GO81" s="401"/>
      <c r="GP81" s="401"/>
      <c r="GQ81" s="401"/>
      <c r="GR81" s="401"/>
      <c r="GS81" s="401"/>
      <c r="GT81" s="401"/>
      <c r="GU81" s="401"/>
      <c r="GV81" s="401"/>
      <c r="GW81" s="401"/>
      <c r="GX81" s="401"/>
      <c r="GY81" s="401"/>
      <c r="GZ81" s="401"/>
      <c r="HA81" s="401"/>
      <c r="HB81" s="401"/>
      <c r="HC81" s="401"/>
      <c r="HD81" s="401"/>
      <c r="HE81" s="401"/>
      <c r="HF81" s="401"/>
      <c r="HG81" s="401"/>
      <c r="HH81" s="401"/>
      <c r="HI81" s="401"/>
      <c r="HJ81" s="401"/>
      <c r="HK81" s="401"/>
      <c r="HL81" s="401"/>
      <c r="HM81" s="401"/>
      <c r="HN81" s="401"/>
      <c r="HO81" s="401"/>
      <c r="HP81" s="401"/>
      <c r="HQ81" s="401"/>
      <c r="HR81" s="401"/>
      <c r="HS81" s="401"/>
      <c r="HT81" s="401"/>
      <c r="HU81" s="401"/>
      <c r="HV81" s="401"/>
      <c r="HW81" s="401"/>
      <c r="HX81" s="401"/>
      <c r="HY81" s="401"/>
      <c r="HZ81" s="401"/>
      <c r="IA81" s="401"/>
      <c r="IB81" s="401"/>
      <c r="IC81" s="401"/>
      <c r="ID81" s="401"/>
      <c r="IE81" s="401"/>
      <c r="IF81" s="401"/>
      <c r="IG81" s="401"/>
      <c r="IH81" s="401"/>
      <c r="II81" s="401"/>
      <c r="IJ81" s="401"/>
      <c r="IK81" s="401"/>
      <c r="IL81" s="401"/>
      <c r="IM81" s="401"/>
      <c r="IN81" s="401"/>
      <c r="IO81" s="401"/>
      <c r="IP81" s="401"/>
      <c r="IQ81" s="401"/>
      <c r="IR81" s="401"/>
      <c r="IS81" s="401"/>
      <c r="IT81" s="401"/>
      <c r="IU81" s="401"/>
      <c r="IV81" s="401"/>
    </row>
    <row r="82" spans="1:256">
      <c r="A82" s="401"/>
      <c r="B82" s="401"/>
      <c r="C82" s="401"/>
      <c r="D82" s="401"/>
      <c r="E82" s="401"/>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401"/>
      <c r="AL82" s="401"/>
      <c r="AM82" s="401"/>
      <c r="AN82" s="401"/>
      <c r="AO82" s="401"/>
      <c r="AP82" s="401"/>
      <c r="AQ82" s="401"/>
      <c r="AR82" s="401"/>
      <c r="AS82" s="401"/>
      <c r="AT82" s="401"/>
      <c r="AU82" s="401"/>
      <c r="AV82" s="401"/>
      <c r="AW82" s="401"/>
      <c r="AX82" s="401"/>
      <c r="AY82" s="401"/>
      <c r="AZ82" s="401"/>
      <c r="BA82" s="401"/>
      <c r="BB82" s="401"/>
      <c r="BC82" s="401"/>
      <c r="BD82" s="401"/>
      <c r="BE82" s="401"/>
      <c r="BF82" s="401"/>
      <c r="BG82" s="401"/>
      <c r="BH82" s="401"/>
      <c r="BI82" s="401"/>
      <c r="BJ82" s="401"/>
      <c r="BK82" s="401"/>
      <c r="BL82" s="401"/>
      <c r="BM82" s="401"/>
      <c r="BN82" s="401"/>
      <c r="BO82" s="401"/>
      <c r="BP82" s="401"/>
      <c r="BQ82" s="401"/>
      <c r="BR82" s="401"/>
      <c r="BS82" s="401"/>
      <c r="BT82" s="401"/>
      <c r="BU82" s="401"/>
      <c r="BV82" s="401"/>
      <c r="BW82" s="401"/>
      <c r="BX82" s="401"/>
      <c r="BY82" s="401"/>
      <c r="BZ82" s="401"/>
      <c r="CA82" s="401"/>
      <c r="CB82" s="401"/>
      <c r="CC82" s="401"/>
      <c r="CD82" s="401"/>
      <c r="CE82" s="401"/>
      <c r="CF82" s="401"/>
      <c r="CG82" s="401"/>
      <c r="CH82" s="401"/>
      <c r="CI82" s="401"/>
      <c r="CJ82" s="401"/>
      <c r="CK82" s="401"/>
      <c r="CL82" s="401"/>
      <c r="CM82" s="401"/>
      <c r="CN82" s="401"/>
      <c r="CO82" s="401"/>
      <c r="CP82" s="401"/>
      <c r="CQ82" s="401"/>
      <c r="CR82" s="401"/>
      <c r="CS82" s="401"/>
      <c r="CT82" s="401"/>
      <c r="CU82" s="401"/>
      <c r="CV82" s="401"/>
      <c r="CW82" s="401"/>
      <c r="CX82" s="401"/>
      <c r="CY82" s="401"/>
      <c r="CZ82" s="401"/>
      <c r="DA82" s="401"/>
      <c r="DB82" s="401"/>
      <c r="DC82" s="401"/>
      <c r="DD82" s="401"/>
      <c r="DE82" s="401"/>
      <c r="DF82" s="401"/>
      <c r="DG82" s="401"/>
      <c r="DH82" s="401"/>
      <c r="DI82" s="401"/>
      <c r="DJ82" s="401"/>
      <c r="DK82" s="401"/>
      <c r="DL82" s="401"/>
      <c r="DM82" s="401"/>
      <c r="DN82" s="401"/>
      <c r="DO82" s="401"/>
      <c r="DP82" s="401"/>
      <c r="DQ82" s="401"/>
      <c r="DR82" s="401"/>
      <c r="DS82" s="401"/>
      <c r="DT82" s="401"/>
      <c r="DU82" s="401"/>
      <c r="DV82" s="401"/>
      <c r="DW82" s="401"/>
      <c r="DX82" s="401"/>
      <c r="DY82" s="401"/>
      <c r="DZ82" s="401"/>
      <c r="EA82" s="401"/>
      <c r="EB82" s="401"/>
      <c r="EC82" s="401"/>
      <c r="ED82" s="401"/>
      <c r="EE82" s="401"/>
      <c r="EF82" s="401"/>
      <c r="EG82" s="401"/>
      <c r="EH82" s="401"/>
      <c r="EI82" s="401"/>
      <c r="EJ82" s="401"/>
      <c r="EK82" s="401"/>
      <c r="EL82" s="401"/>
      <c r="EM82" s="401"/>
      <c r="EN82" s="401"/>
      <c r="EO82" s="401"/>
      <c r="EP82" s="401"/>
      <c r="EQ82" s="401"/>
      <c r="ER82" s="401"/>
      <c r="ES82" s="401"/>
      <c r="ET82" s="401"/>
      <c r="EU82" s="401"/>
      <c r="EV82" s="401"/>
      <c r="EW82" s="401"/>
      <c r="EX82" s="401"/>
      <c r="EY82" s="401"/>
      <c r="EZ82" s="401"/>
      <c r="FA82" s="401"/>
      <c r="FB82" s="401"/>
      <c r="FC82" s="401"/>
      <c r="FD82" s="401"/>
      <c r="FE82" s="401"/>
      <c r="FF82" s="401"/>
      <c r="FG82" s="401"/>
      <c r="FH82" s="401"/>
      <c r="FI82" s="401"/>
      <c r="FJ82" s="401"/>
      <c r="FK82" s="401"/>
      <c r="FL82" s="401"/>
      <c r="FM82" s="401"/>
      <c r="FN82" s="401"/>
      <c r="FO82" s="401"/>
      <c r="FP82" s="401"/>
      <c r="FQ82" s="401"/>
      <c r="FR82" s="401"/>
      <c r="FS82" s="401"/>
      <c r="FT82" s="401"/>
      <c r="FU82" s="401"/>
      <c r="FV82" s="401"/>
      <c r="FW82" s="401"/>
      <c r="FX82" s="401"/>
      <c r="FY82" s="401"/>
      <c r="FZ82" s="401"/>
      <c r="GA82" s="401"/>
      <c r="GB82" s="401"/>
      <c r="GC82" s="401"/>
      <c r="GD82" s="401"/>
      <c r="GE82" s="401"/>
      <c r="GF82" s="401"/>
      <c r="GG82" s="401"/>
      <c r="GH82" s="401"/>
      <c r="GI82" s="401"/>
      <c r="GJ82" s="401"/>
      <c r="GK82" s="401"/>
      <c r="GL82" s="401"/>
      <c r="GM82" s="401"/>
      <c r="GN82" s="401"/>
      <c r="GO82" s="401"/>
      <c r="GP82" s="401"/>
      <c r="GQ82" s="401"/>
      <c r="GR82" s="401"/>
      <c r="GS82" s="401"/>
      <c r="GT82" s="401"/>
      <c r="GU82" s="401"/>
      <c r="GV82" s="401"/>
      <c r="GW82" s="401"/>
      <c r="GX82" s="401"/>
      <c r="GY82" s="401"/>
      <c r="GZ82" s="401"/>
      <c r="HA82" s="401"/>
      <c r="HB82" s="401"/>
      <c r="HC82" s="401"/>
      <c r="HD82" s="401"/>
      <c r="HE82" s="401"/>
      <c r="HF82" s="401"/>
      <c r="HG82" s="401"/>
      <c r="HH82" s="401"/>
      <c r="HI82" s="401"/>
      <c r="HJ82" s="401"/>
      <c r="HK82" s="401"/>
      <c r="HL82" s="401"/>
      <c r="HM82" s="401"/>
      <c r="HN82" s="401"/>
      <c r="HO82" s="401"/>
      <c r="HP82" s="401"/>
      <c r="HQ82" s="401"/>
      <c r="HR82" s="401"/>
      <c r="HS82" s="401"/>
      <c r="HT82" s="401"/>
      <c r="HU82" s="401"/>
      <c r="HV82" s="401"/>
      <c r="HW82" s="401"/>
      <c r="HX82" s="401"/>
      <c r="HY82" s="401"/>
      <c r="HZ82" s="401"/>
      <c r="IA82" s="401"/>
      <c r="IB82" s="401"/>
      <c r="IC82" s="401"/>
      <c r="ID82" s="401"/>
      <c r="IE82" s="401"/>
      <c r="IF82" s="401"/>
      <c r="IG82" s="401"/>
      <c r="IH82" s="401"/>
      <c r="II82" s="401"/>
      <c r="IJ82" s="401"/>
      <c r="IK82" s="401"/>
      <c r="IL82" s="401"/>
      <c r="IM82" s="401"/>
      <c r="IN82" s="401"/>
      <c r="IO82" s="401"/>
      <c r="IP82" s="401"/>
      <c r="IQ82" s="401"/>
      <c r="IR82" s="401"/>
      <c r="IS82" s="401"/>
      <c r="IT82" s="401"/>
      <c r="IU82" s="401"/>
      <c r="IV82" s="401"/>
    </row>
    <row r="83" spans="1:256">
      <c r="A83" s="401"/>
      <c r="B83" s="401"/>
      <c r="C83" s="401"/>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1"/>
      <c r="DE83" s="401"/>
      <c r="DF83" s="401"/>
      <c r="DG83" s="401"/>
      <c r="DH83" s="401"/>
      <c r="DI83" s="401"/>
      <c r="DJ83" s="401"/>
      <c r="DK83" s="401"/>
      <c r="DL83" s="401"/>
      <c r="DM83" s="401"/>
      <c r="DN83" s="401"/>
      <c r="DO83" s="401"/>
      <c r="DP83" s="401"/>
      <c r="DQ83" s="401"/>
      <c r="DR83" s="401"/>
      <c r="DS83" s="401"/>
      <c r="DT83" s="401"/>
      <c r="DU83" s="401"/>
      <c r="DV83" s="401"/>
      <c r="DW83" s="401"/>
      <c r="DX83" s="401"/>
      <c r="DY83" s="401"/>
      <c r="DZ83" s="401"/>
      <c r="EA83" s="401"/>
      <c r="EB83" s="401"/>
      <c r="EC83" s="401"/>
      <c r="ED83" s="401"/>
      <c r="EE83" s="401"/>
      <c r="EF83" s="401"/>
      <c r="EG83" s="401"/>
      <c r="EH83" s="401"/>
      <c r="EI83" s="401"/>
      <c r="EJ83" s="401"/>
      <c r="EK83" s="401"/>
      <c r="EL83" s="401"/>
      <c r="EM83" s="401"/>
      <c r="EN83" s="401"/>
      <c r="EO83" s="401"/>
      <c r="EP83" s="401"/>
      <c r="EQ83" s="401"/>
      <c r="ER83" s="401"/>
      <c r="ES83" s="401"/>
      <c r="ET83" s="401"/>
      <c r="EU83" s="401"/>
      <c r="EV83" s="401"/>
      <c r="EW83" s="401"/>
      <c r="EX83" s="401"/>
      <c r="EY83" s="401"/>
      <c r="EZ83" s="401"/>
      <c r="FA83" s="401"/>
      <c r="FB83" s="401"/>
      <c r="FC83" s="401"/>
      <c r="FD83" s="401"/>
      <c r="FE83" s="401"/>
      <c r="FF83" s="401"/>
      <c r="FG83" s="401"/>
      <c r="FH83" s="401"/>
      <c r="FI83" s="401"/>
      <c r="FJ83" s="401"/>
      <c r="FK83" s="401"/>
      <c r="FL83" s="401"/>
      <c r="FM83" s="401"/>
      <c r="FN83" s="401"/>
      <c r="FO83" s="401"/>
      <c r="FP83" s="401"/>
      <c r="FQ83" s="401"/>
      <c r="FR83" s="401"/>
      <c r="FS83" s="401"/>
      <c r="FT83" s="401"/>
      <c r="FU83" s="401"/>
      <c r="FV83" s="401"/>
      <c r="FW83" s="401"/>
      <c r="FX83" s="401"/>
      <c r="FY83" s="401"/>
      <c r="FZ83" s="401"/>
      <c r="GA83" s="401"/>
      <c r="GB83" s="401"/>
      <c r="GC83" s="401"/>
      <c r="GD83" s="401"/>
      <c r="GE83" s="401"/>
      <c r="GF83" s="401"/>
      <c r="GG83" s="401"/>
      <c r="GH83" s="401"/>
      <c r="GI83" s="401"/>
      <c r="GJ83" s="401"/>
      <c r="GK83" s="401"/>
      <c r="GL83" s="401"/>
      <c r="GM83" s="401"/>
      <c r="GN83" s="401"/>
      <c r="GO83" s="401"/>
      <c r="GP83" s="401"/>
      <c r="GQ83" s="401"/>
      <c r="GR83" s="401"/>
      <c r="GS83" s="401"/>
      <c r="GT83" s="401"/>
      <c r="GU83" s="401"/>
      <c r="GV83" s="401"/>
      <c r="GW83" s="401"/>
      <c r="GX83" s="401"/>
      <c r="GY83" s="401"/>
      <c r="GZ83" s="401"/>
      <c r="HA83" s="401"/>
      <c r="HB83" s="401"/>
      <c r="HC83" s="401"/>
      <c r="HD83" s="401"/>
      <c r="HE83" s="401"/>
      <c r="HF83" s="401"/>
      <c r="HG83" s="401"/>
      <c r="HH83" s="401"/>
      <c r="HI83" s="401"/>
      <c r="HJ83" s="401"/>
      <c r="HK83" s="401"/>
      <c r="HL83" s="401"/>
      <c r="HM83" s="401"/>
      <c r="HN83" s="401"/>
      <c r="HO83" s="401"/>
      <c r="HP83" s="401"/>
      <c r="HQ83" s="401"/>
      <c r="HR83" s="401"/>
      <c r="HS83" s="401"/>
      <c r="HT83" s="401"/>
      <c r="HU83" s="401"/>
      <c r="HV83" s="401"/>
      <c r="HW83" s="401"/>
      <c r="HX83" s="401"/>
      <c r="HY83" s="401"/>
      <c r="HZ83" s="401"/>
      <c r="IA83" s="401"/>
      <c r="IB83" s="401"/>
      <c r="IC83" s="401"/>
      <c r="ID83" s="401"/>
      <c r="IE83" s="401"/>
      <c r="IF83" s="401"/>
      <c r="IG83" s="401"/>
      <c r="IH83" s="401"/>
      <c r="II83" s="401"/>
      <c r="IJ83" s="401"/>
      <c r="IK83" s="401"/>
      <c r="IL83" s="401"/>
      <c r="IM83" s="401"/>
      <c r="IN83" s="401"/>
      <c r="IO83" s="401"/>
      <c r="IP83" s="401"/>
      <c r="IQ83" s="401"/>
      <c r="IR83" s="401"/>
      <c r="IS83" s="401"/>
      <c r="IT83" s="401"/>
      <c r="IU83" s="401"/>
      <c r="IV83" s="401"/>
    </row>
    <row r="84" spans="1:256">
      <c r="A84" s="401"/>
      <c r="B84" s="401"/>
      <c r="C84" s="401"/>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c r="BE84" s="401"/>
      <c r="BF84" s="401"/>
      <c r="BG84" s="401"/>
      <c r="BH84" s="401"/>
      <c r="BI84" s="401"/>
      <c r="BJ84" s="401"/>
      <c r="BK84" s="401"/>
      <c r="BL84" s="401"/>
      <c r="BM84" s="401"/>
      <c r="BN84" s="401"/>
      <c r="BO84" s="401"/>
      <c r="BP84" s="401"/>
      <c r="BQ84" s="401"/>
      <c r="BR84" s="401"/>
      <c r="BS84" s="401"/>
      <c r="BT84" s="401"/>
      <c r="BU84" s="401"/>
      <c r="BV84" s="401"/>
      <c r="BW84" s="401"/>
      <c r="BX84" s="401"/>
      <c r="BY84" s="401"/>
      <c r="BZ84" s="401"/>
      <c r="CA84" s="401"/>
      <c r="CB84" s="401"/>
      <c r="CC84" s="401"/>
      <c r="CD84" s="401"/>
      <c r="CE84" s="401"/>
      <c r="CF84" s="401"/>
      <c r="CG84" s="401"/>
      <c r="CH84" s="401"/>
      <c r="CI84" s="401"/>
      <c r="CJ84" s="401"/>
      <c r="CK84" s="401"/>
      <c r="CL84" s="401"/>
      <c r="CM84" s="401"/>
      <c r="CN84" s="401"/>
      <c r="CO84" s="401"/>
      <c r="CP84" s="401"/>
      <c r="CQ84" s="401"/>
      <c r="CR84" s="401"/>
      <c r="CS84" s="401"/>
      <c r="CT84" s="401"/>
      <c r="CU84" s="401"/>
      <c r="CV84" s="401"/>
      <c r="CW84" s="401"/>
      <c r="CX84" s="401"/>
      <c r="CY84" s="401"/>
      <c r="CZ84" s="401"/>
      <c r="DA84" s="401"/>
      <c r="DB84" s="401"/>
      <c r="DC84" s="401"/>
      <c r="DD84" s="401"/>
      <c r="DE84" s="401"/>
      <c r="DF84" s="401"/>
      <c r="DG84" s="401"/>
      <c r="DH84" s="401"/>
      <c r="DI84" s="401"/>
      <c r="DJ84" s="401"/>
      <c r="DK84" s="401"/>
      <c r="DL84" s="401"/>
      <c r="DM84" s="401"/>
      <c r="DN84" s="401"/>
      <c r="DO84" s="401"/>
      <c r="DP84" s="401"/>
      <c r="DQ84" s="401"/>
      <c r="DR84" s="401"/>
      <c r="DS84" s="401"/>
      <c r="DT84" s="401"/>
      <c r="DU84" s="401"/>
      <c r="DV84" s="401"/>
      <c r="DW84" s="401"/>
      <c r="DX84" s="401"/>
      <c r="DY84" s="401"/>
      <c r="DZ84" s="401"/>
      <c r="EA84" s="401"/>
      <c r="EB84" s="401"/>
      <c r="EC84" s="401"/>
      <c r="ED84" s="401"/>
      <c r="EE84" s="401"/>
      <c r="EF84" s="401"/>
      <c r="EG84" s="401"/>
      <c r="EH84" s="401"/>
      <c r="EI84" s="401"/>
      <c r="EJ84" s="401"/>
      <c r="EK84" s="401"/>
      <c r="EL84" s="401"/>
      <c r="EM84" s="401"/>
      <c r="EN84" s="401"/>
      <c r="EO84" s="401"/>
      <c r="EP84" s="401"/>
      <c r="EQ84" s="401"/>
      <c r="ER84" s="401"/>
      <c r="ES84" s="401"/>
      <c r="ET84" s="401"/>
      <c r="EU84" s="401"/>
      <c r="EV84" s="401"/>
      <c r="EW84" s="401"/>
      <c r="EX84" s="401"/>
      <c r="EY84" s="401"/>
      <c r="EZ84" s="401"/>
      <c r="FA84" s="401"/>
      <c r="FB84" s="401"/>
      <c r="FC84" s="401"/>
      <c r="FD84" s="401"/>
      <c r="FE84" s="401"/>
      <c r="FF84" s="401"/>
      <c r="FG84" s="401"/>
      <c r="FH84" s="401"/>
      <c r="FI84" s="401"/>
      <c r="FJ84" s="401"/>
      <c r="FK84" s="401"/>
      <c r="FL84" s="401"/>
      <c r="FM84" s="401"/>
      <c r="FN84" s="401"/>
      <c r="FO84" s="401"/>
      <c r="FP84" s="401"/>
      <c r="FQ84" s="401"/>
      <c r="FR84" s="401"/>
      <c r="FS84" s="401"/>
      <c r="FT84" s="401"/>
      <c r="FU84" s="401"/>
      <c r="FV84" s="401"/>
      <c r="FW84" s="401"/>
      <c r="FX84" s="401"/>
      <c r="FY84" s="401"/>
      <c r="FZ84" s="401"/>
      <c r="GA84" s="401"/>
      <c r="GB84" s="401"/>
      <c r="GC84" s="401"/>
      <c r="GD84" s="401"/>
      <c r="GE84" s="401"/>
      <c r="GF84" s="401"/>
      <c r="GG84" s="401"/>
      <c r="GH84" s="401"/>
      <c r="GI84" s="401"/>
      <c r="GJ84" s="401"/>
      <c r="GK84" s="401"/>
      <c r="GL84" s="401"/>
      <c r="GM84" s="401"/>
      <c r="GN84" s="401"/>
      <c r="GO84" s="401"/>
      <c r="GP84" s="401"/>
      <c r="GQ84" s="401"/>
      <c r="GR84" s="401"/>
      <c r="GS84" s="401"/>
      <c r="GT84" s="401"/>
      <c r="GU84" s="401"/>
      <c r="GV84" s="401"/>
      <c r="GW84" s="401"/>
      <c r="GX84" s="401"/>
      <c r="GY84" s="401"/>
      <c r="GZ84" s="401"/>
      <c r="HA84" s="401"/>
      <c r="HB84" s="401"/>
      <c r="HC84" s="401"/>
      <c r="HD84" s="401"/>
      <c r="HE84" s="401"/>
      <c r="HF84" s="401"/>
      <c r="HG84" s="401"/>
      <c r="HH84" s="401"/>
      <c r="HI84" s="401"/>
      <c r="HJ84" s="401"/>
      <c r="HK84" s="401"/>
      <c r="HL84" s="401"/>
      <c r="HM84" s="401"/>
      <c r="HN84" s="401"/>
      <c r="HO84" s="401"/>
      <c r="HP84" s="401"/>
      <c r="HQ84" s="401"/>
      <c r="HR84" s="401"/>
      <c r="HS84" s="401"/>
      <c r="HT84" s="401"/>
      <c r="HU84" s="401"/>
      <c r="HV84" s="401"/>
      <c r="HW84" s="401"/>
      <c r="HX84" s="401"/>
      <c r="HY84" s="401"/>
      <c r="HZ84" s="401"/>
      <c r="IA84" s="401"/>
      <c r="IB84" s="401"/>
      <c r="IC84" s="401"/>
      <c r="ID84" s="401"/>
      <c r="IE84" s="401"/>
      <c r="IF84" s="401"/>
      <c r="IG84" s="401"/>
      <c r="IH84" s="401"/>
      <c r="II84" s="401"/>
      <c r="IJ84" s="401"/>
      <c r="IK84" s="401"/>
      <c r="IL84" s="401"/>
      <c r="IM84" s="401"/>
      <c r="IN84" s="401"/>
      <c r="IO84" s="401"/>
      <c r="IP84" s="401"/>
      <c r="IQ84" s="401"/>
      <c r="IR84" s="401"/>
      <c r="IS84" s="401"/>
      <c r="IT84" s="401"/>
      <c r="IU84" s="401"/>
      <c r="IV84" s="401"/>
    </row>
    <row r="85" spans="1:256">
      <c r="A85" s="401"/>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c r="BE85" s="401"/>
      <c r="BF85" s="401"/>
      <c r="BG85" s="401"/>
      <c r="BH85" s="401"/>
      <c r="BI85" s="401"/>
      <c r="BJ85" s="401"/>
      <c r="BK85" s="401"/>
      <c r="BL85" s="401"/>
      <c r="BM85" s="401"/>
      <c r="BN85" s="401"/>
      <c r="BO85" s="401"/>
      <c r="BP85" s="401"/>
      <c r="BQ85" s="401"/>
      <c r="BR85" s="401"/>
      <c r="BS85" s="401"/>
      <c r="BT85" s="401"/>
      <c r="BU85" s="401"/>
      <c r="BV85" s="401"/>
      <c r="BW85" s="401"/>
      <c r="BX85" s="401"/>
      <c r="BY85" s="401"/>
      <c r="BZ85" s="401"/>
      <c r="CA85" s="401"/>
      <c r="CB85" s="401"/>
      <c r="CC85" s="401"/>
      <c r="CD85" s="401"/>
      <c r="CE85" s="401"/>
      <c r="CF85" s="401"/>
      <c r="CG85" s="401"/>
      <c r="CH85" s="401"/>
      <c r="CI85" s="401"/>
      <c r="CJ85" s="401"/>
      <c r="CK85" s="401"/>
      <c r="CL85" s="401"/>
      <c r="CM85" s="401"/>
      <c r="CN85" s="401"/>
      <c r="CO85" s="401"/>
      <c r="CP85" s="401"/>
      <c r="CQ85" s="401"/>
      <c r="CR85" s="401"/>
      <c r="CS85" s="401"/>
      <c r="CT85" s="401"/>
      <c r="CU85" s="401"/>
      <c r="CV85" s="401"/>
      <c r="CW85" s="401"/>
      <c r="CX85" s="401"/>
      <c r="CY85" s="401"/>
      <c r="CZ85" s="401"/>
      <c r="DA85" s="401"/>
      <c r="DB85" s="401"/>
      <c r="DC85" s="401"/>
      <c r="DD85" s="401"/>
      <c r="DE85" s="401"/>
      <c r="DF85" s="401"/>
      <c r="DG85" s="401"/>
      <c r="DH85" s="401"/>
      <c r="DI85" s="401"/>
      <c r="DJ85" s="401"/>
      <c r="DK85" s="401"/>
      <c r="DL85" s="401"/>
      <c r="DM85" s="401"/>
      <c r="DN85" s="401"/>
      <c r="DO85" s="401"/>
      <c r="DP85" s="401"/>
      <c r="DQ85" s="401"/>
      <c r="DR85" s="401"/>
      <c r="DS85" s="401"/>
      <c r="DT85" s="401"/>
      <c r="DU85" s="401"/>
      <c r="DV85" s="401"/>
      <c r="DW85" s="401"/>
      <c r="DX85" s="401"/>
      <c r="DY85" s="401"/>
      <c r="DZ85" s="401"/>
      <c r="EA85" s="401"/>
      <c r="EB85" s="401"/>
      <c r="EC85" s="401"/>
      <c r="ED85" s="401"/>
      <c r="EE85" s="401"/>
      <c r="EF85" s="401"/>
      <c r="EG85" s="401"/>
      <c r="EH85" s="401"/>
      <c r="EI85" s="401"/>
      <c r="EJ85" s="401"/>
      <c r="EK85" s="401"/>
      <c r="EL85" s="401"/>
      <c r="EM85" s="401"/>
      <c r="EN85" s="401"/>
      <c r="EO85" s="401"/>
      <c r="EP85" s="401"/>
      <c r="EQ85" s="401"/>
      <c r="ER85" s="401"/>
      <c r="ES85" s="401"/>
      <c r="ET85" s="401"/>
      <c r="EU85" s="401"/>
      <c r="EV85" s="401"/>
      <c r="EW85" s="401"/>
      <c r="EX85" s="401"/>
      <c r="EY85" s="401"/>
      <c r="EZ85" s="401"/>
      <c r="FA85" s="401"/>
      <c r="FB85" s="401"/>
      <c r="FC85" s="401"/>
      <c r="FD85" s="401"/>
      <c r="FE85" s="401"/>
      <c r="FF85" s="401"/>
      <c r="FG85" s="401"/>
      <c r="FH85" s="401"/>
      <c r="FI85" s="401"/>
      <c r="FJ85" s="401"/>
      <c r="FK85" s="401"/>
      <c r="FL85" s="401"/>
      <c r="FM85" s="401"/>
      <c r="FN85" s="401"/>
      <c r="FO85" s="401"/>
      <c r="FP85" s="401"/>
      <c r="FQ85" s="401"/>
      <c r="FR85" s="401"/>
      <c r="FS85" s="401"/>
      <c r="FT85" s="401"/>
      <c r="FU85" s="401"/>
      <c r="FV85" s="401"/>
      <c r="FW85" s="401"/>
      <c r="FX85" s="401"/>
      <c r="FY85" s="401"/>
      <c r="FZ85" s="401"/>
      <c r="GA85" s="401"/>
      <c r="GB85" s="401"/>
      <c r="GC85" s="401"/>
      <c r="GD85" s="401"/>
      <c r="GE85" s="401"/>
      <c r="GF85" s="401"/>
      <c r="GG85" s="401"/>
      <c r="GH85" s="401"/>
      <c r="GI85" s="401"/>
      <c r="GJ85" s="401"/>
      <c r="GK85" s="401"/>
      <c r="GL85" s="401"/>
      <c r="GM85" s="401"/>
      <c r="GN85" s="401"/>
      <c r="GO85" s="401"/>
      <c r="GP85" s="401"/>
      <c r="GQ85" s="401"/>
      <c r="GR85" s="401"/>
      <c r="GS85" s="401"/>
      <c r="GT85" s="401"/>
      <c r="GU85" s="401"/>
      <c r="GV85" s="401"/>
      <c r="GW85" s="401"/>
      <c r="GX85" s="401"/>
      <c r="GY85" s="401"/>
      <c r="GZ85" s="401"/>
      <c r="HA85" s="401"/>
      <c r="HB85" s="401"/>
      <c r="HC85" s="401"/>
      <c r="HD85" s="401"/>
      <c r="HE85" s="401"/>
      <c r="HF85" s="401"/>
      <c r="HG85" s="401"/>
      <c r="HH85" s="401"/>
      <c r="HI85" s="401"/>
      <c r="HJ85" s="401"/>
      <c r="HK85" s="401"/>
      <c r="HL85" s="401"/>
      <c r="HM85" s="401"/>
      <c r="HN85" s="401"/>
      <c r="HO85" s="401"/>
      <c r="HP85" s="401"/>
      <c r="HQ85" s="401"/>
      <c r="HR85" s="401"/>
      <c r="HS85" s="401"/>
      <c r="HT85" s="401"/>
      <c r="HU85" s="401"/>
      <c r="HV85" s="401"/>
      <c r="HW85" s="401"/>
      <c r="HX85" s="401"/>
      <c r="HY85" s="401"/>
      <c r="HZ85" s="401"/>
      <c r="IA85" s="401"/>
      <c r="IB85" s="401"/>
      <c r="IC85" s="401"/>
      <c r="ID85" s="401"/>
      <c r="IE85" s="401"/>
      <c r="IF85" s="401"/>
      <c r="IG85" s="401"/>
      <c r="IH85" s="401"/>
      <c r="II85" s="401"/>
      <c r="IJ85" s="401"/>
      <c r="IK85" s="401"/>
      <c r="IL85" s="401"/>
      <c r="IM85" s="401"/>
      <c r="IN85" s="401"/>
      <c r="IO85" s="401"/>
      <c r="IP85" s="401"/>
      <c r="IQ85" s="401"/>
      <c r="IR85" s="401"/>
      <c r="IS85" s="401"/>
      <c r="IT85" s="401"/>
      <c r="IU85" s="401"/>
      <c r="IV85" s="401"/>
    </row>
    <row r="86" spans="1:256">
      <c r="A86" s="401"/>
      <c r="B86" s="401"/>
      <c r="C86" s="401"/>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c r="BE86" s="401"/>
      <c r="BF86" s="401"/>
      <c r="BG86" s="401"/>
      <c r="BH86" s="401"/>
      <c r="BI86" s="401"/>
      <c r="BJ86" s="401"/>
      <c r="BK86" s="401"/>
      <c r="BL86" s="401"/>
      <c r="BM86" s="401"/>
      <c r="BN86" s="401"/>
      <c r="BO86" s="401"/>
      <c r="BP86" s="401"/>
      <c r="BQ86" s="401"/>
      <c r="BR86" s="401"/>
      <c r="BS86" s="401"/>
      <c r="BT86" s="401"/>
      <c r="BU86" s="401"/>
      <c r="BV86" s="401"/>
      <c r="BW86" s="401"/>
      <c r="BX86" s="401"/>
      <c r="BY86" s="401"/>
      <c r="BZ86" s="401"/>
      <c r="CA86" s="401"/>
      <c r="CB86" s="401"/>
      <c r="CC86" s="401"/>
      <c r="CD86" s="401"/>
      <c r="CE86" s="401"/>
      <c r="CF86" s="401"/>
      <c r="CG86" s="401"/>
      <c r="CH86" s="401"/>
      <c r="CI86" s="401"/>
      <c r="CJ86" s="401"/>
      <c r="CK86" s="401"/>
      <c r="CL86" s="401"/>
      <c r="CM86" s="401"/>
      <c r="CN86" s="401"/>
      <c r="CO86" s="401"/>
      <c r="CP86" s="401"/>
      <c r="CQ86" s="401"/>
      <c r="CR86" s="401"/>
      <c r="CS86" s="401"/>
      <c r="CT86" s="401"/>
      <c r="CU86" s="401"/>
      <c r="CV86" s="401"/>
      <c r="CW86" s="401"/>
      <c r="CX86" s="401"/>
      <c r="CY86" s="401"/>
      <c r="CZ86" s="401"/>
      <c r="DA86" s="401"/>
      <c r="DB86" s="401"/>
      <c r="DC86" s="401"/>
      <c r="DD86" s="401"/>
      <c r="DE86" s="401"/>
      <c r="DF86" s="401"/>
      <c r="DG86" s="401"/>
      <c r="DH86" s="401"/>
      <c r="DI86" s="401"/>
      <c r="DJ86" s="401"/>
      <c r="DK86" s="401"/>
      <c r="DL86" s="401"/>
      <c r="DM86" s="401"/>
      <c r="DN86" s="401"/>
      <c r="DO86" s="401"/>
      <c r="DP86" s="401"/>
      <c r="DQ86" s="401"/>
      <c r="DR86" s="401"/>
      <c r="DS86" s="401"/>
      <c r="DT86" s="401"/>
      <c r="DU86" s="401"/>
      <c r="DV86" s="401"/>
      <c r="DW86" s="401"/>
      <c r="DX86" s="401"/>
      <c r="DY86" s="401"/>
      <c r="DZ86" s="401"/>
      <c r="EA86" s="401"/>
      <c r="EB86" s="401"/>
      <c r="EC86" s="401"/>
      <c r="ED86" s="401"/>
      <c r="EE86" s="401"/>
      <c r="EF86" s="401"/>
      <c r="EG86" s="401"/>
      <c r="EH86" s="401"/>
      <c r="EI86" s="401"/>
      <c r="EJ86" s="401"/>
      <c r="EK86" s="401"/>
      <c r="EL86" s="401"/>
      <c r="EM86" s="401"/>
      <c r="EN86" s="401"/>
      <c r="EO86" s="401"/>
      <c r="EP86" s="401"/>
      <c r="EQ86" s="401"/>
      <c r="ER86" s="401"/>
      <c r="ES86" s="401"/>
      <c r="ET86" s="401"/>
      <c r="EU86" s="401"/>
      <c r="EV86" s="401"/>
      <c r="EW86" s="401"/>
      <c r="EX86" s="401"/>
      <c r="EY86" s="401"/>
      <c r="EZ86" s="401"/>
      <c r="FA86" s="401"/>
      <c r="FB86" s="401"/>
      <c r="FC86" s="401"/>
      <c r="FD86" s="401"/>
      <c r="FE86" s="401"/>
      <c r="FF86" s="401"/>
      <c r="FG86" s="401"/>
      <c r="FH86" s="401"/>
      <c r="FI86" s="401"/>
      <c r="FJ86" s="401"/>
      <c r="FK86" s="401"/>
      <c r="FL86" s="401"/>
      <c r="FM86" s="401"/>
      <c r="FN86" s="401"/>
      <c r="FO86" s="401"/>
      <c r="FP86" s="401"/>
      <c r="FQ86" s="401"/>
      <c r="FR86" s="401"/>
      <c r="FS86" s="401"/>
      <c r="FT86" s="401"/>
      <c r="FU86" s="401"/>
      <c r="FV86" s="401"/>
      <c r="FW86" s="401"/>
      <c r="FX86" s="401"/>
      <c r="FY86" s="401"/>
      <c r="FZ86" s="401"/>
      <c r="GA86" s="401"/>
      <c r="GB86" s="401"/>
      <c r="GC86" s="401"/>
      <c r="GD86" s="401"/>
      <c r="GE86" s="401"/>
      <c r="GF86" s="401"/>
      <c r="GG86" s="401"/>
      <c r="GH86" s="401"/>
      <c r="GI86" s="401"/>
      <c r="GJ86" s="401"/>
      <c r="GK86" s="401"/>
      <c r="GL86" s="401"/>
      <c r="GM86" s="401"/>
      <c r="GN86" s="401"/>
      <c r="GO86" s="401"/>
      <c r="GP86" s="401"/>
      <c r="GQ86" s="401"/>
      <c r="GR86" s="401"/>
      <c r="GS86" s="401"/>
      <c r="GT86" s="401"/>
      <c r="GU86" s="401"/>
      <c r="GV86" s="401"/>
      <c r="GW86" s="401"/>
      <c r="GX86" s="401"/>
      <c r="GY86" s="401"/>
      <c r="GZ86" s="401"/>
      <c r="HA86" s="401"/>
      <c r="HB86" s="401"/>
      <c r="HC86" s="401"/>
      <c r="HD86" s="401"/>
      <c r="HE86" s="401"/>
      <c r="HF86" s="401"/>
      <c r="HG86" s="401"/>
      <c r="HH86" s="401"/>
      <c r="HI86" s="401"/>
      <c r="HJ86" s="401"/>
      <c r="HK86" s="401"/>
      <c r="HL86" s="401"/>
      <c r="HM86" s="401"/>
      <c r="HN86" s="401"/>
      <c r="HO86" s="401"/>
      <c r="HP86" s="401"/>
      <c r="HQ86" s="401"/>
      <c r="HR86" s="401"/>
      <c r="HS86" s="401"/>
      <c r="HT86" s="401"/>
      <c r="HU86" s="401"/>
      <c r="HV86" s="401"/>
      <c r="HW86" s="401"/>
      <c r="HX86" s="401"/>
      <c r="HY86" s="401"/>
      <c r="HZ86" s="401"/>
      <c r="IA86" s="401"/>
      <c r="IB86" s="401"/>
      <c r="IC86" s="401"/>
      <c r="ID86" s="401"/>
      <c r="IE86" s="401"/>
      <c r="IF86" s="401"/>
      <c r="IG86" s="401"/>
      <c r="IH86" s="401"/>
      <c r="II86" s="401"/>
      <c r="IJ86" s="401"/>
      <c r="IK86" s="401"/>
      <c r="IL86" s="401"/>
      <c r="IM86" s="401"/>
      <c r="IN86" s="401"/>
      <c r="IO86" s="401"/>
      <c r="IP86" s="401"/>
      <c r="IQ86" s="401"/>
      <c r="IR86" s="401"/>
      <c r="IS86" s="401"/>
      <c r="IT86" s="401"/>
      <c r="IU86" s="401"/>
      <c r="IV86" s="401"/>
    </row>
    <row r="87" spans="1:256">
      <c r="A87" s="401"/>
      <c r="B87" s="401"/>
      <c r="C87" s="401"/>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401"/>
      <c r="DH87" s="401"/>
      <c r="DI87" s="401"/>
      <c r="DJ87" s="401"/>
      <c r="DK87" s="401"/>
      <c r="DL87" s="401"/>
      <c r="DM87" s="401"/>
      <c r="DN87" s="401"/>
      <c r="DO87" s="401"/>
      <c r="DP87" s="401"/>
      <c r="DQ87" s="401"/>
      <c r="DR87" s="401"/>
      <c r="DS87" s="401"/>
      <c r="DT87" s="401"/>
      <c r="DU87" s="401"/>
      <c r="DV87" s="401"/>
      <c r="DW87" s="401"/>
      <c r="DX87" s="401"/>
      <c r="DY87" s="401"/>
      <c r="DZ87" s="401"/>
      <c r="EA87" s="401"/>
      <c r="EB87" s="401"/>
      <c r="EC87" s="401"/>
      <c r="ED87" s="401"/>
      <c r="EE87" s="401"/>
      <c r="EF87" s="401"/>
      <c r="EG87" s="401"/>
      <c r="EH87" s="401"/>
      <c r="EI87" s="401"/>
      <c r="EJ87" s="401"/>
      <c r="EK87" s="401"/>
      <c r="EL87" s="401"/>
      <c r="EM87" s="401"/>
      <c r="EN87" s="401"/>
      <c r="EO87" s="401"/>
      <c r="EP87" s="401"/>
      <c r="EQ87" s="401"/>
      <c r="ER87" s="401"/>
      <c r="ES87" s="401"/>
      <c r="ET87" s="401"/>
      <c r="EU87" s="401"/>
      <c r="EV87" s="401"/>
      <c r="EW87" s="401"/>
      <c r="EX87" s="401"/>
      <c r="EY87" s="401"/>
      <c r="EZ87" s="401"/>
      <c r="FA87" s="401"/>
      <c r="FB87" s="401"/>
      <c r="FC87" s="401"/>
      <c r="FD87" s="401"/>
      <c r="FE87" s="401"/>
      <c r="FF87" s="401"/>
      <c r="FG87" s="401"/>
      <c r="FH87" s="401"/>
      <c r="FI87" s="401"/>
      <c r="FJ87" s="401"/>
      <c r="FK87" s="401"/>
      <c r="FL87" s="401"/>
      <c r="FM87" s="401"/>
      <c r="FN87" s="401"/>
      <c r="FO87" s="401"/>
      <c r="FP87" s="401"/>
      <c r="FQ87" s="401"/>
      <c r="FR87" s="401"/>
      <c r="FS87" s="401"/>
      <c r="FT87" s="401"/>
      <c r="FU87" s="401"/>
      <c r="FV87" s="401"/>
      <c r="FW87" s="401"/>
      <c r="FX87" s="401"/>
      <c r="FY87" s="401"/>
      <c r="FZ87" s="401"/>
      <c r="GA87" s="401"/>
      <c r="GB87" s="401"/>
      <c r="GC87" s="401"/>
      <c r="GD87" s="401"/>
      <c r="GE87" s="401"/>
      <c r="GF87" s="401"/>
      <c r="GG87" s="401"/>
      <c r="GH87" s="401"/>
      <c r="GI87" s="401"/>
      <c r="GJ87" s="401"/>
      <c r="GK87" s="401"/>
      <c r="GL87" s="401"/>
      <c r="GM87" s="401"/>
      <c r="GN87" s="401"/>
      <c r="GO87" s="401"/>
      <c r="GP87" s="401"/>
      <c r="GQ87" s="401"/>
      <c r="GR87" s="401"/>
      <c r="GS87" s="401"/>
      <c r="GT87" s="401"/>
      <c r="GU87" s="401"/>
      <c r="GV87" s="401"/>
      <c r="GW87" s="401"/>
      <c r="GX87" s="401"/>
      <c r="GY87" s="401"/>
      <c r="GZ87" s="401"/>
      <c r="HA87" s="401"/>
      <c r="HB87" s="401"/>
      <c r="HC87" s="401"/>
      <c r="HD87" s="401"/>
      <c r="HE87" s="401"/>
      <c r="HF87" s="401"/>
      <c r="HG87" s="401"/>
      <c r="HH87" s="401"/>
      <c r="HI87" s="401"/>
      <c r="HJ87" s="401"/>
      <c r="HK87" s="401"/>
      <c r="HL87" s="401"/>
      <c r="HM87" s="401"/>
      <c r="HN87" s="401"/>
      <c r="HO87" s="401"/>
      <c r="HP87" s="401"/>
      <c r="HQ87" s="401"/>
      <c r="HR87" s="401"/>
      <c r="HS87" s="401"/>
      <c r="HT87" s="401"/>
      <c r="HU87" s="401"/>
      <c r="HV87" s="401"/>
      <c r="HW87" s="401"/>
      <c r="HX87" s="401"/>
      <c r="HY87" s="401"/>
      <c r="HZ87" s="401"/>
      <c r="IA87" s="401"/>
      <c r="IB87" s="401"/>
      <c r="IC87" s="401"/>
      <c r="ID87" s="401"/>
      <c r="IE87" s="401"/>
      <c r="IF87" s="401"/>
      <c r="IG87" s="401"/>
      <c r="IH87" s="401"/>
      <c r="II87" s="401"/>
      <c r="IJ87" s="401"/>
      <c r="IK87" s="401"/>
      <c r="IL87" s="401"/>
      <c r="IM87" s="401"/>
      <c r="IN87" s="401"/>
      <c r="IO87" s="401"/>
      <c r="IP87" s="401"/>
      <c r="IQ87" s="401"/>
      <c r="IR87" s="401"/>
      <c r="IS87" s="401"/>
      <c r="IT87" s="401"/>
      <c r="IU87" s="401"/>
      <c r="IV87" s="401"/>
    </row>
    <row r="88" spans="1:256">
      <c r="A88" s="401"/>
      <c r="B88" s="401"/>
      <c r="C88" s="401"/>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c r="BE88" s="401"/>
      <c r="BF88" s="401"/>
      <c r="BG88" s="401"/>
      <c r="BH88" s="401"/>
      <c r="BI88" s="401"/>
      <c r="BJ88" s="401"/>
      <c r="BK88" s="401"/>
      <c r="BL88" s="401"/>
      <c r="BM88" s="401"/>
      <c r="BN88" s="401"/>
      <c r="BO88" s="401"/>
      <c r="BP88" s="401"/>
      <c r="BQ88" s="401"/>
      <c r="BR88" s="401"/>
      <c r="BS88" s="401"/>
      <c r="BT88" s="401"/>
      <c r="BU88" s="401"/>
      <c r="BV88" s="401"/>
      <c r="BW88" s="401"/>
      <c r="BX88" s="401"/>
      <c r="BY88" s="401"/>
      <c r="BZ88" s="401"/>
      <c r="CA88" s="401"/>
      <c r="CB88" s="401"/>
      <c r="CC88" s="401"/>
      <c r="CD88" s="401"/>
      <c r="CE88" s="401"/>
      <c r="CF88" s="401"/>
      <c r="CG88" s="401"/>
      <c r="CH88" s="401"/>
      <c r="CI88" s="401"/>
      <c r="CJ88" s="401"/>
      <c r="CK88" s="401"/>
      <c r="CL88" s="401"/>
      <c r="CM88" s="401"/>
      <c r="CN88" s="401"/>
      <c r="CO88" s="401"/>
      <c r="CP88" s="401"/>
      <c r="CQ88" s="401"/>
      <c r="CR88" s="401"/>
      <c r="CS88" s="401"/>
      <c r="CT88" s="401"/>
      <c r="CU88" s="401"/>
      <c r="CV88" s="401"/>
      <c r="CW88" s="401"/>
      <c r="CX88" s="401"/>
      <c r="CY88" s="401"/>
      <c r="CZ88" s="401"/>
      <c r="DA88" s="401"/>
      <c r="DB88" s="401"/>
      <c r="DC88" s="401"/>
      <c r="DD88" s="401"/>
      <c r="DE88" s="401"/>
      <c r="DF88" s="401"/>
      <c r="DG88" s="401"/>
      <c r="DH88" s="401"/>
      <c r="DI88" s="401"/>
      <c r="DJ88" s="401"/>
      <c r="DK88" s="401"/>
      <c r="DL88" s="401"/>
      <c r="DM88" s="401"/>
      <c r="DN88" s="401"/>
      <c r="DO88" s="401"/>
      <c r="DP88" s="401"/>
      <c r="DQ88" s="401"/>
      <c r="DR88" s="401"/>
      <c r="DS88" s="401"/>
      <c r="DT88" s="401"/>
      <c r="DU88" s="401"/>
      <c r="DV88" s="401"/>
      <c r="DW88" s="401"/>
      <c r="DX88" s="401"/>
      <c r="DY88" s="401"/>
      <c r="DZ88" s="401"/>
      <c r="EA88" s="401"/>
      <c r="EB88" s="401"/>
      <c r="EC88" s="401"/>
      <c r="ED88" s="401"/>
      <c r="EE88" s="401"/>
      <c r="EF88" s="401"/>
      <c r="EG88" s="401"/>
      <c r="EH88" s="401"/>
      <c r="EI88" s="401"/>
      <c r="EJ88" s="401"/>
      <c r="EK88" s="401"/>
      <c r="EL88" s="401"/>
      <c r="EM88" s="401"/>
      <c r="EN88" s="401"/>
      <c r="EO88" s="401"/>
      <c r="EP88" s="401"/>
      <c r="EQ88" s="401"/>
      <c r="ER88" s="401"/>
      <c r="ES88" s="401"/>
      <c r="ET88" s="401"/>
      <c r="EU88" s="401"/>
      <c r="EV88" s="401"/>
      <c r="EW88" s="401"/>
      <c r="EX88" s="401"/>
      <c r="EY88" s="401"/>
      <c r="EZ88" s="401"/>
      <c r="FA88" s="401"/>
      <c r="FB88" s="401"/>
      <c r="FC88" s="401"/>
      <c r="FD88" s="401"/>
      <c r="FE88" s="401"/>
      <c r="FF88" s="401"/>
      <c r="FG88" s="401"/>
      <c r="FH88" s="401"/>
      <c r="FI88" s="401"/>
      <c r="FJ88" s="401"/>
      <c r="FK88" s="401"/>
      <c r="FL88" s="401"/>
      <c r="FM88" s="401"/>
      <c r="FN88" s="401"/>
      <c r="FO88" s="401"/>
      <c r="FP88" s="401"/>
      <c r="FQ88" s="401"/>
      <c r="FR88" s="401"/>
      <c r="FS88" s="401"/>
      <c r="FT88" s="401"/>
      <c r="FU88" s="401"/>
      <c r="FV88" s="401"/>
      <c r="FW88" s="401"/>
      <c r="FX88" s="401"/>
      <c r="FY88" s="401"/>
      <c r="FZ88" s="401"/>
      <c r="GA88" s="401"/>
      <c r="GB88" s="401"/>
      <c r="GC88" s="401"/>
      <c r="GD88" s="401"/>
      <c r="GE88" s="401"/>
      <c r="GF88" s="401"/>
      <c r="GG88" s="401"/>
      <c r="GH88" s="401"/>
      <c r="GI88" s="401"/>
      <c r="GJ88" s="401"/>
      <c r="GK88" s="401"/>
      <c r="GL88" s="401"/>
      <c r="GM88" s="401"/>
      <c r="GN88" s="401"/>
      <c r="GO88" s="401"/>
      <c r="GP88" s="401"/>
      <c r="GQ88" s="401"/>
      <c r="GR88" s="401"/>
      <c r="GS88" s="401"/>
      <c r="GT88" s="401"/>
      <c r="GU88" s="401"/>
      <c r="GV88" s="401"/>
      <c r="GW88" s="401"/>
      <c r="GX88" s="401"/>
      <c r="GY88" s="401"/>
      <c r="GZ88" s="401"/>
      <c r="HA88" s="401"/>
      <c r="HB88" s="401"/>
      <c r="HC88" s="401"/>
      <c r="HD88" s="401"/>
      <c r="HE88" s="401"/>
      <c r="HF88" s="401"/>
      <c r="HG88" s="401"/>
      <c r="HH88" s="401"/>
      <c r="HI88" s="401"/>
      <c r="HJ88" s="401"/>
      <c r="HK88" s="401"/>
      <c r="HL88" s="401"/>
      <c r="HM88" s="401"/>
      <c r="HN88" s="401"/>
      <c r="HO88" s="401"/>
      <c r="HP88" s="401"/>
      <c r="HQ88" s="401"/>
      <c r="HR88" s="401"/>
      <c r="HS88" s="401"/>
      <c r="HT88" s="401"/>
      <c r="HU88" s="401"/>
      <c r="HV88" s="401"/>
      <c r="HW88" s="401"/>
      <c r="HX88" s="401"/>
      <c r="HY88" s="401"/>
      <c r="HZ88" s="401"/>
      <c r="IA88" s="401"/>
      <c r="IB88" s="401"/>
      <c r="IC88" s="401"/>
      <c r="ID88" s="401"/>
      <c r="IE88" s="401"/>
      <c r="IF88" s="401"/>
      <c r="IG88" s="401"/>
      <c r="IH88" s="401"/>
      <c r="II88" s="401"/>
      <c r="IJ88" s="401"/>
      <c r="IK88" s="401"/>
      <c r="IL88" s="401"/>
      <c r="IM88" s="401"/>
      <c r="IN88" s="401"/>
      <c r="IO88" s="401"/>
      <c r="IP88" s="401"/>
      <c r="IQ88" s="401"/>
      <c r="IR88" s="401"/>
      <c r="IS88" s="401"/>
      <c r="IT88" s="401"/>
      <c r="IU88" s="401"/>
      <c r="IV88" s="401"/>
    </row>
    <row r="89" spans="1:256">
      <c r="A89" s="401"/>
      <c r="B89" s="401"/>
      <c r="C89" s="401"/>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c r="BE89" s="401"/>
      <c r="BF89" s="401"/>
      <c r="BG89" s="401"/>
      <c r="BH89" s="401"/>
      <c r="BI89" s="401"/>
      <c r="BJ89" s="401"/>
      <c r="BK89" s="401"/>
      <c r="BL89" s="401"/>
      <c r="BM89" s="401"/>
      <c r="BN89" s="401"/>
      <c r="BO89" s="401"/>
      <c r="BP89" s="401"/>
      <c r="BQ89" s="401"/>
      <c r="BR89" s="401"/>
      <c r="BS89" s="401"/>
      <c r="BT89" s="401"/>
      <c r="BU89" s="401"/>
      <c r="BV89" s="401"/>
      <c r="BW89" s="401"/>
      <c r="BX89" s="401"/>
      <c r="BY89" s="401"/>
      <c r="BZ89" s="401"/>
      <c r="CA89" s="401"/>
      <c r="CB89" s="401"/>
      <c r="CC89" s="401"/>
      <c r="CD89" s="401"/>
      <c r="CE89" s="401"/>
      <c r="CF89" s="401"/>
      <c r="CG89" s="401"/>
      <c r="CH89" s="401"/>
      <c r="CI89" s="401"/>
      <c r="CJ89" s="401"/>
      <c r="CK89" s="401"/>
      <c r="CL89" s="401"/>
      <c r="CM89" s="401"/>
      <c r="CN89" s="401"/>
      <c r="CO89" s="401"/>
      <c r="CP89" s="401"/>
      <c r="CQ89" s="401"/>
      <c r="CR89" s="401"/>
      <c r="CS89" s="401"/>
      <c r="CT89" s="401"/>
      <c r="CU89" s="401"/>
      <c r="CV89" s="401"/>
      <c r="CW89" s="401"/>
      <c r="CX89" s="401"/>
      <c r="CY89" s="401"/>
      <c r="CZ89" s="401"/>
      <c r="DA89" s="401"/>
      <c r="DB89" s="401"/>
      <c r="DC89" s="401"/>
      <c r="DD89" s="401"/>
      <c r="DE89" s="401"/>
      <c r="DF89" s="401"/>
      <c r="DG89" s="401"/>
      <c r="DH89" s="401"/>
      <c r="DI89" s="401"/>
      <c r="DJ89" s="401"/>
      <c r="DK89" s="401"/>
      <c r="DL89" s="401"/>
      <c r="DM89" s="401"/>
      <c r="DN89" s="401"/>
      <c r="DO89" s="401"/>
      <c r="DP89" s="401"/>
      <c r="DQ89" s="401"/>
      <c r="DR89" s="401"/>
      <c r="DS89" s="401"/>
      <c r="DT89" s="401"/>
      <c r="DU89" s="401"/>
      <c r="DV89" s="401"/>
      <c r="DW89" s="401"/>
      <c r="DX89" s="401"/>
      <c r="DY89" s="401"/>
      <c r="DZ89" s="401"/>
      <c r="EA89" s="401"/>
      <c r="EB89" s="401"/>
      <c r="EC89" s="401"/>
      <c r="ED89" s="401"/>
      <c r="EE89" s="401"/>
      <c r="EF89" s="401"/>
      <c r="EG89" s="401"/>
      <c r="EH89" s="401"/>
      <c r="EI89" s="401"/>
      <c r="EJ89" s="401"/>
      <c r="EK89" s="401"/>
      <c r="EL89" s="401"/>
      <c r="EM89" s="401"/>
      <c r="EN89" s="401"/>
      <c r="EO89" s="401"/>
      <c r="EP89" s="401"/>
      <c r="EQ89" s="401"/>
      <c r="ER89" s="401"/>
      <c r="ES89" s="401"/>
      <c r="ET89" s="401"/>
      <c r="EU89" s="401"/>
      <c r="EV89" s="401"/>
      <c r="EW89" s="401"/>
      <c r="EX89" s="401"/>
      <c r="EY89" s="401"/>
      <c r="EZ89" s="401"/>
      <c r="FA89" s="401"/>
      <c r="FB89" s="401"/>
      <c r="FC89" s="401"/>
      <c r="FD89" s="401"/>
      <c r="FE89" s="401"/>
      <c r="FF89" s="401"/>
      <c r="FG89" s="401"/>
      <c r="FH89" s="401"/>
      <c r="FI89" s="401"/>
      <c r="FJ89" s="401"/>
      <c r="FK89" s="401"/>
      <c r="FL89" s="401"/>
      <c r="FM89" s="401"/>
      <c r="FN89" s="401"/>
      <c r="FO89" s="401"/>
      <c r="FP89" s="401"/>
      <c r="FQ89" s="401"/>
      <c r="FR89" s="401"/>
      <c r="FS89" s="401"/>
      <c r="FT89" s="401"/>
      <c r="FU89" s="401"/>
      <c r="FV89" s="401"/>
      <c r="FW89" s="401"/>
      <c r="FX89" s="401"/>
      <c r="FY89" s="401"/>
      <c r="FZ89" s="401"/>
      <c r="GA89" s="401"/>
      <c r="GB89" s="401"/>
      <c r="GC89" s="401"/>
      <c r="GD89" s="401"/>
      <c r="GE89" s="401"/>
      <c r="GF89" s="401"/>
      <c r="GG89" s="401"/>
      <c r="GH89" s="401"/>
      <c r="GI89" s="401"/>
      <c r="GJ89" s="401"/>
      <c r="GK89" s="401"/>
      <c r="GL89" s="401"/>
      <c r="GM89" s="401"/>
      <c r="GN89" s="401"/>
      <c r="GO89" s="401"/>
      <c r="GP89" s="401"/>
      <c r="GQ89" s="401"/>
      <c r="GR89" s="401"/>
      <c r="GS89" s="401"/>
      <c r="GT89" s="401"/>
      <c r="GU89" s="401"/>
      <c r="GV89" s="401"/>
      <c r="GW89" s="401"/>
      <c r="GX89" s="401"/>
      <c r="GY89" s="401"/>
      <c r="GZ89" s="401"/>
      <c r="HA89" s="401"/>
      <c r="HB89" s="401"/>
      <c r="HC89" s="401"/>
      <c r="HD89" s="401"/>
      <c r="HE89" s="401"/>
      <c r="HF89" s="401"/>
      <c r="HG89" s="401"/>
      <c r="HH89" s="401"/>
      <c r="HI89" s="401"/>
      <c r="HJ89" s="401"/>
      <c r="HK89" s="401"/>
      <c r="HL89" s="401"/>
      <c r="HM89" s="401"/>
      <c r="HN89" s="401"/>
      <c r="HO89" s="401"/>
      <c r="HP89" s="401"/>
      <c r="HQ89" s="401"/>
      <c r="HR89" s="401"/>
      <c r="HS89" s="401"/>
      <c r="HT89" s="401"/>
      <c r="HU89" s="401"/>
      <c r="HV89" s="401"/>
      <c r="HW89" s="401"/>
      <c r="HX89" s="401"/>
      <c r="HY89" s="401"/>
      <c r="HZ89" s="401"/>
      <c r="IA89" s="401"/>
      <c r="IB89" s="401"/>
      <c r="IC89" s="401"/>
      <c r="ID89" s="401"/>
      <c r="IE89" s="401"/>
      <c r="IF89" s="401"/>
      <c r="IG89" s="401"/>
      <c r="IH89" s="401"/>
      <c r="II89" s="401"/>
      <c r="IJ89" s="401"/>
      <c r="IK89" s="401"/>
      <c r="IL89" s="401"/>
      <c r="IM89" s="401"/>
      <c r="IN89" s="401"/>
      <c r="IO89" s="401"/>
      <c r="IP89" s="401"/>
      <c r="IQ89" s="401"/>
      <c r="IR89" s="401"/>
      <c r="IS89" s="401"/>
      <c r="IT89" s="401"/>
      <c r="IU89" s="401"/>
      <c r="IV89" s="401"/>
    </row>
    <row r="90" spans="1:256">
      <c r="A90" s="401"/>
      <c r="B90" s="401"/>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c r="BE90" s="401"/>
      <c r="BF90" s="401"/>
      <c r="BG90" s="401"/>
      <c r="BH90" s="401"/>
      <c r="BI90" s="401"/>
      <c r="BJ90" s="401"/>
      <c r="BK90" s="401"/>
      <c r="BL90" s="401"/>
      <c r="BM90" s="401"/>
      <c r="BN90" s="401"/>
      <c r="BO90" s="401"/>
      <c r="BP90" s="401"/>
      <c r="BQ90" s="401"/>
      <c r="BR90" s="401"/>
      <c r="BS90" s="401"/>
      <c r="BT90" s="401"/>
      <c r="BU90" s="401"/>
      <c r="BV90" s="401"/>
      <c r="BW90" s="401"/>
      <c r="BX90" s="401"/>
      <c r="BY90" s="401"/>
      <c r="BZ90" s="401"/>
      <c r="CA90" s="401"/>
      <c r="CB90" s="401"/>
      <c r="CC90" s="401"/>
      <c r="CD90" s="401"/>
      <c r="CE90" s="401"/>
      <c r="CF90" s="401"/>
      <c r="CG90" s="401"/>
      <c r="CH90" s="401"/>
      <c r="CI90" s="401"/>
      <c r="CJ90" s="401"/>
      <c r="CK90" s="401"/>
      <c r="CL90" s="401"/>
      <c r="CM90" s="401"/>
      <c r="CN90" s="401"/>
      <c r="CO90" s="401"/>
      <c r="CP90" s="401"/>
      <c r="CQ90" s="401"/>
      <c r="CR90" s="401"/>
      <c r="CS90" s="401"/>
      <c r="CT90" s="401"/>
      <c r="CU90" s="401"/>
      <c r="CV90" s="401"/>
      <c r="CW90" s="401"/>
      <c r="CX90" s="401"/>
      <c r="CY90" s="401"/>
      <c r="CZ90" s="401"/>
      <c r="DA90" s="401"/>
      <c r="DB90" s="401"/>
      <c r="DC90" s="401"/>
      <c r="DD90" s="401"/>
      <c r="DE90" s="401"/>
      <c r="DF90" s="401"/>
      <c r="DG90" s="401"/>
      <c r="DH90" s="401"/>
      <c r="DI90" s="401"/>
      <c r="DJ90" s="401"/>
      <c r="DK90" s="401"/>
      <c r="DL90" s="401"/>
      <c r="DM90" s="401"/>
      <c r="DN90" s="401"/>
      <c r="DO90" s="401"/>
      <c r="DP90" s="401"/>
      <c r="DQ90" s="401"/>
      <c r="DR90" s="401"/>
      <c r="DS90" s="401"/>
      <c r="DT90" s="401"/>
      <c r="DU90" s="401"/>
      <c r="DV90" s="401"/>
      <c r="DW90" s="401"/>
      <c r="DX90" s="401"/>
      <c r="DY90" s="401"/>
      <c r="DZ90" s="401"/>
      <c r="EA90" s="401"/>
      <c r="EB90" s="401"/>
      <c r="EC90" s="401"/>
      <c r="ED90" s="401"/>
      <c r="EE90" s="401"/>
      <c r="EF90" s="401"/>
      <c r="EG90" s="401"/>
      <c r="EH90" s="401"/>
      <c r="EI90" s="401"/>
      <c r="EJ90" s="401"/>
      <c r="EK90" s="401"/>
      <c r="EL90" s="401"/>
      <c r="EM90" s="401"/>
      <c r="EN90" s="401"/>
      <c r="EO90" s="401"/>
      <c r="EP90" s="401"/>
      <c r="EQ90" s="401"/>
      <c r="ER90" s="401"/>
      <c r="ES90" s="401"/>
      <c r="ET90" s="401"/>
      <c r="EU90" s="401"/>
      <c r="EV90" s="401"/>
      <c r="EW90" s="401"/>
      <c r="EX90" s="401"/>
      <c r="EY90" s="401"/>
      <c r="EZ90" s="401"/>
      <c r="FA90" s="401"/>
      <c r="FB90" s="401"/>
      <c r="FC90" s="401"/>
      <c r="FD90" s="401"/>
      <c r="FE90" s="401"/>
      <c r="FF90" s="401"/>
      <c r="FG90" s="401"/>
      <c r="FH90" s="401"/>
      <c r="FI90" s="401"/>
      <c r="FJ90" s="401"/>
      <c r="FK90" s="401"/>
      <c r="FL90" s="401"/>
      <c r="FM90" s="401"/>
      <c r="FN90" s="401"/>
      <c r="FO90" s="401"/>
      <c r="FP90" s="401"/>
      <c r="FQ90" s="401"/>
      <c r="FR90" s="401"/>
      <c r="FS90" s="401"/>
      <c r="FT90" s="401"/>
      <c r="FU90" s="401"/>
      <c r="FV90" s="401"/>
      <c r="FW90" s="401"/>
      <c r="FX90" s="401"/>
      <c r="FY90" s="401"/>
      <c r="FZ90" s="401"/>
      <c r="GA90" s="401"/>
      <c r="GB90" s="401"/>
      <c r="GC90" s="401"/>
      <c r="GD90" s="401"/>
      <c r="GE90" s="401"/>
      <c r="GF90" s="401"/>
      <c r="GG90" s="401"/>
      <c r="GH90" s="401"/>
      <c r="GI90" s="401"/>
      <c r="GJ90" s="401"/>
      <c r="GK90" s="401"/>
      <c r="GL90" s="401"/>
      <c r="GM90" s="401"/>
      <c r="GN90" s="401"/>
      <c r="GO90" s="401"/>
      <c r="GP90" s="401"/>
      <c r="GQ90" s="401"/>
      <c r="GR90" s="401"/>
      <c r="GS90" s="401"/>
      <c r="GT90" s="401"/>
      <c r="GU90" s="401"/>
      <c r="GV90" s="401"/>
      <c r="GW90" s="401"/>
      <c r="GX90" s="401"/>
      <c r="GY90" s="401"/>
      <c r="GZ90" s="401"/>
      <c r="HA90" s="401"/>
      <c r="HB90" s="401"/>
      <c r="HC90" s="401"/>
      <c r="HD90" s="401"/>
      <c r="HE90" s="401"/>
      <c r="HF90" s="401"/>
      <c r="HG90" s="401"/>
      <c r="HH90" s="401"/>
      <c r="HI90" s="401"/>
      <c r="HJ90" s="401"/>
      <c r="HK90" s="401"/>
      <c r="HL90" s="401"/>
      <c r="HM90" s="401"/>
      <c r="HN90" s="401"/>
      <c r="HO90" s="401"/>
      <c r="HP90" s="401"/>
      <c r="HQ90" s="401"/>
      <c r="HR90" s="401"/>
      <c r="HS90" s="401"/>
      <c r="HT90" s="401"/>
      <c r="HU90" s="401"/>
      <c r="HV90" s="401"/>
      <c r="HW90" s="401"/>
      <c r="HX90" s="401"/>
      <c r="HY90" s="401"/>
      <c r="HZ90" s="401"/>
      <c r="IA90" s="401"/>
      <c r="IB90" s="401"/>
      <c r="IC90" s="401"/>
      <c r="ID90" s="401"/>
      <c r="IE90" s="401"/>
      <c r="IF90" s="401"/>
      <c r="IG90" s="401"/>
      <c r="IH90" s="401"/>
      <c r="II90" s="401"/>
      <c r="IJ90" s="401"/>
      <c r="IK90" s="401"/>
      <c r="IL90" s="401"/>
      <c r="IM90" s="401"/>
      <c r="IN90" s="401"/>
      <c r="IO90" s="401"/>
      <c r="IP90" s="401"/>
      <c r="IQ90" s="401"/>
      <c r="IR90" s="401"/>
      <c r="IS90" s="401"/>
      <c r="IT90" s="401"/>
      <c r="IU90" s="401"/>
      <c r="IV90" s="401"/>
    </row>
    <row r="91" spans="1:256">
      <c r="A91" s="401"/>
      <c r="B91" s="401"/>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401"/>
      <c r="BJ91" s="401"/>
      <c r="BK91" s="401"/>
      <c r="BL91" s="401"/>
      <c r="BM91" s="401"/>
      <c r="BN91" s="401"/>
      <c r="BO91" s="401"/>
      <c r="BP91" s="401"/>
      <c r="BQ91" s="401"/>
      <c r="BR91" s="401"/>
      <c r="BS91" s="401"/>
      <c r="BT91" s="401"/>
      <c r="BU91" s="401"/>
      <c r="BV91" s="401"/>
      <c r="BW91" s="401"/>
      <c r="BX91" s="401"/>
      <c r="BY91" s="401"/>
      <c r="BZ91" s="401"/>
      <c r="CA91" s="401"/>
      <c r="CB91" s="401"/>
      <c r="CC91" s="401"/>
      <c r="CD91" s="401"/>
      <c r="CE91" s="401"/>
      <c r="CF91" s="401"/>
      <c r="CG91" s="401"/>
      <c r="CH91" s="401"/>
      <c r="CI91" s="401"/>
      <c r="CJ91" s="401"/>
      <c r="CK91" s="401"/>
      <c r="CL91" s="401"/>
      <c r="CM91" s="401"/>
      <c r="CN91" s="401"/>
      <c r="CO91" s="401"/>
      <c r="CP91" s="401"/>
      <c r="CQ91" s="401"/>
      <c r="CR91" s="401"/>
      <c r="CS91" s="401"/>
      <c r="CT91" s="401"/>
      <c r="CU91" s="401"/>
      <c r="CV91" s="401"/>
      <c r="CW91" s="401"/>
      <c r="CX91" s="401"/>
      <c r="CY91" s="401"/>
      <c r="CZ91" s="401"/>
      <c r="DA91" s="401"/>
      <c r="DB91" s="401"/>
      <c r="DC91" s="401"/>
      <c r="DD91" s="401"/>
      <c r="DE91" s="401"/>
      <c r="DF91" s="401"/>
      <c r="DG91" s="401"/>
      <c r="DH91" s="401"/>
      <c r="DI91" s="401"/>
      <c r="DJ91" s="401"/>
      <c r="DK91" s="401"/>
      <c r="DL91" s="401"/>
      <c r="DM91" s="401"/>
      <c r="DN91" s="401"/>
      <c r="DO91" s="401"/>
      <c r="DP91" s="401"/>
      <c r="DQ91" s="401"/>
      <c r="DR91" s="401"/>
      <c r="DS91" s="401"/>
      <c r="DT91" s="401"/>
      <c r="DU91" s="401"/>
      <c r="DV91" s="401"/>
      <c r="DW91" s="401"/>
      <c r="DX91" s="401"/>
      <c r="DY91" s="401"/>
      <c r="DZ91" s="401"/>
      <c r="EA91" s="401"/>
      <c r="EB91" s="401"/>
      <c r="EC91" s="401"/>
      <c r="ED91" s="401"/>
      <c r="EE91" s="401"/>
      <c r="EF91" s="401"/>
      <c r="EG91" s="401"/>
      <c r="EH91" s="401"/>
      <c r="EI91" s="401"/>
      <c r="EJ91" s="401"/>
      <c r="EK91" s="401"/>
      <c r="EL91" s="401"/>
      <c r="EM91" s="401"/>
      <c r="EN91" s="401"/>
      <c r="EO91" s="401"/>
      <c r="EP91" s="401"/>
      <c r="EQ91" s="401"/>
      <c r="ER91" s="401"/>
      <c r="ES91" s="401"/>
      <c r="ET91" s="401"/>
      <c r="EU91" s="401"/>
      <c r="EV91" s="401"/>
      <c r="EW91" s="401"/>
      <c r="EX91" s="401"/>
      <c r="EY91" s="401"/>
      <c r="EZ91" s="401"/>
      <c r="FA91" s="401"/>
      <c r="FB91" s="401"/>
      <c r="FC91" s="401"/>
      <c r="FD91" s="401"/>
      <c r="FE91" s="401"/>
      <c r="FF91" s="401"/>
      <c r="FG91" s="401"/>
      <c r="FH91" s="401"/>
      <c r="FI91" s="401"/>
      <c r="FJ91" s="401"/>
      <c r="FK91" s="401"/>
      <c r="FL91" s="401"/>
      <c r="FM91" s="401"/>
      <c r="FN91" s="401"/>
      <c r="FO91" s="401"/>
      <c r="FP91" s="401"/>
      <c r="FQ91" s="401"/>
      <c r="FR91" s="401"/>
      <c r="FS91" s="401"/>
      <c r="FT91" s="401"/>
      <c r="FU91" s="401"/>
      <c r="FV91" s="401"/>
      <c r="FW91" s="401"/>
      <c r="FX91" s="401"/>
      <c r="FY91" s="401"/>
      <c r="FZ91" s="401"/>
      <c r="GA91" s="401"/>
      <c r="GB91" s="401"/>
      <c r="GC91" s="401"/>
      <c r="GD91" s="401"/>
      <c r="GE91" s="401"/>
      <c r="GF91" s="401"/>
      <c r="GG91" s="401"/>
      <c r="GH91" s="401"/>
      <c r="GI91" s="401"/>
      <c r="GJ91" s="401"/>
      <c r="GK91" s="401"/>
      <c r="GL91" s="401"/>
      <c r="GM91" s="401"/>
      <c r="GN91" s="401"/>
      <c r="GO91" s="401"/>
      <c r="GP91" s="401"/>
      <c r="GQ91" s="401"/>
      <c r="GR91" s="401"/>
      <c r="GS91" s="401"/>
      <c r="GT91" s="401"/>
      <c r="GU91" s="401"/>
      <c r="GV91" s="401"/>
      <c r="GW91" s="401"/>
      <c r="GX91" s="401"/>
      <c r="GY91" s="401"/>
      <c r="GZ91" s="401"/>
      <c r="HA91" s="401"/>
      <c r="HB91" s="401"/>
      <c r="HC91" s="401"/>
      <c r="HD91" s="401"/>
      <c r="HE91" s="401"/>
      <c r="HF91" s="401"/>
      <c r="HG91" s="401"/>
      <c r="HH91" s="401"/>
      <c r="HI91" s="401"/>
      <c r="HJ91" s="401"/>
      <c r="HK91" s="401"/>
      <c r="HL91" s="401"/>
      <c r="HM91" s="401"/>
      <c r="HN91" s="401"/>
      <c r="HO91" s="401"/>
      <c r="HP91" s="401"/>
      <c r="HQ91" s="401"/>
      <c r="HR91" s="401"/>
      <c r="HS91" s="401"/>
      <c r="HT91" s="401"/>
      <c r="HU91" s="401"/>
      <c r="HV91" s="401"/>
      <c r="HW91" s="401"/>
      <c r="HX91" s="401"/>
      <c r="HY91" s="401"/>
      <c r="HZ91" s="401"/>
      <c r="IA91" s="401"/>
      <c r="IB91" s="401"/>
      <c r="IC91" s="401"/>
      <c r="ID91" s="401"/>
      <c r="IE91" s="401"/>
      <c r="IF91" s="401"/>
      <c r="IG91" s="401"/>
      <c r="IH91" s="401"/>
      <c r="II91" s="401"/>
      <c r="IJ91" s="401"/>
      <c r="IK91" s="401"/>
      <c r="IL91" s="401"/>
      <c r="IM91" s="401"/>
      <c r="IN91" s="401"/>
      <c r="IO91" s="401"/>
      <c r="IP91" s="401"/>
      <c r="IQ91" s="401"/>
      <c r="IR91" s="401"/>
      <c r="IS91" s="401"/>
      <c r="IT91" s="401"/>
      <c r="IU91" s="401"/>
      <c r="IV91" s="401"/>
    </row>
    <row r="92" spans="1:256">
      <c r="A92" s="401"/>
      <c r="B92" s="401"/>
      <c r="C92" s="401"/>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c r="BE92" s="401"/>
      <c r="BF92" s="401"/>
      <c r="BG92" s="401"/>
      <c r="BH92" s="401"/>
      <c r="BI92" s="401"/>
      <c r="BJ92" s="401"/>
      <c r="BK92" s="401"/>
      <c r="BL92" s="401"/>
      <c r="BM92" s="401"/>
      <c r="BN92" s="401"/>
      <c r="BO92" s="401"/>
      <c r="BP92" s="401"/>
      <c r="BQ92" s="401"/>
      <c r="BR92" s="401"/>
      <c r="BS92" s="401"/>
      <c r="BT92" s="401"/>
      <c r="BU92" s="401"/>
      <c r="BV92" s="401"/>
      <c r="BW92" s="401"/>
      <c r="BX92" s="401"/>
      <c r="BY92" s="401"/>
      <c r="BZ92" s="401"/>
      <c r="CA92" s="401"/>
      <c r="CB92" s="401"/>
      <c r="CC92" s="401"/>
      <c r="CD92" s="401"/>
      <c r="CE92" s="401"/>
      <c r="CF92" s="401"/>
      <c r="CG92" s="401"/>
      <c r="CH92" s="401"/>
      <c r="CI92" s="401"/>
      <c r="CJ92" s="401"/>
      <c r="CK92" s="401"/>
      <c r="CL92" s="401"/>
      <c r="CM92" s="401"/>
      <c r="CN92" s="401"/>
      <c r="CO92" s="401"/>
      <c r="CP92" s="401"/>
      <c r="CQ92" s="401"/>
      <c r="CR92" s="401"/>
      <c r="CS92" s="401"/>
      <c r="CT92" s="401"/>
      <c r="CU92" s="401"/>
      <c r="CV92" s="401"/>
      <c r="CW92" s="401"/>
      <c r="CX92" s="401"/>
      <c r="CY92" s="401"/>
      <c r="CZ92" s="401"/>
      <c r="DA92" s="401"/>
      <c r="DB92" s="401"/>
      <c r="DC92" s="401"/>
      <c r="DD92" s="401"/>
      <c r="DE92" s="401"/>
      <c r="DF92" s="401"/>
      <c r="DG92" s="401"/>
      <c r="DH92" s="401"/>
      <c r="DI92" s="401"/>
      <c r="DJ92" s="401"/>
      <c r="DK92" s="401"/>
      <c r="DL92" s="401"/>
      <c r="DM92" s="401"/>
      <c r="DN92" s="401"/>
      <c r="DO92" s="401"/>
      <c r="DP92" s="401"/>
      <c r="DQ92" s="401"/>
      <c r="DR92" s="401"/>
      <c r="DS92" s="401"/>
      <c r="DT92" s="401"/>
      <c r="DU92" s="401"/>
      <c r="DV92" s="401"/>
      <c r="DW92" s="401"/>
      <c r="DX92" s="401"/>
      <c r="DY92" s="401"/>
      <c r="DZ92" s="401"/>
      <c r="EA92" s="401"/>
      <c r="EB92" s="401"/>
      <c r="EC92" s="401"/>
      <c r="ED92" s="401"/>
      <c r="EE92" s="401"/>
      <c r="EF92" s="401"/>
      <c r="EG92" s="401"/>
      <c r="EH92" s="401"/>
      <c r="EI92" s="401"/>
      <c r="EJ92" s="401"/>
      <c r="EK92" s="401"/>
      <c r="EL92" s="401"/>
      <c r="EM92" s="401"/>
      <c r="EN92" s="401"/>
      <c r="EO92" s="401"/>
      <c r="EP92" s="401"/>
      <c r="EQ92" s="401"/>
      <c r="ER92" s="401"/>
      <c r="ES92" s="401"/>
      <c r="ET92" s="401"/>
      <c r="EU92" s="401"/>
      <c r="EV92" s="401"/>
      <c r="EW92" s="401"/>
      <c r="EX92" s="401"/>
      <c r="EY92" s="401"/>
      <c r="EZ92" s="401"/>
      <c r="FA92" s="401"/>
      <c r="FB92" s="401"/>
      <c r="FC92" s="401"/>
      <c r="FD92" s="401"/>
      <c r="FE92" s="401"/>
      <c r="FF92" s="401"/>
      <c r="FG92" s="401"/>
      <c r="FH92" s="401"/>
      <c r="FI92" s="401"/>
      <c r="FJ92" s="401"/>
      <c r="FK92" s="401"/>
      <c r="FL92" s="401"/>
      <c r="FM92" s="401"/>
      <c r="FN92" s="401"/>
      <c r="FO92" s="401"/>
      <c r="FP92" s="401"/>
      <c r="FQ92" s="401"/>
      <c r="FR92" s="401"/>
      <c r="FS92" s="401"/>
      <c r="FT92" s="401"/>
      <c r="FU92" s="401"/>
      <c r="FV92" s="401"/>
      <c r="FW92" s="401"/>
      <c r="FX92" s="401"/>
      <c r="FY92" s="401"/>
      <c r="FZ92" s="401"/>
      <c r="GA92" s="401"/>
      <c r="GB92" s="401"/>
      <c r="GC92" s="401"/>
      <c r="GD92" s="401"/>
      <c r="GE92" s="401"/>
      <c r="GF92" s="401"/>
      <c r="GG92" s="401"/>
      <c r="GH92" s="401"/>
      <c r="GI92" s="401"/>
      <c r="GJ92" s="401"/>
      <c r="GK92" s="401"/>
      <c r="GL92" s="401"/>
      <c r="GM92" s="401"/>
      <c r="GN92" s="401"/>
      <c r="GO92" s="401"/>
      <c r="GP92" s="401"/>
      <c r="GQ92" s="401"/>
      <c r="GR92" s="401"/>
      <c r="GS92" s="401"/>
      <c r="GT92" s="401"/>
      <c r="GU92" s="401"/>
      <c r="GV92" s="401"/>
      <c r="GW92" s="401"/>
      <c r="GX92" s="401"/>
      <c r="GY92" s="401"/>
      <c r="GZ92" s="401"/>
      <c r="HA92" s="401"/>
      <c r="HB92" s="401"/>
      <c r="HC92" s="401"/>
      <c r="HD92" s="401"/>
      <c r="HE92" s="401"/>
      <c r="HF92" s="401"/>
      <c r="HG92" s="401"/>
      <c r="HH92" s="401"/>
      <c r="HI92" s="401"/>
      <c r="HJ92" s="401"/>
      <c r="HK92" s="401"/>
      <c r="HL92" s="401"/>
      <c r="HM92" s="401"/>
      <c r="HN92" s="401"/>
      <c r="HO92" s="401"/>
      <c r="HP92" s="401"/>
      <c r="HQ92" s="401"/>
      <c r="HR92" s="401"/>
      <c r="HS92" s="401"/>
      <c r="HT92" s="401"/>
      <c r="HU92" s="401"/>
      <c r="HV92" s="401"/>
      <c r="HW92" s="401"/>
      <c r="HX92" s="401"/>
      <c r="HY92" s="401"/>
      <c r="HZ92" s="401"/>
      <c r="IA92" s="401"/>
      <c r="IB92" s="401"/>
      <c r="IC92" s="401"/>
      <c r="ID92" s="401"/>
      <c r="IE92" s="401"/>
      <c r="IF92" s="401"/>
      <c r="IG92" s="401"/>
      <c r="IH92" s="401"/>
      <c r="II92" s="401"/>
      <c r="IJ92" s="401"/>
      <c r="IK92" s="401"/>
      <c r="IL92" s="401"/>
      <c r="IM92" s="401"/>
      <c r="IN92" s="401"/>
      <c r="IO92" s="401"/>
      <c r="IP92" s="401"/>
      <c r="IQ92" s="401"/>
      <c r="IR92" s="401"/>
      <c r="IS92" s="401"/>
      <c r="IT92" s="401"/>
      <c r="IU92" s="401"/>
      <c r="IV92" s="401"/>
    </row>
    <row r="157" spans="1:1">
      <c r="A157" s="399" t="s">
        <v>1925</v>
      </c>
    </row>
    <row r="185" spans="3:3">
      <c r="C185" s="399">
        <v>42866050.149999999</v>
      </c>
    </row>
  </sheetData>
  <sheetProtection formatRows="0" insertColumns="0" insertRows="0" insertHyperlinks="0" deleteColumns="0" deleteRows="0" selectLockedCells="1" sort="0" autoFilter="0" pivotTables="0" selectUnlockedCells="1"/>
  <mergeCells count="1">
    <mergeCell ref="A2:E2"/>
  </mergeCells>
  <pageMargins left="0.511811023622047" right="0.43307086614173201" top="0.98425196850393704" bottom="0.98425196850393704" header="0.511811023622047" footer="0.511811023622047"/>
  <pageSetup paperSize="9" scale="54" orientation="portrait" r:id="rId1"/>
  <headerFooter alignWithMargins="0">
    <oddFooter>Page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2:N83"/>
  <sheetViews>
    <sheetView view="pageBreakPreview" topLeftCell="A2" zoomScale="90" zoomScaleSheetLayoutView="90" workbookViewId="0">
      <selection activeCell="D32" sqref="D32"/>
    </sheetView>
  </sheetViews>
  <sheetFormatPr defaultColWidth="9.1796875" defaultRowHeight="13"/>
  <cols>
    <col min="1" max="1" width="9.1796875" style="80"/>
    <col min="2" max="2" width="46.7265625" style="80" customWidth="1"/>
    <col min="3" max="3" width="20.81640625" style="80" customWidth="1"/>
    <col min="4" max="4" width="20.1796875" style="80" customWidth="1"/>
    <col min="5" max="5" width="16.7265625" style="80" customWidth="1"/>
    <col min="6" max="6" width="13.54296875" style="80" customWidth="1"/>
    <col min="7" max="7" width="10.7265625" style="80" customWidth="1"/>
    <col min="8" max="8" width="32.81640625" style="80" bestFit="1" customWidth="1"/>
    <col min="9" max="9" width="26.26953125" style="80" bestFit="1" customWidth="1"/>
    <col min="10" max="10" width="24.81640625" style="80" hidden="1" customWidth="1"/>
    <col min="11" max="12" width="19.453125" style="80" hidden="1" customWidth="1"/>
    <col min="13" max="13" width="18.453125" style="80" bestFit="1" customWidth="1"/>
    <col min="14" max="14" width="10.7265625" style="80" customWidth="1"/>
    <col min="15" max="16" width="12.7265625" style="80" customWidth="1"/>
    <col min="17" max="17" width="11.26953125" style="80" customWidth="1"/>
    <col min="18" max="18" width="10.7265625" style="80" customWidth="1"/>
    <col min="19" max="16384" width="9.1796875" style="80"/>
  </cols>
  <sheetData>
    <row r="2" spans="2:14">
      <c r="B2" s="77"/>
      <c r="C2" s="78"/>
      <c r="D2" s="78"/>
      <c r="E2" s="78"/>
      <c r="F2" s="79"/>
    </row>
    <row r="3" spans="2:14">
      <c r="B3" s="962" t="s">
        <v>354</v>
      </c>
      <c r="C3" s="963"/>
      <c r="D3" s="963"/>
      <c r="E3" s="963"/>
      <c r="F3" s="81"/>
      <c r="G3" s="82"/>
      <c r="H3" s="82"/>
      <c r="I3" s="82"/>
      <c r="J3" s="82"/>
      <c r="K3" s="82"/>
      <c r="L3" s="82"/>
    </row>
    <row r="4" spans="2:14">
      <c r="B4" s="83"/>
      <c r="C4" s="84"/>
      <c r="D4" s="84"/>
      <c r="E4" s="84"/>
      <c r="F4" s="85"/>
      <c r="G4" s="84"/>
      <c r="H4" s="84"/>
      <c r="I4" s="84"/>
      <c r="J4" s="84"/>
      <c r="K4" s="84"/>
      <c r="L4" s="84"/>
    </row>
    <row r="5" spans="2:14">
      <c r="B5" s="83" t="s">
        <v>355</v>
      </c>
      <c r="C5" s="84"/>
      <c r="D5" s="84"/>
      <c r="E5" s="84"/>
      <c r="F5" s="85"/>
      <c r="G5" s="84"/>
      <c r="H5" s="84"/>
      <c r="I5" s="84"/>
      <c r="J5" s="84"/>
      <c r="K5" s="84"/>
      <c r="L5" s="84"/>
    </row>
    <row r="6" spans="2:14" s="86" customFormat="1">
      <c r="B6" s="83" t="s">
        <v>356</v>
      </c>
      <c r="C6" s="84"/>
      <c r="D6" s="84"/>
      <c r="E6" s="84"/>
      <c r="F6" s="85"/>
      <c r="G6" s="84"/>
      <c r="H6" s="84"/>
      <c r="I6" s="84"/>
      <c r="J6" s="84"/>
      <c r="K6" s="84"/>
      <c r="L6" s="84"/>
    </row>
    <row r="7" spans="2:14" s="86" customFormat="1">
      <c r="B7" s="83" t="s">
        <v>357</v>
      </c>
      <c r="C7" s="84" t="s">
        <v>358</v>
      </c>
      <c r="D7" s="84"/>
      <c r="E7" s="84"/>
      <c r="F7" s="85"/>
      <c r="G7" s="84"/>
      <c r="H7" s="84"/>
      <c r="I7" s="84"/>
      <c r="J7" s="84"/>
      <c r="K7" s="84"/>
      <c r="L7" s="84"/>
    </row>
    <row r="8" spans="2:14" s="86" customFormat="1">
      <c r="B8" s="83"/>
      <c r="C8" s="84"/>
      <c r="D8" s="84"/>
      <c r="E8" s="84"/>
      <c r="F8" s="85"/>
      <c r="G8" s="87"/>
      <c r="H8" s="84"/>
      <c r="I8" s="84"/>
      <c r="J8" s="84"/>
      <c r="K8" s="84"/>
      <c r="L8" s="84"/>
    </row>
    <row r="9" spans="2:14" s="86" customFormat="1">
      <c r="B9" s="83" t="s">
        <v>359</v>
      </c>
      <c r="C9" s="88">
        <v>40633</v>
      </c>
      <c r="D9" s="84"/>
      <c r="E9" s="84"/>
      <c r="F9" s="85"/>
      <c r="G9" s="84"/>
      <c r="H9" s="84"/>
      <c r="I9" s="84"/>
      <c r="J9" s="84"/>
      <c r="K9" s="84"/>
      <c r="L9" s="84"/>
    </row>
    <row r="10" spans="2:14">
      <c r="B10" s="89"/>
      <c r="C10" s="90"/>
      <c r="F10" s="91"/>
    </row>
    <row r="11" spans="2:14" ht="26">
      <c r="B11" s="92"/>
      <c r="C11" s="93" t="s">
        <v>360</v>
      </c>
      <c r="D11" s="94" t="s">
        <v>361</v>
      </c>
      <c r="E11" s="93" t="s">
        <v>362</v>
      </c>
      <c r="F11" s="95" t="s">
        <v>363</v>
      </c>
      <c r="I11" s="96"/>
      <c r="J11" s="97"/>
      <c r="K11" s="98"/>
      <c r="L11" s="98"/>
      <c r="M11" s="93"/>
      <c r="N11" s="93"/>
    </row>
    <row r="12" spans="2:14">
      <c r="B12" s="83" t="s">
        <v>364</v>
      </c>
      <c r="C12" s="99">
        <f>+I38</f>
        <v>0</v>
      </c>
      <c r="D12" s="100"/>
      <c r="E12" s="99"/>
      <c r="F12" s="101">
        <f t="shared" ref="F12:F19" si="0">C12-E12</f>
        <v>0</v>
      </c>
      <c r="G12" s="124"/>
      <c r="H12" s="124"/>
      <c r="I12" s="103"/>
      <c r="J12" s="95">
        <v>2010</v>
      </c>
      <c r="L12" s="105"/>
      <c r="M12" s="106"/>
      <c r="N12" s="106"/>
    </row>
    <row r="13" spans="2:14">
      <c r="B13" s="83" t="s">
        <v>365</v>
      </c>
      <c r="C13" s="99"/>
      <c r="D13" s="100">
        <v>0.1</v>
      </c>
      <c r="E13" s="99">
        <f t="shared" ref="E13:E26" si="1">C13*D13</f>
        <v>0</v>
      </c>
      <c r="F13" s="101">
        <f t="shared" si="0"/>
        <v>0</v>
      </c>
      <c r="G13" s="124"/>
      <c r="H13" s="124"/>
      <c r="K13" s="103"/>
      <c r="L13" s="104"/>
      <c r="N13" s="105"/>
    </row>
    <row r="14" spans="2:14">
      <c r="B14" s="83" t="s">
        <v>366</v>
      </c>
      <c r="C14" s="99">
        <f>+I39</f>
        <v>0</v>
      </c>
      <c r="D14" s="100">
        <v>0.1</v>
      </c>
      <c r="E14" s="99">
        <f>C14*D14</f>
        <v>0</v>
      </c>
      <c r="F14" s="101">
        <f>C14-E14</f>
        <v>0</v>
      </c>
      <c r="G14" s="124"/>
      <c r="H14" s="124"/>
      <c r="I14" s="90"/>
      <c r="J14" s="102">
        <v>11556632</v>
      </c>
      <c r="K14" s="124">
        <v>1004866</v>
      </c>
      <c r="L14" s="104">
        <f>SUM(J14:K14)</f>
        <v>12561498</v>
      </c>
      <c r="N14" s="107"/>
    </row>
    <row r="15" spans="2:14">
      <c r="B15" s="83" t="s">
        <v>367</v>
      </c>
      <c r="C15" s="99">
        <f>+I40</f>
        <v>0</v>
      </c>
      <c r="D15" s="100">
        <v>0.25</v>
      </c>
      <c r="E15" s="99">
        <f t="shared" si="1"/>
        <v>0</v>
      </c>
      <c r="F15" s="101">
        <f t="shared" si="0"/>
        <v>0</v>
      </c>
      <c r="G15" s="124"/>
      <c r="H15" s="124"/>
      <c r="I15" s="90"/>
      <c r="J15" s="102">
        <v>5585555</v>
      </c>
      <c r="K15" s="124">
        <v>417256</v>
      </c>
      <c r="L15" s="104">
        <f t="shared" ref="L15:L21" si="2">SUM(J15:K15)</f>
        <v>6002811</v>
      </c>
      <c r="N15" s="107"/>
    </row>
    <row r="16" spans="2:14">
      <c r="B16" s="83" t="s">
        <v>368</v>
      </c>
      <c r="C16" s="99">
        <f>+I41</f>
        <v>0</v>
      </c>
      <c r="D16" s="100">
        <v>0.5</v>
      </c>
      <c r="E16" s="99">
        <f t="shared" si="1"/>
        <v>0</v>
      </c>
      <c r="F16" s="101">
        <f t="shared" si="0"/>
        <v>0</v>
      </c>
      <c r="G16" s="124"/>
      <c r="H16" s="124"/>
      <c r="I16" s="90"/>
      <c r="J16" s="102">
        <v>4333675</v>
      </c>
      <c r="K16" s="124">
        <v>264209</v>
      </c>
      <c r="L16" s="104">
        <f t="shared" si="2"/>
        <v>4597884</v>
      </c>
      <c r="M16" s="108"/>
      <c r="N16" s="107"/>
    </row>
    <row r="17" spans="2:14">
      <c r="B17" s="83" t="s">
        <v>369</v>
      </c>
      <c r="C17" s="99">
        <f>+I42</f>
        <v>0</v>
      </c>
      <c r="D17" s="100">
        <v>0.75</v>
      </c>
      <c r="E17" s="99">
        <f t="shared" si="1"/>
        <v>0</v>
      </c>
      <c r="F17" s="101">
        <f t="shared" si="0"/>
        <v>0</v>
      </c>
      <c r="G17" s="124"/>
      <c r="H17" s="124"/>
      <c r="I17" s="90"/>
      <c r="J17" s="102">
        <v>2981378</v>
      </c>
      <c r="K17" s="124">
        <v>239367</v>
      </c>
      <c r="L17" s="104">
        <f t="shared" si="2"/>
        <v>3220745</v>
      </c>
      <c r="M17" s="108"/>
      <c r="N17" s="107"/>
    </row>
    <row r="18" spans="2:14">
      <c r="B18" s="83" t="s">
        <v>370</v>
      </c>
      <c r="C18" s="99"/>
      <c r="D18" s="100">
        <v>1</v>
      </c>
      <c r="E18" s="99">
        <f t="shared" si="1"/>
        <v>0</v>
      </c>
      <c r="F18" s="101">
        <f t="shared" si="0"/>
        <v>0</v>
      </c>
      <c r="G18" s="124"/>
      <c r="H18" s="124"/>
      <c r="I18" s="90"/>
      <c r="J18" s="102">
        <v>14124129</v>
      </c>
      <c r="K18" s="124">
        <v>4780103</v>
      </c>
      <c r="L18" s="104">
        <f>SUM(J18:K18)</f>
        <v>18904232</v>
      </c>
      <c r="M18" s="108"/>
      <c r="N18" s="107"/>
    </row>
    <row r="19" spans="2:14">
      <c r="B19" s="83" t="s">
        <v>371</v>
      </c>
      <c r="C19" s="99"/>
      <c r="D19" s="100">
        <v>1</v>
      </c>
      <c r="E19" s="99">
        <f t="shared" si="1"/>
        <v>0</v>
      </c>
      <c r="F19" s="101">
        <f t="shared" si="0"/>
        <v>0</v>
      </c>
      <c r="J19" s="102"/>
      <c r="K19" s="124"/>
      <c r="L19" s="104">
        <f t="shared" si="2"/>
        <v>0</v>
      </c>
      <c r="M19" s="108"/>
      <c r="N19" s="107"/>
    </row>
    <row r="20" spans="2:14">
      <c r="B20" s="83"/>
      <c r="C20" s="99"/>
      <c r="D20" s="110"/>
      <c r="E20" s="111"/>
      <c r="F20" s="111"/>
      <c r="J20" s="102"/>
      <c r="K20" s="124"/>
      <c r="L20" s="104">
        <f t="shared" si="2"/>
        <v>0</v>
      </c>
      <c r="M20" s="108"/>
      <c r="N20" s="107"/>
    </row>
    <row r="21" spans="2:14">
      <c r="B21" s="83" t="s">
        <v>372</v>
      </c>
      <c r="C21" s="99"/>
      <c r="D21" s="100">
        <v>0.5</v>
      </c>
      <c r="E21" s="99">
        <f t="shared" si="1"/>
        <v>0</v>
      </c>
      <c r="F21" s="101">
        <f t="shared" ref="F21:F26" si="3">C21-E21</f>
        <v>0</v>
      </c>
      <c r="J21" s="102">
        <v>38581369</v>
      </c>
      <c r="K21" s="124">
        <v>6705801</v>
      </c>
      <c r="L21" s="104">
        <f t="shared" si="2"/>
        <v>45287170</v>
      </c>
      <c r="M21" s="108"/>
      <c r="N21" s="105"/>
    </row>
    <row r="22" spans="2:14">
      <c r="B22" s="83" t="s">
        <v>373</v>
      </c>
      <c r="C22" s="99"/>
      <c r="D22" s="100">
        <v>0.75</v>
      </c>
      <c r="E22" s="99">
        <f t="shared" si="1"/>
        <v>0</v>
      </c>
      <c r="F22" s="101">
        <f t="shared" si="3"/>
        <v>0</v>
      </c>
      <c r="J22" s="102"/>
      <c r="K22" s="103"/>
      <c r="L22" s="109"/>
      <c r="M22" s="108"/>
      <c r="N22" s="105"/>
    </row>
    <row r="23" spans="2:14">
      <c r="B23" s="83" t="s">
        <v>374</v>
      </c>
      <c r="C23" s="99"/>
      <c r="D23" s="100">
        <v>1</v>
      </c>
      <c r="E23" s="99">
        <f t="shared" si="1"/>
        <v>0</v>
      </c>
      <c r="F23" s="101">
        <f t="shared" si="3"/>
        <v>0</v>
      </c>
      <c r="J23" s="102"/>
      <c r="K23" s="103"/>
      <c r="L23" s="109"/>
      <c r="M23" s="108"/>
      <c r="N23" s="105"/>
    </row>
    <row r="24" spans="2:14">
      <c r="B24" s="83" t="s">
        <v>375</v>
      </c>
      <c r="C24" s="99"/>
      <c r="D24" s="100">
        <v>1</v>
      </c>
      <c r="E24" s="99">
        <f t="shared" si="1"/>
        <v>0</v>
      </c>
      <c r="F24" s="101">
        <f t="shared" si="3"/>
        <v>0</v>
      </c>
      <c r="K24" s="103"/>
      <c r="M24" s="108"/>
      <c r="N24" s="105"/>
    </row>
    <row r="25" spans="2:14">
      <c r="B25" s="83" t="s">
        <v>376</v>
      </c>
      <c r="C25" s="99"/>
      <c r="D25" s="100">
        <v>1</v>
      </c>
      <c r="E25" s="99">
        <f t="shared" si="1"/>
        <v>0</v>
      </c>
      <c r="F25" s="101">
        <f t="shared" si="3"/>
        <v>0</v>
      </c>
      <c r="I25" s="103"/>
      <c r="J25" s="109"/>
      <c r="K25" s="108"/>
      <c r="L25" s="105"/>
      <c r="M25" s="106"/>
      <c r="N25" s="106"/>
    </row>
    <row r="26" spans="2:14">
      <c r="B26" s="83" t="s">
        <v>377</v>
      </c>
      <c r="C26" s="99"/>
      <c r="D26" s="100">
        <v>1</v>
      </c>
      <c r="E26" s="99">
        <f t="shared" si="1"/>
        <v>0</v>
      </c>
      <c r="F26" s="101">
        <f t="shared" si="3"/>
        <v>0</v>
      </c>
      <c r="I26" s="103"/>
      <c r="J26" s="109"/>
      <c r="K26" s="108"/>
      <c r="L26" s="105"/>
      <c r="M26" s="106"/>
      <c r="N26" s="106"/>
    </row>
    <row r="27" spans="2:14">
      <c r="B27" s="83"/>
      <c r="C27" s="112"/>
      <c r="D27" s="113"/>
      <c r="E27" s="112"/>
      <c r="F27" s="112"/>
      <c r="I27" s="106"/>
      <c r="J27" s="109"/>
      <c r="K27" s="108"/>
      <c r="L27" s="105"/>
      <c r="M27" s="106"/>
      <c r="N27" s="106"/>
    </row>
    <row r="28" spans="2:14">
      <c r="B28" s="114" t="s">
        <v>378</v>
      </c>
      <c r="C28" s="115">
        <f>SUM(C12:C27)</f>
        <v>0</v>
      </c>
      <c r="D28" s="116"/>
      <c r="E28" s="101">
        <f>SUM(E12:E26)</f>
        <v>0</v>
      </c>
      <c r="F28" s="101">
        <f>SUM(F12:F26)</f>
        <v>0</v>
      </c>
      <c r="I28" s="117"/>
      <c r="J28" s="109"/>
      <c r="K28" s="108">
        <f>J28/1000000</f>
        <v>0</v>
      </c>
      <c r="M28" s="106"/>
      <c r="N28" s="106"/>
    </row>
    <row r="29" spans="2:14">
      <c r="C29" s="102"/>
    </row>
    <row r="30" spans="2:14">
      <c r="C30" s="118"/>
    </row>
    <row r="31" spans="2:14">
      <c r="B31" s="80" t="e">
        <f>"Provision held as per "&amp;#REF!&amp;" with International accounting standards"</f>
        <v>#REF!</v>
      </c>
      <c r="E31" s="119" t="e">
        <f>+'trial balance 2012'!#REF!/1000</f>
        <v>#REF!</v>
      </c>
    </row>
    <row r="32" spans="2:14">
      <c r="C32" s="118"/>
    </row>
    <row r="33" spans="2:10" ht="13.5" thickBot="1">
      <c r="B33" s="84" t="s">
        <v>379</v>
      </c>
      <c r="C33" s="106"/>
      <c r="D33" s="84"/>
      <c r="E33" s="120" t="e">
        <f>E28+E31</f>
        <v>#REF!</v>
      </c>
    </row>
    <row r="34" spans="2:10" ht="13.5" thickTop="1"/>
    <row r="35" spans="2:10">
      <c r="C35" s="90"/>
      <c r="H35" s="90"/>
    </row>
    <row r="37" spans="2:10" ht="14.5">
      <c r="G37" s="139"/>
      <c r="H37" s="140"/>
    </row>
    <row r="38" spans="2:10">
      <c r="G38" s="138"/>
      <c r="H38" s="46"/>
      <c r="I38" s="122"/>
      <c r="J38" s="102"/>
    </row>
    <row r="39" spans="2:10">
      <c r="G39" s="138"/>
      <c r="H39" s="46"/>
      <c r="I39" s="122"/>
      <c r="J39" s="102"/>
    </row>
    <row r="40" spans="2:10">
      <c r="G40" s="138"/>
      <c r="H40" s="46"/>
      <c r="I40" s="122"/>
      <c r="J40" s="102"/>
    </row>
    <row r="41" spans="2:10">
      <c r="G41" s="138"/>
      <c r="H41" s="46"/>
      <c r="I41" s="122"/>
      <c r="J41" s="102"/>
    </row>
    <row r="42" spans="2:10">
      <c r="G42" s="138"/>
      <c r="H42" s="46"/>
      <c r="I42" s="122"/>
      <c r="J42" s="102"/>
    </row>
    <row r="43" spans="2:10">
      <c r="G43" s="138"/>
      <c r="H43" s="46"/>
      <c r="I43" s="122"/>
      <c r="J43" s="102"/>
    </row>
    <row r="44" spans="2:10">
      <c r="G44" s="138"/>
      <c r="H44" s="46"/>
      <c r="I44" s="122"/>
      <c r="J44" s="102"/>
    </row>
    <row r="45" spans="2:10">
      <c r="G45" s="138"/>
      <c r="H45" s="46"/>
      <c r="I45" s="122"/>
      <c r="J45" s="102"/>
    </row>
    <row r="46" spans="2:10">
      <c r="G46" s="138"/>
      <c r="H46" s="46"/>
      <c r="I46" s="122"/>
      <c r="J46" s="102"/>
    </row>
    <row r="47" spans="2:10">
      <c r="G47" s="138"/>
      <c r="H47" s="46"/>
      <c r="I47" s="122"/>
      <c r="J47" s="102"/>
    </row>
    <row r="48" spans="2:10">
      <c r="G48" s="138"/>
      <c r="H48" s="46"/>
      <c r="I48" s="122"/>
      <c r="J48" s="102"/>
    </row>
    <row r="49" spans="2:10">
      <c r="G49" s="138"/>
      <c r="H49" s="46"/>
      <c r="I49" s="122"/>
      <c r="J49" s="102"/>
    </row>
    <row r="50" spans="2:10">
      <c r="G50" s="138"/>
      <c r="H50" s="46"/>
      <c r="I50" s="122"/>
      <c r="J50" s="102"/>
    </row>
    <row r="51" spans="2:10">
      <c r="G51" s="138"/>
      <c r="H51" s="46"/>
      <c r="I51" s="122"/>
      <c r="J51" s="102"/>
    </row>
    <row r="52" spans="2:10" ht="14.5">
      <c r="G52" s="141"/>
      <c r="H52" s="142"/>
      <c r="I52" s="119"/>
    </row>
    <row r="54" spans="2:10">
      <c r="J54" s="118"/>
    </row>
    <row r="57" spans="2:10">
      <c r="C57" s="118"/>
      <c r="E57" s="119"/>
    </row>
    <row r="62" spans="2:10" hidden="1">
      <c r="C62" s="80">
        <v>2010</v>
      </c>
    </row>
    <row r="63" spans="2:10" hidden="1">
      <c r="B63" s="80" t="s">
        <v>380</v>
      </c>
      <c r="C63" s="80" t="s">
        <v>381</v>
      </c>
    </row>
    <row r="64" spans="2:10" hidden="1">
      <c r="B64" s="80">
        <v>0</v>
      </c>
      <c r="C64" s="121">
        <v>181876741833.02386</v>
      </c>
      <c r="D64" s="102">
        <f>(C64/1000000)-2966.67</f>
        <v>178910.07183302386</v>
      </c>
    </row>
    <row r="65" spans="2:5" hidden="1">
      <c r="B65" s="80">
        <v>30</v>
      </c>
      <c r="C65" s="121">
        <v>11344419760.579967</v>
      </c>
      <c r="D65" s="102">
        <f t="shared" ref="D65:D76" si="4">C65/1000000</f>
        <v>11344.419760579967</v>
      </c>
    </row>
    <row r="66" spans="2:5" hidden="1">
      <c r="B66" s="80">
        <v>60</v>
      </c>
      <c r="C66" s="121">
        <v>6083339665.2900057</v>
      </c>
      <c r="D66" s="102">
        <f t="shared" si="4"/>
        <v>6083.3396652900055</v>
      </c>
    </row>
    <row r="67" spans="2:5" hidden="1">
      <c r="B67" s="80">
        <v>90</v>
      </c>
      <c r="C67" s="121">
        <v>4652387358.6099977</v>
      </c>
      <c r="D67" s="102">
        <f t="shared" si="4"/>
        <v>4652.387358609998</v>
      </c>
    </row>
    <row r="68" spans="2:5" hidden="1">
      <c r="B68" s="80">
        <v>120</v>
      </c>
      <c r="C68" s="121">
        <v>3224044921.1399994</v>
      </c>
      <c r="D68" s="102">
        <f t="shared" si="4"/>
        <v>3224.0449211399996</v>
      </c>
    </row>
    <row r="69" spans="2:5" hidden="1">
      <c r="B69" s="80">
        <v>150</v>
      </c>
      <c r="C69" s="121">
        <v>4434315759.3799973</v>
      </c>
      <c r="D69" s="102">
        <f t="shared" si="4"/>
        <v>4434.315759379997</v>
      </c>
    </row>
    <row r="70" spans="2:5" hidden="1">
      <c r="B70" s="80">
        <v>180</v>
      </c>
      <c r="C70" s="121">
        <v>2283311739.3799996</v>
      </c>
      <c r="D70" s="102">
        <f t="shared" si="4"/>
        <v>2283.3117393799998</v>
      </c>
    </row>
    <row r="71" spans="2:5" hidden="1">
      <c r="B71" s="80">
        <v>210</v>
      </c>
      <c r="C71" s="121">
        <v>2079986736.0500011</v>
      </c>
      <c r="D71" s="102">
        <f t="shared" si="4"/>
        <v>2079.9867360500011</v>
      </c>
    </row>
    <row r="72" spans="2:5" hidden="1">
      <c r="B72" s="80">
        <v>240</v>
      </c>
      <c r="C72" s="121">
        <v>1459858887.4400005</v>
      </c>
      <c r="D72" s="102">
        <f t="shared" si="4"/>
        <v>1459.8588874400004</v>
      </c>
      <c r="E72" s="119"/>
    </row>
    <row r="73" spans="2:5" hidden="1">
      <c r="B73" s="80">
        <v>270</v>
      </c>
      <c r="C73" s="121">
        <v>1239076782.7200027</v>
      </c>
      <c r="D73" s="102">
        <f t="shared" si="4"/>
        <v>1239.0767827200027</v>
      </c>
      <c r="E73" s="119"/>
    </row>
    <row r="74" spans="2:5" hidden="1">
      <c r="B74" s="80">
        <v>300</v>
      </c>
      <c r="C74" s="121">
        <v>1018698998.1900003</v>
      </c>
      <c r="D74" s="102">
        <f t="shared" si="4"/>
        <v>1018.6989981900003</v>
      </c>
      <c r="E74" s="119"/>
    </row>
    <row r="75" spans="2:5" hidden="1">
      <c r="B75" s="80">
        <v>330</v>
      </c>
      <c r="C75" s="121">
        <v>770041410.9799999</v>
      </c>
      <c r="D75" s="102">
        <f t="shared" si="4"/>
        <v>770.04141097999991</v>
      </c>
      <c r="E75" s="119"/>
    </row>
    <row r="76" spans="2:5" hidden="1">
      <c r="B76" s="80">
        <v>360</v>
      </c>
      <c r="C76" s="121">
        <v>6163449091.0599852</v>
      </c>
      <c r="D76" s="102">
        <f t="shared" si="4"/>
        <v>6163.4490910599852</v>
      </c>
      <c r="E76" s="119">
        <f>SUM(D69:D77)</f>
        <v>17488.260021002981</v>
      </c>
    </row>
    <row r="77" spans="2:5" hidden="1">
      <c r="B77" s="80" t="s">
        <v>382</v>
      </c>
      <c r="C77" s="121">
        <v>-1960479384.197006</v>
      </c>
      <c r="D77" s="102">
        <f>C77/1000000</f>
        <v>-1960.4793841970061</v>
      </c>
      <c r="E77" s="119"/>
    </row>
    <row r="78" spans="2:5" hidden="1">
      <c r="B78" s="80" t="s">
        <v>353</v>
      </c>
      <c r="C78" s="102">
        <v>224669193559.647</v>
      </c>
      <c r="D78" s="118">
        <f>SUM(D64:D77)</f>
        <v>221702.52355964677</v>
      </c>
      <c r="E78" s="119"/>
    </row>
    <row r="79" spans="2:5" hidden="1">
      <c r="D79" s="102">
        <v>221702519642.16</v>
      </c>
      <c r="E79" s="119">
        <f>D79/1000000</f>
        <v>221702.51964216001</v>
      </c>
    </row>
    <row r="80" spans="2:5" hidden="1">
      <c r="D80" s="123">
        <f>D78-E79</f>
        <v>3.9174867561087012E-3</v>
      </c>
    </row>
    <row r="81" spans="3:5" hidden="1">
      <c r="C81" s="119"/>
      <c r="D81" s="123">
        <f>C78-D79</f>
        <v>2966673917.4869995</v>
      </c>
      <c r="E81" s="119"/>
    </row>
    <row r="82" spans="3:5" hidden="1">
      <c r="C82" s="102"/>
      <c r="E82" s="119"/>
    </row>
    <row r="83" spans="3:5" hidden="1"/>
  </sheetData>
  <mergeCells count="1">
    <mergeCell ref="B3:E3"/>
  </mergeCells>
  <pageMargins left="0.75" right="0.75" top="1" bottom="1" header="0.5" footer="0.5"/>
  <pageSetup scale="71"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368"/>
  <sheetViews>
    <sheetView showWhiteSpace="0" view="pageBreakPreview" topLeftCell="A248" zoomScaleNormal="100" zoomScaleSheetLayoutView="100" workbookViewId="0">
      <selection activeCell="C260" sqref="C260:J260"/>
    </sheetView>
  </sheetViews>
  <sheetFormatPr defaultColWidth="9.1796875" defaultRowHeight="15.75" customHeight="1"/>
  <cols>
    <col min="1" max="1" width="5.1796875" style="486" customWidth="1"/>
    <col min="2" max="2" width="5.7265625" style="486" customWidth="1"/>
    <col min="3" max="3" width="15.7265625" style="486" customWidth="1"/>
    <col min="4" max="4" width="1.1796875" style="486" customWidth="1"/>
    <col min="5" max="5" width="11.54296875" style="486" customWidth="1"/>
    <col min="6" max="6" width="28" style="486" customWidth="1"/>
    <col min="7" max="7" width="1.81640625" style="486" customWidth="1"/>
    <col min="8" max="8" width="16.81640625" style="501" customWidth="1"/>
    <col min="9" max="9" width="3.54296875" style="486" customWidth="1"/>
    <col min="10" max="10" width="14.81640625" style="486" customWidth="1"/>
    <col min="11" max="11" width="5.453125" style="486" customWidth="1"/>
    <col min="12" max="12" width="19.1796875" style="486" bestFit="1" customWidth="1"/>
    <col min="13" max="13" width="16.26953125" style="486" bestFit="1" customWidth="1"/>
    <col min="14" max="14" width="23" style="486" customWidth="1"/>
    <col min="15" max="15" width="12.81640625" style="486" bestFit="1" customWidth="1"/>
    <col min="16" max="16" width="13" style="486" customWidth="1"/>
    <col min="17" max="17" width="15.1796875" style="486" bestFit="1" customWidth="1"/>
    <col min="18" max="18" width="19.1796875" style="486" bestFit="1" customWidth="1"/>
    <col min="19" max="19" width="13.453125" style="486" bestFit="1" customWidth="1"/>
    <col min="20" max="20" width="17.26953125" style="486" bestFit="1" customWidth="1"/>
    <col min="21" max="21" width="12.81640625" style="486" bestFit="1" customWidth="1"/>
    <col min="22" max="22" width="17.26953125" style="486" bestFit="1" customWidth="1"/>
    <col min="23" max="16384" width="9.1796875" style="486"/>
  </cols>
  <sheetData>
    <row r="1" spans="1:17" ht="15.75" customHeight="1">
      <c r="A1" s="488" t="s">
        <v>422</v>
      </c>
      <c r="B1" s="489"/>
      <c r="C1" s="489"/>
      <c r="D1" s="489"/>
      <c r="E1" s="489"/>
      <c r="F1" s="490"/>
      <c r="G1" s="490"/>
      <c r="H1" s="491"/>
      <c r="I1" s="490"/>
      <c r="J1" s="490"/>
      <c r="K1" s="490"/>
      <c r="L1" s="490"/>
      <c r="M1" s="490"/>
      <c r="N1" s="490"/>
      <c r="O1" s="489"/>
      <c r="P1" s="489"/>
      <c r="Q1" s="489"/>
    </row>
    <row r="2" spans="1:17" ht="9.75" customHeight="1">
      <c r="A2" s="492"/>
      <c r="F2" s="490"/>
      <c r="G2" s="490"/>
      <c r="H2" s="491"/>
      <c r="I2" s="490"/>
      <c r="J2" s="490"/>
      <c r="K2" s="490"/>
      <c r="L2" s="490"/>
      <c r="M2" s="490"/>
      <c r="N2" s="490"/>
      <c r="O2" s="489"/>
      <c r="P2" s="489"/>
      <c r="Q2" s="489"/>
    </row>
    <row r="3" spans="1:17" s="484" customFormat="1" ht="13.5">
      <c r="A3" s="492" t="s">
        <v>3039</v>
      </c>
      <c r="B3" s="489"/>
      <c r="C3" s="489"/>
      <c r="D3" s="489"/>
      <c r="E3" s="490"/>
      <c r="F3" s="489"/>
      <c r="G3" s="489"/>
      <c r="H3" s="493"/>
    </row>
    <row r="4" spans="1:17" ht="15.75" customHeight="1">
      <c r="A4" s="494" t="s">
        <v>4582</v>
      </c>
      <c r="B4" s="494"/>
      <c r="C4" s="494"/>
      <c r="D4" s="494"/>
      <c r="E4" s="494"/>
      <c r="F4" s="495"/>
      <c r="G4" s="495"/>
      <c r="H4" s="496"/>
      <c r="I4" s="495"/>
      <c r="J4" s="495"/>
      <c r="K4" s="490"/>
      <c r="L4" s="490"/>
      <c r="M4" s="490"/>
      <c r="N4" s="490"/>
      <c r="O4" s="489"/>
      <c r="P4" s="489"/>
      <c r="Q4" s="489"/>
    </row>
    <row r="5" spans="1:17" ht="10.5" customHeight="1">
      <c r="A5" s="737"/>
      <c r="B5" s="489"/>
      <c r="C5" s="489"/>
      <c r="D5" s="489"/>
      <c r="E5" s="489"/>
      <c r="F5" s="489"/>
      <c r="G5" s="489"/>
      <c r="H5" s="493"/>
      <c r="I5" s="489"/>
      <c r="J5" s="489"/>
      <c r="K5" s="489"/>
      <c r="L5" s="489"/>
      <c r="M5" s="489"/>
      <c r="N5" s="489"/>
      <c r="O5" s="489"/>
      <c r="P5" s="489"/>
      <c r="Q5" s="489"/>
    </row>
    <row r="6" spans="1:17" ht="15.75" customHeight="1">
      <c r="A6" s="519" t="s">
        <v>384</v>
      </c>
      <c r="B6" s="493" t="s">
        <v>4565</v>
      </c>
      <c r="H6" s="497" t="s">
        <v>4583</v>
      </c>
      <c r="I6" s="498"/>
      <c r="J6" s="499" t="s">
        <v>4319</v>
      </c>
    </row>
    <row r="7" spans="1:17" ht="13.5">
      <c r="A7" s="519"/>
      <c r="B7" s="493"/>
      <c r="H7" s="497" t="s">
        <v>1921</v>
      </c>
      <c r="I7" s="498"/>
      <c r="J7" s="499" t="s">
        <v>1921</v>
      </c>
    </row>
    <row r="8" spans="1:17" ht="13.5">
      <c r="A8" s="500"/>
      <c r="B8" s="493" t="s">
        <v>39</v>
      </c>
      <c r="I8" s="502"/>
      <c r="J8" s="503"/>
    </row>
    <row r="9" spans="1:17" ht="13.5">
      <c r="A9" s="500"/>
      <c r="B9" s="489" t="s">
        <v>4309</v>
      </c>
      <c r="H9" s="632">
        <f>ROUND(J12,0)</f>
        <v>14793381</v>
      </c>
      <c r="I9" s="502"/>
      <c r="J9" s="624">
        <v>12903247</v>
      </c>
    </row>
    <row r="10" spans="1:17" ht="13.5">
      <c r="A10" s="500"/>
      <c r="B10" s="486" t="s">
        <v>416</v>
      </c>
      <c r="D10" s="489"/>
      <c r="E10" s="489"/>
      <c r="F10" s="505"/>
      <c r="G10" s="489"/>
      <c r="H10" s="710">
        <v>0</v>
      </c>
      <c r="I10" s="502"/>
      <c r="J10" s="624">
        <v>1890134</v>
      </c>
      <c r="K10" s="489"/>
      <c r="L10" s="489"/>
      <c r="M10" s="489"/>
      <c r="N10" s="489"/>
      <c r="O10" s="489"/>
      <c r="P10" s="489"/>
      <c r="Q10" s="489"/>
    </row>
    <row r="11" spans="1:17" ht="8.25" customHeight="1">
      <c r="A11" s="500"/>
      <c r="D11" s="489"/>
      <c r="E11" s="489"/>
      <c r="F11" s="489"/>
      <c r="G11" s="489"/>
      <c r="H11" s="711"/>
      <c r="I11" s="502"/>
      <c r="J11" s="507"/>
      <c r="K11" s="489"/>
      <c r="L11" s="489"/>
      <c r="M11" s="489"/>
      <c r="N11" s="489"/>
      <c r="O11" s="489"/>
      <c r="P11" s="489"/>
      <c r="Q11" s="489"/>
    </row>
    <row r="12" spans="1:17" ht="15" customHeight="1">
      <c r="A12" s="500"/>
      <c r="B12" s="486" t="s">
        <v>4310</v>
      </c>
      <c r="D12" s="489"/>
      <c r="E12" s="489"/>
      <c r="F12" s="489"/>
      <c r="G12" s="489"/>
      <c r="H12" s="712">
        <f>SUM(H9:H10)</f>
        <v>14793381</v>
      </c>
      <c r="I12" s="502"/>
      <c r="J12" s="681">
        <v>14793381</v>
      </c>
      <c r="K12" s="489"/>
      <c r="L12" s="489"/>
      <c r="M12" s="489"/>
      <c r="N12" s="489"/>
      <c r="O12" s="489"/>
      <c r="P12" s="489"/>
      <c r="Q12" s="489"/>
    </row>
    <row r="13" spans="1:17" ht="9" customHeight="1">
      <c r="A13" s="500"/>
      <c r="D13" s="489"/>
      <c r="E13" s="489"/>
      <c r="F13" s="489"/>
      <c r="G13" s="489"/>
      <c r="I13" s="502"/>
      <c r="J13" s="503"/>
      <c r="K13" s="489"/>
      <c r="L13" s="489"/>
      <c r="M13" s="489"/>
      <c r="N13" s="489"/>
      <c r="O13" s="489"/>
      <c r="P13" s="489"/>
      <c r="Q13" s="489"/>
    </row>
    <row r="14" spans="1:17" ht="13.5">
      <c r="A14" s="500"/>
      <c r="B14" s="493" t="s">
        <v>417</v>
      </c>
      <c r="D14" s="489"/>
      <c r="E14" s="489"/>
      <c r="F14" s="489"/>
      <c r="G14" s="489"/>
      <c r="H14" s="713"/>
      <c r="I14" s="502"/>
      <c r="J14" s="503"/>
      <c r="K14" s="489"/>
      <c r="L14" s="489"/>
      <c r="M14" s="489"/>
      <c r="N14" s="489"/>
      <c r="O14" s="489"/>
      <c r="P14" s="489"/>
      <c r="Q14" s="489"/>
    </row>
    <row r="15" spans="1:17" ht="13.5">
      <c r="A15" s="500"/>
      <c r="B15" s="489" t="s">
        <v>4311</v>
      </c>
      <c r="D15" s="489"/>
      <c r="E15" s="489"/>
      <c r="F15" s="489"/>
      <c r="G15" s="489"/>
      <c r="H15" s="632">
        <f>ROUND(J18,0)</f>
        <v>5661006</v>
      </c>
      <c r="I15" s="502"/>
      <c r="J15" s="624">
        <v>3812333</v>
      </c>
      <c r="K15" s="489"/>
      <c r="L15" s="489"/>
      <c r="M15" s="703"/>
      <c r="N15" s="489"/>
      <c r="O15" s="489"/>
      <c r="P15" s="489"/>
      <c r="Q15" s="489"/>
    </row>
    <row r="16" spans="1:17" ht="13.5">
      <c r="A16" s="500"/>
      <c r="B16" s="486" t="s">
        <v>418</v>
      </c>
      <c r="D16" s="489"/>
      <c r="E16" s="489"/>
      <c r="F16" s="489"/>
      <c r="G16" s="489"/>
      <c r="H16" s="733" t="e">
        <f>H18-H15</f>
        <v>#REF!</v>
      </c>
      <c r="I16" s="502"/>
      <c r="J16" s="625">
        <v>1848673</v>
      </c>
      <c r="K16" s="489"/>
      <c r="L16" s="508"/>
      <c r="M16" s="703"/>
      <c r="N16" s="489"/>
      <c r="O16" s="489"/>
      <c r="P16" s="489"/>
      <c r="Q16" s="489"/>
    </row>
    <row r="17" spans="1:17" ht="11.25" customHeight="1">
      <c r="A17" s="500"/>
      <c r="D17" s="489"/>
      <c r="E17" s="489"/>
      <c r="F17" s="489"/>
      <c r="G17" s="489"/>
      <c r="H17" s="524"/>
      <c r="I17" s="502"/>
      <c r="J17" s="635"/>
      <c r="K17" s="489"/>
      <c r="L17" s="511"/>
      <c r="M17" s="489"/>
      <c r="N17" s="511"/>
      <c r="O17" s="489"/>
      <c r="P17" s="511"/>
      <c r="Q17" s="489"/>
    </row>
    <row r="18" spans="1:17" ht="13.5">
      <c r="A18" s="500"/>
      <c r="B18" s="486" t="s">
        <v>4310</v>
      </c>
      <c r="D18" s="489"/>
      <c r="E18" s="489"/>
      <c r="F18" s="489"/>
      <c r="G18" s="489"/>
      <c r="H18" s="704" t="e">
        <f>#REF!</f>
        <v>#REF!</v>
      </c>
      <c r="I18" s="502"/>
      <c r="J18" s="625">
        <v>5661006</v>
      </c>
      <c r="K18" s="489"/>
      <c r="L18" s="489"/>
      <c r="M18" s="512"/>
      <c r="N18" s="511"/>
      <c r="O18" s="489"/>
      <c r="P18" s="511"/>
      <c r="Q18" s="489"/>
    </row>
    <row r="19" spans="1:17" ht="7.5" customHeight="1">
      <c r="A19" s="500"/>
      <c r="D19" s="513"/>
      <c r="E19" s="513"/>
      <c r="F19" s="513"/>
      <c r="G19" s="513"/>
      <c r="H19" s="713"/>
      <c r="I19" s="502"/>
      <c r="J19" s="503"/>
      <c r="K19" s="489"/>
      <c r="L19" s="489"/>
      <c r="M19" s="489"/>
      <c r="N19" s="511"/>
      <c r="O19" s="489"/>
      <c r="P19" s="511"/>
      <c r="Q19" s="489"/>
    </row>
    <row r="20" spans="1:17" ht="13.5">
      <c r="A20" s="500"/>
      <c r="B20" s="493" t="s">
        <v>423</v>
      </c>
      <c r="D20" s="513"/>
      <c r="E20" s="513"/>
      <c r="F20" s="513"/>
      <c r="G20" s="513"/>
      <c r="I20" s="502"/>
      <c r="J20" s="503"/>
      <c r="K20" s="489"/>
      <c r="L20" s="514"/>
      <c r="M20" s="509"/>
      <c r="N20" s="514"/>
      <c r="O20" s="489"/>
      <c r="P20" s="514"/>
      <c r="Q20" s="489"/>
    </row>
    <row r="21" spans="1:17" ht="14" thickBot="1">
      <c r="A21" s="500"/>
      <c r="B21" s="486" t="s">
        <v>4310</v>
      </c>
      <c r="D21" s="513"/>
      <c r="E21" s="513"/>
      <c r="F21" s="513"/>
      <c r="G21" s="513"/>
      <c r="H21" s="690" t="e">
        <f>H12-H18</f>
        <v>#REF!</v>
      </c>
      <c r="I21" s="502"/>
      <c r="J21" s="534">
        <v>9132375</v>
      </c>
      <c r="K21" s="489"/>
      <c r="L21" s="516"/>
      <c r="M21" s="554"/>
      <c r="N21" s="516"/>
      <c r="O21" s="554"/>
      <c r="P21" s="516"/>
      <c r="Q21" s="489"/>
    </row>
    <row r="22" spans="1:17" ht="6.75" customHeight="1" thickTop="1">
      <c r="A22" s="500"/>
      <c r="D22" s="492"/>
      <c r="E22" s="492"/>
      <c r="F22" s="489"/>
      <c r="G22" s="489"/>
      <c r="H22" s="517"/>
      <c r="I22" s="502"/>
      <c r="J22" s="503"/>
      <c r="K22" s="489"/>
      <c r="L22" s="489"/>
      <c r="M22" s="489"/>
      <c r="N22" s="520"/>
      <c r="O22" s="489"/>
      <c r="P22" s="520"/>
      <c r="Q22" s="489"/>
    </row>
    <row r="23" spans="1:17" ht="28.5" customHeight="1">
      <c r="A23" s="500"/>
      <c r="B23" s="965" t="s">
        <v>4308</v>
      </c>
      <c r="C23" s="965"/>
      <c r="D23" s="965"/>
      <c r="E23" s="965"/>
      <c r="F23" s="965"/>
      <c r="G23" s="965"/>
      <c r="H23" s="965"/>
      <c r="I23" s="965"/>
      <c r="J23" s="965"/>
      <c r="K23" s="489"/>
      <c r="L23" s="554"/>
      <c r="M23" s="489"/>
      <c r="N23" s="520"/>
      <c r="O23" s="489"/>
      <c r="P23" s="520"/>
      <c r="Q23" s="489"/>
    </row>
    <row r="24" spans="1:17" ht="5.25" customHeight="1">
      <c r="A24" s="500"/>
      <c r="B24" s="513"/>
      <c r="C24" s="513"/>
      <c r="D24" s="725"/>
      <c r="E24" s="725"/>
      <c r="F24" s="726"/>
      <c r="G24" s="726"/>
      <c r="H24" s="727"/>
      <c r="I24" s="728"/>
      <c r="J24" s="729"/>
      <c r="K24" s="489"/>
      <c r="L24" s="489"/>
      <c r="M24" s="489"/>
      <c r="N24" s="520"/>
      <c r="O24" s="489"/>
      <c r="P24" s="520"/>
      <c r="Q24" s="489"/>
    </row>
    <row r="25" spans="1:17" ht="30" customHeight="1">
      <c r="A25" s="500"/>
      <c r="B25" s="965" t="s">
        <v>4566</v>
      </c>
      <c r="C25" s="965"/>
      <c r="D25" s="965"/>
      <c r="E25" s="965"/>
      <c r="F25" s="965"/>
      <c r="G25" s="965"/>
      <c r="H25" s="965"/>
      <c r="I25" s="965"/>
      <c r="J25" s="965"/>
      <c r="K25" s="489"/>
      <c r="L25" s="489"/>
      <c r="M25" s="489"/>
      <c r="N25" s="520"/>
      <c r="O25" s="489"/>
      <c r="P25" s="520"/>
      <c r="Q25" s="489"/>
    </row>
    <row r="26" spans="1:17" ht="8.25" customHeight="1">
      <c r="A26" s="500"/>
      <c r="D26" s="492"/>
      <c r="E26" s="492"/>
      <c r="F26" s="489"/>
      <c r="G26" s="489"/>
      <c r="H26" s="517"/>
      <c r="I26" s="502"/>
      <c r="J26" s="503"/>
      <c r="K26" s="489"/>
      <c r="L26" s="489"/>
      <c r="M26" s="489"/>
      <c r="N26" s="520"/>
      <c r="O26" s="489"/>
      <c r="P26" s="520"/>
      <c r="Q26" s="489"/>
    </row>
    <row r="27" spans="1:17" ht="15" customHeight="1">
      <c r="A27" s="519" t="s">
        <v>385</v>
      </c>
      <c r="B27" s="493" t="s">
        <v>3386</v>
      </c>
      <c r="D27" s="492"/>
      <c r="E27" s="492"/>
      <c r="F27" s="489"/>
      <c r="G27" s="489"/>
      <c r="H27" s="497" t="str">
        <f>H6</f>
        <v>2020</v>
      </c>
      <c r="I27" s="498"/>
      <c r="J27" s="499" t="str">
        <f>J6</f>
        <v>2019</v>
      </c>
      <c r="K27" s="489"/>
      <c r="L27" s="489"/>
      <c r="M27" s="489"/>
      <c r="N27" s="520"/>
      <c r="O27" s="489"/>
      <c r="P27" s="520"/>
      <c r="Q27" s="489"/>
    </row>
    <row r="28" spans="1:17" ht="13.5">
      <c r="A28" s="500"/>
      <c r="D28" s="492"/>
      <c r="E28" s="492"/>
      <c r="F28" s="489"/>
      <c r="G28" s="489"/>
      <c r="H28" s="497" t="s">
        <v>1921</v>
      </c>
      <c r="I28" s="498"/>
      <c r="J28" s="499" t="s">
        <v>1921</v>
      </c>
      <c r="K28" s="489"/>
      <c r="L28" s="489"/>
      <c r="M28" s="489"/>
      <c r="N28" s="520"/>
      <c r="O28" s="489"/>
      <c r="P28" s="520"/>
      <c r="Q28" s="489"/>
    </row>
    <row r="29" spans="1:17" ht="6.75" customHeight="1">
      <c r="A29" s="500"/>
      <c r="D29" s="492"/>
      <c r="E29" s="492"/>
      <c r="F29" s="489"/>
      <c r="G29" s="489"/>
      <c r="H29" s="497"/>
      <c r="I29" s="498"/>
      <c r="J29" s="499"/>
      <c r="K29" s="489"/>
      <c r="L29" s="489"/>
      <c r="M29" s="489"/>
      <c r="N29" s="520"/>
      <c r="O29" s="489"/>
      <c r="P29" s="520"/>
      <c r="Q29" s="489"/>
    </row>
    <row r="30" spans="1:17" ht="13.5">
      <c r="A30" s="519"/>
      <c r="B30" s="489" t="s">
        <v>3365</v>
      </c>
      <c r="C30" s="520"/>
      <c r="D30" s="520"/>
      <c r="E30" s="520"/>
      <c r="F30" s="521"/>
      <c r="G30" s="521"/>
      <c r="H30" s="710" t="e">
        <f>H33-H31</f>
        <v>#REF!</v>
      </c>
      <c r="I30" s="521"/>
      <c r="J30" s="624">
        <v>61730749.810000002</v>
      </c>
      <c r="L30" s="503"/>
      <c r="N30" s="511"/>
      <c r="P30" s="511"/>
    </row>
    <row r="31" spans="1:17" ht="13.5">
      <c r="A31" s="519"/>
      <c r="B31" s="486" t="s">
        <v>3366</v>
      </c>
      <c r="C31" s="520"/>
      <c r="D31" s="520"/>
      <c r="E31" s="520"/>
      <c r="F31" s="521"/>
      <c r="G31" s="521"/>
      <c r="H31" s="704">
        <v>315784.45999999996</v>
      </c>
      <c r="I31" s="521"/>
      <c r="J31" s="625">
        <v>1102204.19</v>
      </c>
      <c r="L31" s="522"/>
      <c r="N31" s="511"/>
      <c r="P31" s="511"/>
    </row>
    <row r="32" spans="1:17" ht="9" customHeight="1">
      <c r="A32" s="519"/>
      <c r="C32" s="520"/>
      <c r="D32" s="520"/>
      <c r="E32" s="520"/>
      <c r="F32" s="521"/>
      <c r="G32" s="521"/>
      <c r="H32" s="714"/>
      <c r="I32" s="521"/>
      <c r="J32" s="638"/>
      <c r="N32" s="511"/>
    </row>
    <row r="33" spans="1:18" ht="14.25" customHeight="1" thickBot="1">
      <c r="A33" s="519"/>
      <c r="C33" s="520"/>
      <c r="D33" s="520"/>
      <c r="E33" s="520"/>
      <c r="F33" s="521"/>
      <c r="G33" s="521"/>
      <c r="H33" s="690" t="e">
        <f>#REF!+#REF!+#REF!+#REF!+#REF!</f>
        <v>#REF!</v>
      </c>
      <c r="I33" s="521"/>
      <c r="J33" s="534">
        <v>62832954</v>
      </c>
      <c r="L33" s="511"/>
      <c r="N33" s="511"/>
    </row>
    <row r="34" spans="1:18" ht="6" customHeight="1" thickTop="1">
      <c r="A34" s="500"/>
      <c r="D34" s="492"/>
      <c r="E34" s="492"/>
      <c r="F34" s="489"/>
      <c r="G34" s="489"/>
      <c r="H34" s="517"/>
      <c r="I34" s="502"/>
      <c r="J34" s="503"/>
      <c r="K34" s="489"/>
      <c r="L34" s="489"/>
      <c r="M34" s="489"/>
      <c r="N34" s="520"/>
      <c r="O34" s="489"/>
      <c r="P34" s="520"/>
      <c r="Q34" s="489"/>
    </row>
    <row r="35" spans="1:18" ht="28.5" customHeight="1">
      <c r="A35" s="500"/>
      <c r="B35" s="965" t="s">
        <v>3387</v>
      </c>
      <c r="C35" s="965"/>
      <c r="D35" s="965"/>
      <c r="E35" s="965"/>
      <c r="F35" s="965"/>
      <c r="G35" s="489"/>
      <c r="H35" s="517"/>
      <c r="I35" s="502"/>
      <c r="J35" s="503"/>
      <c r="K35" s="489"/>
      <c r="L35" s="489"/>
      <c r="M35" s="489"/>
      <c r="N35" s="520"/>
      <c r="O35" s="489"/>
      <c r="P35" s="520"/>
      <c r="Q35" s="489"/>
    </row>
    <row r="36" spans="1:18" ht="3.75" customHeight="1">
      <c r="A36" s="500"/>
      <c r="D36" s="492"/>
      <c r="E36" s="492"/>
      <c r="F36" s="489"/>
      <c r="G36" s="489"/>
      <c r="H36" s="517"/>
      <c r="I36" s="502"/>
      <c r="J36" s="503"/>
      <c r="K36" s="489"/>
      <c r="L36" s="489"/>
      <c r="M36" s="489"/>
      <c r="N36" s="520"/>
      <c r="O36" s="489"/>
      <c r="P36" s="520"/>
      <c r="Q36" s="489"/>
    </row>
    <row r="37" spans="1:18" ht="14.25" customHeight="1">
      <c r="A37" s="519" t="s">
        <v>386</v>
      </c>
      <c r="B37" s="493" t="s">
        <v>3388</v>
      </c>
      <c r="C37" s="489"/>
      <c r="D37" s="492"/>
      <c r="E37" s="492"/>
      <c r="H37" s="497"/>
      <c r="I37" s="498"/>
      <c r="J37" s="511"/>
      <c r="K37" s="489"/>
      <c r="L37" s="489"/>
      <c r="M37" s="489"/>
      <c r="N37" s="520"/>
      <c r="O37" s="489"/>
      <c r="P37" s="520"/>
      <c r="Q37" s="489"/>
    </row>
    <row r="38" spans="1:18" ht="3.75" customHeight="1">
      <c r="H38" s="524"/>
      <c r="J38" s="511"/>
      <c r="K38" s="489"/>
      <c r="L38" s="489"/>
      <c r="M38" s="489"/>
      <c r="N38" s="520"/>
      <c r="O38" s="489"/>
      <c r="P38" s="520"/>
      <c r="Q38" s="489"/>
    </row>
    <row r="39" spans="1:18" ht="13.5">
      <c r="B39" s="486" t="s">
        <v>3057</v>
      </c>
      <c r="H39" s="632" t="e">
        <f>(+#REF!)</f>
        <v>#REF!</v>
      </c>
      <c r="J39" s="624">
        <v>7482382</v>
      </c>
      <c r="K39" s="489"/>
      <c r="L39" s="510"/>
      <c r="M39" s="489"/>
      <c r="N39" s="520"/>
      <c r="O39" s="489"/>
      <c r="P39" s="520"/>
      <c r="Q39" s="489"/>
      <c r="R39" s="636"/>
    </row>
    <row r="40" spans="1:18" ht="13.5">
      <c r="B40" s="486" t="s">
        <v>4575</v>
      </c>
      <c r="H40" s="632" t="e">
        <f>+#REF!</f>
        <v>#REF!</v>
      </c>
      <c r="J40" s="624">
        <v>11245834</v>
      </c>
      <c r="K40" s="489"/>
      <c r="L40" s="489"/>
      <c r="M40" s="489"/>
      <c r="N40" s="520"/>
      <c r="O40" s="489"/>
      <c r="P40" s="520"/>
      <c r="Q40" s="489"/>
    </row>
    <row r="41" spans="1:18" ht="13.5">
      <c r="B41" s="486" t="s">
        <v>4303</v>
      </c>
      <c r="H41" s="632" t="e">
        <f>ROUND(+#REF!+#REF!+#REF!,0)-1</f>
        <v>#REF!</v>
      </c>
      <c r="J41" s="635">
        <v>8521434</v>
      </c>
      <c r="K41" s="489"/>
      <c r="L41" s="489"/>
      <c r="M41" s="489"/>
      <c r="N41" s="520"/>
      <c r="O41" s="489"/>
      <c r="P41" s="520"/>
      <c r="Q41" s="489"/>
    </row>
    <row r="42" spans="1:18" ht="13.5">
      <c r="B42" s="486" t="s">
        <v>3054</v>
      </c>
      <c r="H42" s="632" t="e">
        <f>+ROUND(#REF!,0)</f>
        <v>#REF!</v>
      </c>
      <c r="J42" s="624">
        <v>2054948</v>
      </c>
      <c r="K42" s="489"/>
      <c r="L42" s="489"/>
      <c r="M42" s="489"/>
      <c r="N42" s="520"/>
      <c r="O42" s="489"/>
      <c r="P42" s="520"/>
      <c r="Q42" s="489"/>
    </row>
    <row r="43" spans="1:18" ht="13.5">
      <c r="B43" s="486" t="s">
        <v>4567</v>
      </c>
      <c r="H43" s="632" t="e">
        <f>#REF!</f>
        <v>#REF!</v>
      </c>
      <c r="J43" s="624">
        <v>169900</v>
      </c>
      <c r="K43" s="489"/>
      <c r="L43" s="489"/>
      <c r="M43" s="489"/>
      <c r="N43" s="520"/>
      <c r="O43" s="489"/>
      <c r="P43" s="520"/>
      <c r="Q43" s="489"/>
    </row>
    <row r="44" spans="1:18" ht="14.25" customHeight="1">
      <c r="B44" s="486" t="s">
        <v>4305</v>
      </c>
      <c r="H44" s="632" t="e">
        <f>+ROUND(SUM(#REF!),0)</f>
        <v>#REF!</v>
      </c>
      <c r="J44" s="635">
        <v>129171</v>
      </c>
      <c r="K44" s="489"/>
      <c r="L44" s="489"/>
      <c r="M44" s="489"/>
      <c r="N44" s="520"/>
      <c r="O44" s="489"/>
      <c r="P44" s="520"/>
      <c r="Q44" s="489"/>
    </row>
    <row r="45" spans="1:18" ht="8.25" customHeight="1">
      <c r="H45" s="711"/>
      <c r="J45" s="531"/>
      <c r="K45" s="489"/>
      <c r="L45" s="489"/>
      <c r="M45" s="489"/>
      <c r="N45" s="520"/>
      <c r="O45" s="489"/>
      <c r="P45" s="520"/>
      <c r="Q45" s="489"/>
    </row>
    <row r="46" spans="1:18" ht="15" customHeight="1" thickBot="1">
      <c r="H46" s="690" t="e">
        <f>ROUND(SUM(H39:H44),0)</f>
        <v>#REF!</v>
      </c>
      <c r="J46" s="534">
        <f>ROUND(SUM(J39:J44),0)</f>
        <v>29603669</v>
      </c>
      <c r="K46" s="489"/>
      <c r="L46" s="489"/>
      <c r="M46" s="489"/>
      <c r="N46" s="520"/>
      <c r="O46" s="489"/>
      <c r="P46" s="520"/>
      <c r="Q46" s="489"/>
    </row>
    <row r="47" spans="1:18" ht="4.5" customHeight="1" thickTop="1">
      <c r="A47" s="500"/>
      <c r="D47" s="492"/>
      <c r="E47" s="492"/>
      <c r="F47" s="489"/>
      <c r="G47" s="489"/>
      <c r="H47" s="517"/>
      <c r="I47" s="502"/>
      <c r="J47" s="503"/>
      <c r="K47" s="489"/>
      <c r="L47" s="489"/>
      <c r="M47" s="489"/>
      <c r="N47" s="520"/>
      <c r="O47" s="489"/>
      <c r="P47" s="520"/>
      <c r="Q47" s="489"/>
    </row>
    <row r="48" spans="1:18" ht="12.75" customHeight="1">
      <c r="A48" s="500"/>
      <c r="B48" s="966" t="s">
        <v>3389</v>
      </c>
      <c r="C48" s="966"/>
      <c r="D48" s="966"/>
      <c r="E48" s="966"/>
      <c r="F48" s="966"/>
      <c r="G48" s="966"/>
      <c r="H48" s="966"/>
      <c r="I48" s="966"/>
      <c r="J48" s="966"/>
      <c r="K48" s="489"/>
      <c r="L48" s="489"/>
      <c r="M48" s="624"/>
      <c r="N48" s="520"/>
      <c r="O48" s="489"/>
      <c r="P48" s="520"/>
      <c r="Q48" s="489"/>
    </row>
    <row r="49" spans="1:19" ht="7.5" customHeight="1">
      <c r="A49" s="500"/>
      <c r="B49" s="735"/>
      <c r="C49" s="735"/>
      <c r="D49" s="735"/>
      <c r="E49" s="735"/>
      <c r="F49" s="735"/>
      <c r="G49" s="489"/>
      <c r="H49" s="517"/>
      <c r="I49" s="502"/>
      <c r="J49" s="503"/>
      <c r="K49" s="489"/>
      <c r="L49" s="489"/>
      <c r="M49" s="489"/>
      <c r="N49" s="520"/>
      <c r="O49" s="489"/>
      <c r="P49" s="520"/>
      <c r="Q49" s="489"/>
    </row>
    <row r="50" spans="1:19" ht="13.5" customHeight="1">
      <c r="A50" s="527" t="s">
        <v>387</v>
      </c>
      <c r="B50" s="967" t="s">
        <v>476</v>
      </c>
      <c r="C50" s="968"/>
      <c r="D50" s="968"/>
      <c r="E50" s="968"/>
      <c r="F50" s="968"/>
      <c r="G50" s="487"/>
      <c r="H50" s="497"/>
      <c r="I50" s="498"/>
      <c r="J50" s="499"/>
      <c r="K50" s="512"/>
      <c r="L50" s="512"/>
      <c r="N50" s="511"/>
      <c r="P50" s="528"/>
      <c r="S50" s="512"/>
    </row>
    <row r="51" spans="1:19" ht="7.5" customHeight="1">
      <c r="B51" s="934"/>
      <c r="C51" s="934"/>
      <c r="D51" s="934"/>
      <c r="E51" s="934"/>
      <c r="F51" s="934"/>
      <c r="H51" s="497"/>
      <c r="J51" s="499"/>
      <c r="K51" s="512"/>
      <c r="L51" s="512"/>
      <c r="N51" s="511"/>
      <c r="P51" s="528"/>
      <c r="S51" s="512"/>
    </row>
    <row r="52" spans="1:19" ht="29.25" customHeight="1">
      <c r="B52" s="969" t="s">
        <v>1942</v>
      </c>
      <c r="C52" s="969"/>
      <c r="D52" s="969"/>
      <c r="E52" s="969"/>
      <c r="F52" s="969"/>
      <c r="G52" s="969"/>
      <c r="H52" s="969"/>
      <c r="I52" s="969"/>
      <c r="J52" s="969"/>
      <c r="K52" s="512"/>
      <c r="L52" s="512"/>
      <c r="N52" s="511"/>
      <c r="P52" s="528"/>
      <c r="S52" s="512"/>
    </row>
    <row r="53" spans="1:19" ht="6" customHeight="1">
      <c r="B53" s="501"/>
      <c r="H53" s="497"/>
      <c r="J53" s="499"/>
      <c r="K53" s="512"/>
      <c r="L53" s="512"/>
      <c r="N53" s="511"/>
      <c r="P53" s="528"/>
      <c r="S53" s="512"/>
    </row>
    <row r="54" spans="1:19" ht="14.25" customHeight="1">
      <c r="B54" s="486" t="s">
        <v>3368</v>
      </c>
      <c r="H54" s="497"/>
      <c r="J54" s="499"/>
      <c r="K54" s="512"/>
      <c r="L54" s="512"/>
      <c r="N54" s="511"/>
      <c r="P54" s="528"/>
      <c r="S54" s="512"/>
    </row>
    <row r="55" spans="1:19" ht="6" customHeight="1">
      <c r="B55" s="501"/>
      <c r="H55" s="497"/>
      <c r="J55" s="499"/>
      <c r="K55" s="512"/>
      <c r="L55" s="512"/>
      <c r="N55" s="511"/>
      <c r="P55" s="528"/>
      <c r="S55" s="512"/>
    </row>
    <row r="56" spans="1:19" ht="13.5">
      <c r="B56" s="701" t="s">
        <v>3408</v>
      </c>
      <c r="C56" s="486" t="s">
        <v>3370</v>
      </c>
      <c r="H56" s="497"/>
      <c r="J56" s="499"/>
      <c r="K56" s="512"/>
      <c r="L56" s="512"/>
      <c r="N56" s="511"/>
      <c r="P56" s="528"/>
      <c r="S56" s="512"/>
    </row>
    <row r="57" spans="1:19" ht="27.75" customHeight="1">
      <c r="B57" s="701" t="s">
        <v>3408</v>
      </c>
      <c r="C57" s="969" t="s">
        <v>4312</v>
      </c>
      <c r="D57" s="969"/>
      <c r="E57" s="969"/>
      <c r="F57" s="969"/>
      <c r="G57" s="969"/>
      <c r="H57" s="969"/>
      <c r="I57" s="969"/>
      <c r="J57" s="969"/>
      <c r="K57" s="512"/>
      <c r="L57" s="512"/>
      <c r="M57" s="734"/>
      <c r="N57" s="511"/>
      <c r="P57" s="528"/>
      <c r="S57" s="512"/>
    </row>
    <row r="58" spans="1:19" ht="11.15" customHeight="1">
      <c r="B58" s="701" t="s">
        <v>3408</v>
      </c>
      <c r="C58" s="529" t="s">
        <v>4596</v>
      </c>
      <c r="D58" s="701"/>
      <c r="E58" s="701"/>
      <c r="F58" s="701"/>
      <c r="H58" s="497"/>
      <c r="J58" s="499"/>
      <c r="K58" s="512"/>
      <c r="L58" s="512"/>
      <c r="N58" s="511"/>
      <c r="P58" s="528"/>
      <c r="S58" s="512"/>
    </row>
    <row r="59" spans="1:19" ht="14.25" customHeight="1">
      <c r="B59" s="486" t="s">
        <v>3369</v>
      </c>
      <c r="H59" s="497"/>
      <c r="J59" s="499"/>
      <c r="K59" s="512"/>
      <c r="L59" s="512"/>
      <c r="N59" s="511"/>
      <c r="P59" s="528"/>
      <c r="S59" s="512"/>
    </row>
    <row r="60" spans="1:19" ht="8.25" customHeight="1">
      <c r="B60" s="501"/>
      <c r="H60" s="497"/>
      <c r="J60" s="499"/>
      <c r="K60" s="512"/>
      <c r="L60" s="512"/>
      <c r="N60" s="511"/>
      <c r="P60" s="528"/>
      <c r="S60" s="512"/>
    </row>
    <row r="61" spans="1:19" ht="13.5">
      <c r="B61" s="501"/>
      <c r="H61" s="497" t="s">
        <v>4583</v>
      </c>
      <c r="I61" s="498"/>
      <c r="J61" s="499" t="s">
        <v>4319</v>
      </c>
      <c r="K61" s="512"/>
      <c r="L61" s="512"/>
      <c r="N61" s="511"/>
      <c r="P61" s="528"/>
      <c r="S61" s="512"/>
    </row>
    <row r="62" spans="1:19" ht="13.5">
      <c r="B62" s="501"/>
      <c r="H62" s="497" t="s">
        <v>1921</v>
      </c>
      <c r="I62" s="498"/>
      <c r="J62" s="499" t="s">
        <v>1921</v>
      </c>
      <c r="K62" s="512"/>
      <c r="L62" s="512"/>
      <c r="N62" s="511"/>
      <c r="P62" s="528"/>
      <c r="S62" s="512"/>
    </row>
    <row r="63" spans="1:19" ht="7.5" customHeight="1">
      <c r="B63" s="501"/>
      <c r="H63" s="497"/>
      <c r="I63" s="498"/>
      <c r="J63" s="499"/>
      <c r="K63" s="512"/>
      <c r="L63" s="512"/>
      <c r="N63" s="511"/>
      <c r="P63" s="528"/>
      <c r="S63" s="512"/>
    </row>
    <row r="64" spans="1:19" ht="14.9" customHeight="1">
      <c r="B64" s="529" t="s">
        <v>4596</v>
      </c>
      <c r="H64" s="497" t="e">
        <f>-#REF!</f>
        <v>#REF!</v>
      </c>
      <c r="I64" s="498"/>
      <c r="J64" s="499">
        <v>0</v>
      </c>
      <c r="K64" s="512"/>
      <c r="L64" s="512"/>
      <c r="N64" s="511"/>
      <c r="P64" s="528"/>
      <c r="S64" s="512"/>
    </row>
    <row r="65" spans="1:19" ht="16" customHeight="1" thickBot="1">
      <c r="B65" s="529" t="s">
        <v>4597</v>
      </c>
      <c r="H65" s="634" t="e">
        <f>-#REF!</f>
        <v>#REF!</v>
      </c>
      <c r="I65" s="530"/>
      <c r="J65" s="637">
        <v>6713834</v>
      </c>
      <c r="K65" s="512"/>
      <c r="L65" s="512"/>
      <c r="N65" s="511"/>
      <c r="P65" s="528"/>
      <c r="S65" s="512"/>
    </row>
    <row r="66" spans="1:19" ht="14.5" thickTop="1" thickBot="1">
      <c r="B66" s="529"/>
      <c r="H66" s="634" t="e">
        <f>SUM(H64:H65)</f>
        <v>#REF!</v>
      </c>
      <c r="I66" s="530"/>
      <c r="J66" s="637">
        <f>SUM(J64:J65)</f>
        <v>6713834</v>
      </c>
      <c r="K66" s="512"/>
      <c r="L66" s="512"/>
      <c r="N66" s="511"/>
      <c r="P66" s="528"/>
      <c r="S66" s="512"/>
    </row>
    <row r="67" spans="1:19" ht="12" customHeight="1" thickTop="1">
      <c r="C67" s="519"/>
      <c r="J67" s="499"/>
      <c r="K67" s="512"/>
      <c r="L67" s="512"/>
      <c r="N67" s="511"/>
      <c r="P67" s="528"/>
      <c r="S67" s="512"/>
    </row>
    <row r="68" spans="1:19" ht="7.5" hidden="1" customHeight="1">
      <c r="B68" s="501"/>
      <c r="J68" s="499"/>
      <c r="K68" s="512"/>
      <c r="L68" s="512"/>
      <c r="N68" s="511"/>
      <c r="P68" s="528"/>
      <c r="S68" s="512"/>
    </row>
    <row r="69" spans="1:19" ht="15.75" customHeight="1">
      <c r="A69" s="488" t="s">
        <v>422</v>
      </c>
      <c r="B69" s="489"/>
      <c r="C69" s="489"/>
      <c r="D69" s="489"/>
      <c r="E69" s="489"/>
      <c r="F69" s="490"/>
      <c r="G69" s="490"/>
      <c r="H69" s="491"/>
      <c r="I69" s="490"/>
      <c r="J69" s="490"/>
      <c r="K69" s="490"/>
      <c r="L69" s="490"/>
      <c r="M69" s="490"/>
      <c r="N69" s="490"/>
      <c r="O69" s="489"/>
      <c r="P69" s="489"/>
      <c r="Q69" s="489"/>
    </row>
    <row r="70" spans="1:19" ht="9.75" customHeight="1">
      <c r="A70" s="492"/>
      <c r="F70" s="490"/>
      <c r="G70" s="490"/>
      <c r="H70" s="491"/>
      <c r="I70" s="490"/>
      <c r="J70" s="490"/>
      <c r="K70" s="490"/>
      <c r="L70" s="490"/>
      <c r="M70" s="490"/>
      <c r="N70" s="490"/>
      <c r="O70" s="489"/>
      <c r="P70" s="489"/>
      <c r="Q70" s="489"/>
    </row>
    <row r="71" spans="1:19" s="484" customFormat="1" ht="13.5">
      <c r="A71" s="492" t="s">
        <v>3039</v>
      </c>
      <c r="B71" s="489"/>
      <c r="C71" s="489"/>
      <c r="D71" s="489"/>
      <c r="E71" s="490"/>
      <c r="F71" s="489"/>
      <c r="G71" s="489"/>
      <c r="H71" s="493"/>
    </row>
    <row r="72" spans="1:19" ht="13.5">
      <c r="A72" s="494" t="s">
        <v>4582</v>
      </c>
      <c r="B72" s="494"/>
      <c r="C72" s="494"/>
      <c r="D72" s="494"/>
      <c r="E72" s="494"/>
      <c r="F72" s="495"/>
      <c r="G72" s="495"/>
      <c r="H72" s="496"/>
      <c r="I72" s="495"/>
      <c r="J72" s="495"/>
      <c r="K72" s="490"/>
      <c r="L72" s="490"/>
      <c r="M72" s="490"/>
      <c r="N72" s="490"/>
      <c r="O72" s="489"/>
      <c r="P72" s="489"/>
      <c r="Q72" s="489"/>
    </row>
    <row r="73" spans="1:19" ht="12" customHeight="1">
      <c r="F73" s="490"/>
      <c r="G73" s="490"/>
      <c r="H73" s="491"/>
      <c r="I73" s="490"/>
      <c r="J73" s="490"/>
      <c r="K73" s="490"/>
      <c r="L73" s="490"/>
      <c r="M73" s="490"/>
      <c r="N73" s="490"/>
      <c r="O73" s="489"/>
      <c r="P73" s="489"/>
      <c r="Q73" s="489"/>
    </row>
    <row r="74" spans="1:19" ht="13.5">
      <c r="A74" s="527" t="s">
        <v>387</v>
      </c>
      <c r="B74" s="967" t="s">
        <v>3557</v>
      </c>
      <c r="C74" s="968"/>
      <c r="D74" s="968"/>
      <c r="E74" s="968"/>
      <c r="F74" s="968"/>
      <c r="G74" s="487"/>
      <c r="H74" s="497" t="s">
        <v>4583</v>
      </c>
      <c r="I74" s="498"/>
      <c r="J74" s="499" t="s">
        <v>4319</v>
      </c>
      <c r="K74" s="512"/>
      <c r="L74" s="512"/>
      <c r="N74" s="511"/>
      <c r="P74" s="528"/>
      <c r="S74" s="512"/>
    </row>
    <row r="75" spans="1:19" ht="13.5" customHeight="1">
      <c r="A75" s="527"/>
      <c r="B75" s="743"/>
      <c r="C75" s="521"/>
      <c r="D75" s="521"/>
      <c r="E75" s="521"/>
      <c r="F75" s="521"/>
      <c r="G75" s="487"/>
      <c r="H75" s="497" t="s">
        <v>1921</v>
      </c>
      <c r="I75" s="498"/>
      <c r="J75" s="499" t="s">
        <v>1921</v>
      </c>
      <c r="K75" s="512"/>
      <c r="L75" s="512"/>
      <c r="N75" s="511"/>
      <c r="P75" s="528"/>
      <c r="S75" s="512"/>
    </row>
    <row r="76" spans="1:19" ht="13.5">
      <c r="A76" s="527"/>
      <c r="B76" s="519" t="s">
        <v>1920</v>
      </c>
      <c r="C76" s="521"/>
      <c r="D76" s="521"/>
      <c r="E76" s="521"/>
      <c r="F76" s="521"/>
      <c r="G76" s="487"/>
      <c r="H76" s="497"/>
      <c r="I76" s="498"/>
      <c r="J76" s="499"/>
      <c r="K76" s="512"/>
      <c r="L76" s="512"/>
      <c r="N76" s="511"/>
      <c r="P76" s="528"/>
      <c r="S76" s="512"/>
    </row>
    <row r="77" spans="1:19" ht="6" customHeight="1">
      <c r="A77" s="527"/>
      <c r="B77" s="743"/>
      <c r="C77" s="521"/>
      <c r="D77" s="521"/>
      <c r="E77" s="521"/>
      <c r="F77" s="521"/>
      <c r="G77" s="487"/>
      <c r="H77" s="497"/>
      <c r="I77" s="498"/>
      <c r="J77" s="499"/>
      <c r="K77" s="512"/>
      <c r="L77" s="512"/>
      <c r="N77" s="511"/>
      <c r="P77" s="528"/>
      <c r="S77" s="512"/>
    </row>
    <row r="78" spans="1:19" ht="13.5" customHeight="1">
      <c r="B78" s="519" t="s">
        <v>3558</v>
      </c>
      <c r="C78" s="519"/>
      <c r="D78" s="519"/>
      <c r="E78" s="519"/>
      <c r="F78" s="519"/>
      <c r="H78" s="497"/>
      <c r="J78" s="499"/>
      <c r="K78" s="512"/>
      <c r="L78" s="512"/>
      <c r="N78" s="511"/>
      <c r="P78" s="528"/>
      <c r="S78" s="512"/>
    </row>
    <row r="79" spans="1:19" ht="6.75" customHeight="1">
      <c r="B79" s="493"/>
      <c r="C79" s="498"/>
      <c r="D79" s="521"/>
      <c r="E79" s="521"/>
      <c r="F79" s="521"/>
      <c r="G79" s="521"/>
      <c r="H79" s="524"/>
      <c r="J79" s="514"/>
      <c r="K79" s="512"/>
      <c r="L79" s="512"/>
      <c r="N79" s="511"/>
      <c r="P79" s="528"/>
      <c r="S79" s="512"/>
    </row>
    <row r="80" spans="1:19" ht="13.5" customHeight="1">
      <c r="B80" s="489" t="s">
        <v>15</v>
      </c>
      <c r="C80" s="521"/>
      <c r="D80" s="521"/>
      <c r="E80" s="521"/>
      <c r="F80" s="521"/>
      <c r="G80" s="521"/>
      <c r="H80" s="524"/>
      <c r="J80" s="514"/>
      <c r="K80" s="512"/>
      <c r="L80" s="512"/>
      <c r="N80" s="511"/>
      <c r="P80" s="528"/>
      <c r="S80" s="512"/>
    </row>
    <row r="81" spans="1:21" ht="4.5" customHeight="1">
      <c r="K81" s="512"/>
      <c r="L81" s="512"/>
      <c r="N81" s="511"/>
      <c r="P81" s="528"/>
      <c r="S81" s="512"/>
    </row>
    <row r="82" spans="1:21" ht="13.5">
      <c r="B82" s="529" t="s">
        <v>3405</v>
      </c>
      <c r="C82" s="521"/>
      <c r="D82" s="521"/>
      <c r="E82" s="521"/>
      <c r="F82" s="521"/>
      <c r="G82" s="521"/>
      <c r="H82" s="632" t="e">
        <f>ROUND(#REF!,0)</f>
        <v>#REF!</v>
      </c>
      <c r="J82" s="635">
        <v>4269966</v>
      </c>
      <c r="K82" s="512"/>
      <c r="L82" s="512"/>
      <c r="N82" s="511"/>
      <c r="P82" s="528"/>
      <c r="S82" s="512"/>
    </row>
    <row r="83" spans="1:21" ht="13.5">
      <c r="B83" s="529" t="s">
        <v>3406</v>
      </c>
      <c r="C83" s="521"/>
      <c r="D83" s="521"/>
      <c r="E83" s="521"/>
      <c r="F83" s="521"/>
      <c r="G83" s="521"/>
      <c r="H83" s="632" t="e">
        <f>#REF!</f>
        <v>#REF!</v>
      </c>
      <c r="J83" s="635">
        <v>14053300</v>
      </c>
      <c r="K83" s="512"/>
      <c r="L83" s="512"/>
      <c r="N83" s="511"/>
      <c r="P83" s="528"/>
      <c r="S83" s="512"/>
    </row>
    <row r="84" spans="1:21" ht="13.5">
      <c r="B84" s="486" t="s">
        <v>4548</v>
      </c>
      <c r="C84" s="521"/>
      <c r="D84" s="521"/>
      <c r="E84" s="521"/>
      <c r="F84" s="521"/>
      <c r="G84" s="521"/>
      <c r="H84" s="632" t="e">
        <f>#REF!</f>
        <v>#REF!</v>
      </c>
      <c r="J84" s="635">
        <v>29511930</v>
      </c>
      <c r="K84" s="512"/>
      <c r="L84" s="512"/>
      <c r="M84" s="630"/>
      <c r="N84" s="511"/>
      <c r="P84" s="528"/>
      <c r="S84" s="512"/>
    </row>
    <row r="85" spans="1:21" ht="14" thickBot="1">
      <c r="B85" s="486" t="s">
        <v>4549</v>
      </c>
      <c r="C85" s="521"/>
      <c r="D85" s="521"/>
      <c r="E85" s="521"/>
      <c r="F85" s="521"/>
      <c r="G85" s="521"/>
      <c r="H85" s="634" t="e">
        <f>#REF!+#REF!+#REF!</f>
        <v>#REF!</v>
      </c>
      <c r="J85" s="637">
        <v>2712913</v>
      </c>
      <c r="K85" s="512"/>
      <c r="L85" s="512"/>
      <c r="M85" s="724"/>
      <c r="N85" s="511"/>
      <c r="P85" s="528"/>
      <c r="S85" s="512"/>
    </row>
    <row r="86" spans="1:21" ht="9" customHeight="1" thickTop="1">
      <c r="B86" s="493"/>
      <c r="C86" s="521"/>
      <c r="D86" s="521"/>
      <c r="E86" s="521"/>
      <c r="F86" s="521"/>
      <c r="G86" s="521"/>
      <c r="H86" s="544"/>
      <c r="K86" s="512"/>
      <c r="L86" s="512"/>
      <c r="N86" s="511"/>
      <c r="P86" s="528"/>
      <c r="S86" s="512"/>
    </row>
    <row r="87" spans="1:21" ht="14" thickBot="1">
      <c r="A87" s="500"/>
      <c r="B87" s="532" t="s">
        <v>59</v>
      </c>
      <c r="C87" s="529"/>
      <c r="D87" s="533"/>
      <c r="E87" s="533"/>
      <c r="F87" s="489"/>
      <c r="G87" s="489"/>
      <c r="H87" s="634" t="e">
        <f>H82+H85+H83</f>
        <v>#REF!</v>
      </c>
      <c r="I87" s="489"/>
      <c r="J87" s="637">
        <f>J82+J85+J83</f>
        <v>21036179</v>
      </c>
      <c r="K87" s="512"/>
      <c r="L87" s="512"/>
      <c r="M87" s="630"/>
      <c r="N87" s="511"/>
      <c r="P87" s="528"/>
      <c r="S87" s="512"/>
    </row>
    <row r="88" spans="1:21" ht="8.25" customHeight="1" thickTop="1">
      <c r="K88" s="512"/>
      <c r="L88" s="512"/>
      <c r="N88" s="511"/>
      <c r="P88" s="528"/>
      <c r="S88" s="512"/>
    </row>
    <row r="89" spans="1:21" ht="27" customHeight="1">
      <c r="B89" s="965" t="s">
        <v>4313</v>
      </c>
      <c r="C89" s="965"/>
      <c r="D89" s="965"/>
      <c r="E89" s="965"/>
      <c r="F89" s="965"/>
      <c r="G89" s="970"/>
      <c r="H89" s="970"/>
      <c r="I89" s="970"/>
      <c r="J89" s="970"/>
      <c r="K89" s="512"/>
      <c r="L89" s="512"/>
      <c r="M89" s="630"/>
      <c r="N89" s="511"/>
      <c r="P89" s="528"/>
      <c r="S89" s="512"/>
    </row>
    <row r="90" spans="1:21" ht="6" customHeight="1">
      <c r="B90" s="738"/>
      <c r="C90" s="738"/>
      <c r="D90" s="738"/>
      <c r="E90" s="738"/>
      <c r="F90" s="738"/>
      <c r="G90" s="738"/>
      <c r="H90" s="738"/>
      <c r="I90" s="738"/>
      <c r="J90" s="738"/>
      <c r="K90" s="512"/>
      <c r="L90" s="512"/>
      <c r="N90" s="511"/>
      <c r="P90" s="528"/>
      <c r="S90" s="512"/>
    </row>
    <row r="91" spans="1:21" ht="26.25" customHeight="1">
      <c r="A91" s="519"/>
      <c r="B91" s="964" t="s">
        <v>4612</v>
      </c>
      <c r="C91" s="964"/>
      <c r="D91" s="964"/>
      <c r="E91" s="964"/>
      <c r="F91" s="964"/>
      <c r="G91" s="964"/>
      <c r="H91" s="964"/>
      <c r="I91" s="964"/>
      <c r="J91" s="964"/>
      <c r="K91" s="518"/>
      <c r="L91" s="508"/>
      <c r="M91" s="490"/>
      <c r="N91" s="526"/>
      <c r="O91" s="489"/>
      <c r="P91" s="489"/>
      <c r="Q91" s="489"/>
      <c r="R91" s="489"/>
      <c r="S91" s="518"/>
      <c r="T91" s="489"/>
      <c r="U91" s="511"/>
    </row>
    <row r="92" spans="1:21" ht="6" customHeight="1">
      <c r="A92" s="519"/>
      <c r="B92" s="631"/>
      <c r="C92" s="631"/>
      <c r="D92" s="631"/>
      <c r="E92" s="631"/>
      <c r="F92" s="631"/>
      <c r="G92" s="631"/>
      <c r="H92" s="631"/>
      <c r="I92" s="631"/>
      <c r="J92" s="631"/>
      <c r="K92" s="518"/>
      <c r="L92" s="508"/>
      <c r="M92" s="490"/>
      <c r="N92" s="526"/>
      <c r="O92" s="489"/>
      <c r="P92" s="489"/>
      <c r="Q92" s="489"/>
      <c r="R92" s="489"/>
      <c r="S92" s="518"/>
      <c r="T92" s="489"/>
      <c r="U92" s="511"/>
    </row>
    <row r="93" spans="1:21" ht="26.25" customHeight="1">
      <c r="A93" s="519"/>
      <c r="B93" s="964" t="s">
        <v>4627</v>
      </c>
      <c r="C93" s="964"/>
      <c r="D93" s="964"/>
      <c r="E93" s="964"/>
      <c r="F93" s="964"/>
      <c r="G93" s="964"/>
      <c r="H93" s="964"/>
      <c r="I93" s="964"/>
      <c r="J93" s="964"/>
      <c r="K93" s="518"/>
      <c r="L93" s="508"/>
      <c r="M93" s="490"/>
      <c r="N93" s="526"/>
      <c r="O93" s="489"/>
      <c r="P93" s="489"/>
      <c r="Q93" s="489"/>
      <c r="R93" s="489"/>
      <c r="S93" s="518"/>
      <c r="T93" s="489"/>
      <c r="U93" s="511"/>
    </row>
    <row r="94" spans="1:21" ht="6" customHeight="1">
      <c r="B94" s="738"/>
      <c r="C94" s="738"/>
      <c r="D94" s="738"/>
      <c r="E94" s="738"/>
      <c r="F94" s="738"/>
      <c r="G94" s="738"/>
      <c r="H94" s="738"/>
      <c r="I94" s="738"/>
      <c r="J94" s="738"/>
      <c r="K94" s="512"/>
      <c r="L94" s="512"/>
      <c r="N94" s="511"/>
      <c r="P94" s="528"/>
      <c r="S94" s="512"/>
    </row>
    <row r="95" spans="1:21" ht="13.5">
      <c r="B95" s="519" t="s">
        <v>3559</v>
      </c>
      <c r="C95" s="519" t="s">
        <v>426</v>
      </c>
      <c r="D95" s="519"/>
      <c r="E95" s="519"/>
      <c r="F95" s="519"/>
      <c r="G95" s="519"/>
      <c r="H95" s="493"/>
      <c r="I95" s="489"/>
      <c r="J95" s="489"/>
      <c r="K95" s="512"/>
      <c r="L95" s="512"/>
      <c r="N95" s="511"/>
      <c r="P95" s="528"/>
      <c r="S95" s="512"/>
    </row>
    <row r="96" spans="1:21" ht="3.75" customHeight="1">
      <c r="A96" s="500"/>
      <c r="B96" s="501"/>
      <c r="H96" s="493"/>
      <c r="I96" s="489"/>
      <c r="J96" s="489"/>
      <c r="K96" s="512"/>
      <c r="L96" s="512"/>
      <c r="N96" s="511"/>
      <c r="P96" s="528"/>
      <c r="S96" s="512"/>
    </row>
    <row r="97" spans="1:19" ht="13.5">
      <c r="A97" s="500"/>
      <c r="B97" s="972" t="s">
        <v>4568</v>
      </c>
      <c r="C97" s="972"/>
      <c r="D97" s="972"/>
      <c r="E97" s="972"/>
      <c r="F97" s="972"/>
      <c r="G97" s="972"/>
      <c r="H97" s="972"/>
      <c r="I97" s="972"/>
      <c r="J97" s="972"/>
      <c r="K97" s="512"/>
      <c r="L97" s="512"/>
      <c r="N97" s="511"/>
      <c r="P97" s="528"/>
      <c r="S97" s="512"/>
    </row>
    <row r="98" spans="1:19" ht="3.75" customHeight="1">
      <c r="A98" s="500"/>
      <c r="B98" s="641"/>
      <c r="C98" s="641"/>
      <c r="D98" s="641"/>
      <c r="E98" s="641"/>
      <c r="F98" s="641"/>
      <c r="G98" s="641"/>
      <c r="H98" s="641"/>
      <c r="I98" s="641"/>
      <c r="J98" s="641"/>
      <c r="K98" s="512"/>
      <c r="L98" s="512"/>
      <c r="N98" s="511"/>
      <c r="P98" s="528"/>
      <c r="S98" s="512"/>
    </row>
    <row r="99" spans="1:19" ht="13.5">
      <c r="A99" s="500"/>
      <c r="B99" s="489"/>
      <c r="C99" s="489"/>
      <c r="D99" s="489"/>
      <c r="E99" s="489"/>
      <c r="F99" s="489"/>
      <c r="G99" s="489"/>
      <c r="H99" s="497" t="s">
        <v>4583</v>
      </c>
      <c r="I99" s="498"/>
      <c r="J99" s="499" t="s">
        <v>4319</v>
      </c>
      <c r="K99" s="512"/>
      <c r="L99" s="512"/>
      <c r="N99" s="511"/>
      <c r="P99" s="528"/>
      <c r="S99" s="512"/>
    </row>
    <row r="100" spans="1:19" ht="13.5">
      <c r="A100" s="500"/>
      <c r="B100" s="489"/>
      <c r="C100" s="489"/>
      <c r="D100" s="489"/>
      <c r="E100" s="489"/>
      <c r="F100" s="489"/>
      <c r="G100" s="489"/>
      <c r="H100" s="497" t="s">
        <v>1921</v>
      </c>
      <c r="I100" s="498"/>
      <c r="J100" s="499" t="s">
        <v>1921</v>
      </c>
      <c r="K100" s="512"/>
      <c r="L100" s="512"/>
      <c r="N100" s="511"/>
      <c r="P100" s="528"/>
      <c r="S100" s="512"/>
    </row>
    <row r="101" spans="1:19" ht="7.5" customHeight="1">
      <c r="A101" s="500"/>
      <c r="B101" s="489"/>
      <c r="C101" s="489"/>
      <c r="D101" s="489"/>
      <c r="E101" s="489"/>
      <c r="F101" s="489"/>
      <c r="G101" s="489"/>
      <c r="H101" s="493"/>
      <c r="I101" s="489"/>
      <c r="J101" s="489"/>
      <c r="K101" s="512"/>
      <c r="L101" s="512"/>
      <c r="N101" s="511"/>
      <c r="P101" s="528"/>
      <c r="S101" s="512"/>
    </row>
    <row r="102" spans="1:19" ht="12.75" customHeight="1">
      <c r="A102" s="500"/>
      <c r="B102" s="973" t="s">
        <v>4570</v>
      </c>
      <c r="C102" s="973"/>
      <c r="D102" s="489"/>
      <c r="E102" s="489"/>
      <c r="F102" s="489"/>
      <c r="G102" s="489"/>
      <c r="H102" s="544">
        <v>1492390.85</v>
      </c>
      <c r="I102" s="489"/>
      <c r="J102" s="544">
        <v>791744</v>
      </c>
      <c r="K102" s="512"/>
      <c r="L102" s="512"/>
      <c r="N102" s="511"/>
      <c r="P102" s="528"/>
      <c r="S102" s="512"/>
    </row>
    <row r="103" spans="1:19" ht="14" thickBot="1">
      <c r="A103" s="500"/>
      <c r="B103" s="489" t="s">
        <v>4569</v>
      </c>
      <c r="C103" s="508"/>
      <c r="D103" s="508"/>
      <c r="E103" s="508"/>
      <c r="F103" s="489"/>
      <c r="G103" s="489"/>
      <c r="H103" s="717">
        <f>(120000)*12+(93700)*12+(67993.2)*7+(70000)*7+(66275)*7</f>
        <v>3994277.4</v>
      </c>
      <c r="I103" s="489"/>
      <c r="J103" s="717">
        <f>(93700+5500+4500+59200+211840+67993.2+66275+45000+40000)*12</f>
        <v>7128098.3999999994</v>
      </c>
      <c r="K103" s="512"/>
      <c r="L103" s="512"/>
      <c r="N103" s="511"/>
      <c r="P103" s="528"/>
      <c r="S103" s="512"/>
    </row>
    <row r="104" spans="1:19" ht="4.5" customHeight="1" thickTop="1">
      <c r="A104" s="500"/>
      <c r="B104" s="489"/>
      <c r="C104" s="508"/>
      <c r="D104" s="508"/>
      <c r="E104" s="508"/>
      <c r="F104" s="489"/>
      <c r="G104" s="489"/>
      <c r="H104" s="518"/>
      <c r="I104" s="489"/>
      <c r="J104" s="624"/>
      <c r="K104" s="512"/>
      <c r="L104" s="512"/>
      <c r="N104" s="511"/>
      <c r="P104" s="528"/>
      <c r="S104" s="512"/>
    </row>
    <row r="105" spans="1:19" ht="13.5">
      <c r="A105" s="500">
        <v>22</v>
      </c>
      <c r="B105" s="493" t="s">
        <v>4613</v>
      </c>
      <c r="C105" s="508"/>
      <c r="D105" s="508"/>
      <c r="E105" s="508"/>
      <c r="F105" s="489"/>
      <c r="G105" s="489"/>
      <c r="H105" s="518"/>
      <c r="I105" s="489"/>
      <c r="J105" s="624"/>
      <c r="K105" s="512"/>
      <c r="L105" s="512"/>
      <c r="N105" s="511"/>
      <c r="P105" s="528"/>
      <c r="S105" s="512"/>
    </row>
    <row r="106" spans="1:19" ht="4.5" customHeight="1">
      <c r="A106" s="500"/>
      <c r="B106" s="493"/>
      <c r="C106" s="508"/>
      <c r="D106" s="508"/>
      <c r="E106" s="508"/>
      <c r="F106" s="489"/>
      <c r="G106" s="489"/>
      <c r="H106" s="518"/>
      <c r="I106" s="489"/>
      <c r="J106" s="624"/>
      <c r="K106" s="512"/>
      <c r="L106" s="512"/>
      <c r="N106" s="511"/>
      <c r="P106" s="528"/>
      <c r="S106" s="512"/>
    </row>
    <row r="107" spans="1:19" ht="13.5">
      <c r="A107" s="500"/>
      <c r="B107" s="489" t="s">
        <v>16</v>
      </c>
      <c r="C107" s="508"/>
      <c r="D107" s="508"/>
      <c r="E107" s="508"/>
      <c r="F107" s="489"/>
      <c r="G107" s="489"/>
      <c r="H107" s="518">
        <v>12318099</v>
      </c>
      <c r="I107" s="489"/>
      <c r="J107" s="624">
        <v>12318099</v>
      </c>
      <c r="K107" s="512"/>
      <c r="L107" s="512"/>
      <c r="N107" s="511"/>
      <c r="P107" s="528"/>
      <c r="S107" s="512"/>
    </row>
    <row r="108" spans="1:19" ht="13.5">
      <c r="A108" s="500"/>
      <c r="B108" s="489" t="s">
        <v>4576</v>
      </c>
      <c r="C108" s="508"/>
      <c r="D108" s="508"/>
      <c r="E108" s="508"/>
      <c r="F108" s="489"/>
      <c r="G108" s="489"/>
      <c r="H108" s="518">
        <v>1726840</v>
      </c>
      <c r="I108" s="489"/>
      <c r="J108" s="624">
        <v>1683998</v>
      </c>
      <c r="K108" s="512"/>
      <c r="L108" s="512"/>
      <c r="N108" s="511"/>
      <c r="P108" s="528"/>
      <c r="S108" s="512"/>
    </row>
    <row r="109" spans="1:19" ht="13.5">
      <c r="A109" s="500"/>
      <c r="B109" s="489" t="s">
        <v>4578</v>
      </c>
      <c r="C109" s="508"/>
      <c r="D109" s="508"/>
      <c r="E109" s="508"/>
      <c r="F109" s="489"/>
      <c r="G109" s="489"/>
      <c r="H109" s="518">
        <v>-6381266</v>
      </c>
      <c r="I109" s="489"/>
      <c r="J109" s="624">
        <v>-5782128</v>
      </c>
      <c r="K109" s="512"/>
      <c r="L109" s="512"/>
      <c r="N109" s="511"/>
      <c r="P109" s="528"/>
      <c r="S109" s="512"/>
    </row>
    <row r="110" spans="1:19" ht="13.5">
      <c r="A110" s="500"/>
      <c r="B110" s="489" t="s">
        <v>4571</v>
      </c>
      <c r="C110" s="508"/>
      <c r="D110" s="508"/>
      <c r="E110" s="508"/>
      <c r="F110" s="489"/>
      <c r="G110" s="489"/>
      <c r="H110" s="715" t="e">
        <f>H116-(H107+H108+H109)</f>
        <v>#REF!</v>
      </c>
      <c r="I110" s="489"/>
      <c r="J110" s="625">
        <v>977687</v>
      </c>
      <c r="K110" s="512"/>
      <c r="L110" s="512"/>
      <c r="N110" s="511"/>
      <c r="P110" s="528"/>
      <c r="S110" s="512"/>
    </row>
    <row r="111" spans="1:19" ht="6" customHeight="1">
      <c r="A111" s="500"/>
      <c r="B111" s="489"/>
      <c r="C111" s="508"/>
      <c r="D111" s="508"/>
      <c r="E111" s="508"/>
      <c r="F111" s="489"/>
      <c r="G111" s="489"/>
      <c r="H111" s="518"/>
      <c r="I111" s="489"/>
      <c r="J111" s="624"/>
      <c r="K111" s="512"/>
      <c r="L111" s="512"/>
      <c r="N111" s="511"/>
      <c r="P111" s="528"/>
      <c r="S111" s="512"/>
    </row>
    <row r="112" spans="1:19" ht="0.75" customHeight="1">
      <c r="A112" s="500"/>
      <c r="B112" s="489"/>
      <c r="C112" s="508"/>
      <c r="D112" s="508"/>
      <c r="E112" s="508"/>
      <c r="F112" s="489"/>
      <c r="G112" s="489"/>
      <c r="H112" s="518"/>
      <c r="I112" s="489"/>
      <c r="J112" s="624"/>
      <c r="K112" s="512"/>
      <c r="L112" s="512"/>
      <c r="N112" s="511"/>
      <c r="P112" s="528"/>
      <c r="S112" s="512"/>
    </row>
    <row r="113" spans="1:21" ht="13.5">
      <c r="A113" s="500"/>
      <c r="B113" s="508" t="s">
        <v>4545</v>
      </c>
      <c r="D113" s="508"/>
      <c r="E113" s="508"/>
      <c r="F113" s="489"/>
      <c r="G113" s="489"/>
      <c r="H113" s="518">
        <v>2912319</v>
      </c>
      <c r="I113" s="489"/>
      <c r="J113" s="624">
        <v>6047693.6007348262</v>
      </c>
      <c r="K113" s="512"/>
      <c r="L113" s="512"/>
      <c r="N113" s="511"/>
      <c r="P113" s="528"/>
      <c r="S113" s="512"/>
    </row>
    <row r="114" spans="1:21" ht="13.5">
      <c r="A114" s="500"/>
      <c r="B114" s="508" t="s">
        <v>4546</v>
      </c>
      <c r="D114" s="508"/>
      <c r="E114" s="508"/>
      <c r="F114" s="489"/>
      <c r="G114" s="489"/>
      <c r="H114" s="518">
        <v>2733798.2821113383</v>
      </c>
      <c r="I114" s="489"/>
      <c r="J114" s="624">
        <v>3149962.2308936212</v>
      </c>
      <c r="K114" s="512"/>
      <c r="L114" s="512"/>
      <c r="N114" s="511"/>
      <c r="P114" s="528"/>
      <c r="S114" s="512"/>
    </row>
    <row r="115" spans="1:21" ht="12.75" customHeight="1">
      <c r="A115" s="500"/>
      <c r="B115" s="492" t="s">
        <v>4614</v>
      </c>
      <c r="C115" s="500"/>
      <c r="D115" s="500"/>
      <c r="E115" s="500"/>
      <c r="G115" s="489"/>
      <c r="H115" s="719"/>
      <c r="I115" s="489"/>
      <c r="J115" s="719"/>
      <c r="K115" s="512"/>
      <c r="L115" s="512"/>
      <c r="N115" s="511"/>
      <c r="P115" s="528"/>
      <c r="S115" s="512"/>
    </row>
    <row r="116" spans="1:21" ht="13.5" customHeight="1" thickBot="1">
      <c r="A116" s="500"/>
      <c r="B116" s="978" t="s">
        <v>4584</v>
      </c>
      <c r="C116" s="978"/>
      <c r="D116" s="978"/>
      <c r="E116" s="978"/>
      <c r="F116" s="978"/>
      <c r="G116" s="489"/>
      <c r="H116" s="720" t="e">
        <f>#REF!+#REF!</f>
        <v>#REF!</v>
      </c>
      <c r="I116" s="489"/>
      <c r="J116" s="720">
        <v>9197656</v>
      </c>
      <c r="K116" s="512"/>
      <c r="L116" s="512"/>
      <c r="N116" s="511"/>
      <c r="P116" s="528"/>
      <c r="S116" s="512"/>
    </row>
    <row r="117" spans="1:21" ht="10.5" customHeight="1" thickTop="1">
      <c r="A117" s="500"/>
      <c r="B117" s="489"/>
      <c r="C117" s="508"/>
      <c r="D117" s="508"/>
      <c r="E117" s="508"/>
      <c r="F117" s="489"/>
      <c r="G117" s="489"/>
      <c r="H117" s="518"/>
      <c r="I117" s="489"/>
      <c r="J117" s="624"/>
      <c r="K117" s="512"/>
      <c r="L117" s="512"/>
      <c r="N117" s="511"/>
      <c r="P117" s="528"/>
      <c r="S117" s="512"/>
    </row>
    <row r="118" spans="1:21" ht="24.75" customHeight="1">
      <c r="A118" s="500"/>
      <c r="B118" s="974" t="s">
        <v>4615</v>
      </c>
      <c r="C118" s="974"/>
      <c r="D118" s="974"/>
      <c r="E118" s="974"/>
      <c r="F118" s="974"/>
      <c r="G118" s="974"/>
      <c r="H118" s="974"/>
      <c r="I118" s="974"/>
      <c r="J118" s="974"/>
      <c r="K118" s="512"/>
      <c r="L118" s="512"/>
      <c r="N118" s="511"/>
      <c r="P118" s="528"/>
      <c r="S118" s="512"/>
    </row>
    <row r="119" spans="1:21" ht="5.25" customHeight="1">
      <c r="A119" s="500"/>
      <c r="B119" s="489"/>
      <c r="C119" s="508"/>
      <c r="D119" s="508"/>
      <c r="E119" s="508"/>
      <c r="F119" s="489"/>
      <c r="G119" s="489"/>
      <c r="H119" s="518"/>
      <c r="I119" s="489"/>
      <c r="J119" s="624"/>
      <c r="K119" s="512"/>
      <c r="L119" s="512"/>
      <c r="N119" s="511"/>
      <c r="P119" s="528"/>
      <c r="S119" s="512"/>
    </row>
    <row r="120" spans="1:21" ht="13.5">
      <c r="A120" s="519">
        <v>23</v>
      </c>
      <c r="B120" s="493" t="s">
        <v>445</v>
      </c>
      <c r="C120" s="489"/>
      <c r="H120" s="497" t="s">
        <v>4583</v>
      </c>
      <c r="I120" s="498"/>
      <c r="J120" s="499" t="s">
        <v>4319</v>
      </c>
      <c r="K120" s="518"/>
      <c r="N120" s="514"/>
      <c r="O120" s="511"/>
      <c r="P120" s="511"/>
      <c r="R120" s="512"/>
    </row>
    <row r="121" spans="1:21" ht="13.5">
      <c r="A121" s="500"/>
      <c r="F121" s="535"/>
      <c r="H121" s="497" t="s">
        <v>1921</v>
      </c>
      <c r="I121" s="498"/>
      <c r="J121" s="499" t="s">
        <v>1921</v>
      </c>
      <c r="K121" s="518"/>
      <c r="N121" s="511"/>
      <c r="O121" s="511"/>
      <c r="R121" s="512"/>
    </row>
    <row r="122" spans="1:21" ht="4.5" customHeight="1">
      <c r="A122" s="500"/>
      <c r="F122" s="535"/>
      <c r="H122" s="497"/>
      <c r="I122" s="498"/>
      <c r="J122" s="499"/>
      <c r="K122" s="518"/>
      <c r="N122" s="511"/>
      <c r="O122" s="511"/>
      <c r="R122" s="512"/>
    </row>
    <row r="123" spans="1:21" ht="13.5">
      <c r="A123" s="500"/>
      <c r="B123" s="486" t="s">
        <v>16</v>
      </c>
      <c r="H123" s="626">
        <f>J129</f>
        <v>94475312</v>
      </c>
      <c r="J123" s="624">
        <v>123049867</v>
      </c>
      <c r="K123" s="518"/>
      <c r="L123" s="536"/>
      <c r="M123" s="512"/>
      <c r="O123" s="503"/>
      <c r="S123" s="518"/>
      <c r="U123" s="514"/>
    </row>
    <row r="124" spans="1:21" ht="13.5">
      <c r="A124" s="500"/>
      <c r="B124" s="486" t="s">
        <v>3371</v>
      </c>
      <c r="H124" s="626">
        <v>0</v>
      </c>
      <c r="J124" s="624">
        <v>5806184</v>
      </c>
      <c r="K124" s="518"/>
      <c r="L124" s="537"/>
      <c r="M124" s="630"/>
      <c r="O124" s="503"/>
      <c r="S124" s="524"/>
      <c r="U124" s="511"/>
    </row>
    <row r="125" spans="1:21" ht="13.5">
      <c r="A125" s="500"/>
      <c r="B125" s="486" t="s">
        <v>3367</v>
      </c>
      <c r="H125" s="518" t="e">
        <f>-H123-H124+H129-H127-H126</f>
        <v>#REF!</v>
      </c>
      <c r="J125" s="508">
        <f>-J123-J124+J129-J127-J126</f>
        <v>-41051041</v>
      </c>
      <c r="K125" s="518"/>
      <c r="M125" s="503"/>
      <c r="N125" s="518"/>
      <c r="S125" s="518"/>
      <c r="U125" s="514"/>
    </row>
    <row r="126" spans="1:21" ht="13.5">
      <c r="B126" s="486" t="s">
        <v>3058</v>
      </c>
      <c r="H126" s="632" t="e">
        <f>ROUND(#REF!,0)-ROUND(#REF!,0)-H85-ROUND(#REF!,0)-ROUND(#REF!,0)-ROUND(#REF!,0)-ROUND(#REF!,0)</f>
        <v>#REF!</v>
      </c>
      <c r="J126" s="624">
        <v>6670302</v>
      </c>
      <c r="K126" s="489"/>
      <c r="L126" s="508"/>
      <c r="M126" s="489"/>
      <c r="N126" s="520"/>
      <c r="O126" s="489"/>
      <c r="P126" s="520"/>
      <c r="Q126" s="489"/>
    </row>
    <row r="127" spans="1:21" ht="13.5">
      <c r="A127" s="500"/>
      <c r="B127" s="486" t="s">
        <v>4619</v>
      </c>
      <c r="H127" s="633">
        <v>-9309009.9239000008</v>
      </c>
      <c r="J127" s="700">
        <v>0</v>
      </c>
      <c r="K127" s="518"/>
      <c r="L127" s="518"/>
      <c r="S127" s="518"/>
      <c r="U127" s="514"/>
    </row>
    <row r="128" spans="1:21" ht="7.5" customHeight="1">
      <c r="A128" s="500"/>
      <c r="H128" s="518"/>
      <c r="J128" s="511"/>
      <c r="K128" s="518"/>
      <c r="L128" s="511"/>
      <c r="S128" s="524"/>
      <c r="U128" s="514"/>
    </row>
    <row r="129" spans="1:21" ht="15.75" customHeight="1" thickBot="1">
      <c r="A129" s="500"/>
      <c r="B129" s="493" t="s">
        <v>89</v>
      </c>
      <c r="H129" s="634" t="e">
        <f>#REF!-#REF!+H126</f>
        <v>#REF!</v>
      </c>
      <c r="J129" s="637">
        <v>94475312</v>
      </c>
      <c r="K129" s="518"/>
      <c r="L129" s="707"/>
      <c r="M129" s="517"/>
      <c r="O129" s="503"/>
      <c r="S129" s="524"/>
      <c r="U129" s="511"/>
    </row>
    <row r="130" spans="1:21" ht="5.25" customHeight="1" thickTop="1">
      <c r="A130" s="500"/>
      <c r="B130" s="493"/>
      <c r="H130" s="639"/>
      <c r="J130" s="528"/>
      <c r="K130" s="518"/>
      <c r="L130" s="707"/>
      <c r="M130" s="501"/>
      <c r="O130" s="503"/>
      <c r="S130" s="524"/>
      <c r="U130" s="511"/>
    </row>
    <row r="131" spans="1:21" ht="14.25" customHeight="1">
      <c r="A131" s="500"/>
      <c r="B131" s="973" t="s">
        <v>4604</v>
      </c>
      <c r="C131" s="973"/>
      <c r="D131" s="973"/>
      <c r="E131" s="973"/>
      <c r="F131" s="973"/>
      <c r="G131" s="973"/>
      <c r="H131" s="973"/>
      <c r="I131" s="973"/>
      <c r="J131" s="973"/>
      <c r="K131" s="518"/>
      <c r="L131" s="707"/>
      <c r="M131" s="501"/>
      <c r="O131" s="503"/>
      <c r="S131" s="524"/>
      <c r="U131" s="511"/>
    </row>
    <row r="132" spans="1:21" ht="5.25" customHeight="1">
      <c r="A132" s="500"/>
      <c r="B132" s="493"/>
      <c r="H132" s="639"/>
      <c r="J132" s="528"/>
      <c r="K132" s="518"/>
      <c r="L132" s="707"/>
      <c r="M132" s="501"/>
      <c r="O132" s="503"/>
      <c r="S132" s="524"/>
      <c r="U132" s="511"/>
    </row>
    <row r="133" spans="1:21" ht="13.5" customHeight="1">
      <c r="A133" s="519"/>
      <c r="B133" s="975" t="s">
        <v>67</v>
      </c>
      <c r="C133" s="975"/>
      <c r="D133" s="975"/>
      <c r="E133" s="975"/>
      <c r="F133" s="975"/>
      <c r="G133" s="521"/>
      <c r="H133" s="518"/>
      <c r="I133" s="521"/>
      <c r="J133" s="538"/>
      <c r="K133" s="487"/>
      <c r="L133" s="538"/>
      <c r="N133" s="511"/>
      <c r="O133" s="511"/>
      <c r="P133" s="511"/>
      <c r="R133" s="512"/>
    </row>
    <row r="134" spans="1:21" ht="3" customHeight="1">
      <c r="A134" s="519"/>
      <c r="H134" s="518"/>
      <c r="K134" s="487"/>
      <c r="L134" s="539"/>
      <c r="M134" s="521"/>
      <c r="N134" s="521"/>
      <c r="O134" s="521"/>
      <c r="P134" s="521"/>
      <c r="R134" s="512"/>
    </row>
    <row r="135" spans="1:21" ht="13.5">
      <c r="A135" s="519"/>
      <c r="B135" s="520" t="s">
        <v>4605</v>
      </c>
      <c r="C135" s="520"/>
      <c r="D135" s="520"/>
      <c r="E135" s="520"/>
      <c r="F135" s="520"/>
      <c r="G135" s="487"/>
      <c r="H135" s="518"/>
      <c r="I135" s="487"/>
      <c r="J135" s="508"/>
      <c r="K135" s="487"/>
      <c r="L135" s="539"/>
      <c r="M135" s="540"/>
      <c r="N135" s="540"/>
      <c r="O135" s="521"/>
      <c r="P135" s="521"/>
      <c r="Q135" s="503"/>
      <c r="R135" s="512"/>
    </row>
    <row r="136" spans="1:21" ht="13.5">
      <c r="A136" s="519"/>
      <c r="B136" s="976" t="s">
        <v>4618</v>
      </c>
      <c r="C136" s="976"/>
      <c r="D136" s="976"/>
      <c r="E136" s="976"/>
      <c r="F136" s="976"/>
      <c r="H136" s="626">
        <f>D179+D180+D181+D182</f>
        <v>16499574</v>
      </c>
      <c r="J136" s="624">
        <v>35471504.5</v>
      </c>
      <c r="K136" s="487"/>
      <c r="L136" s="539"/>
      <c r="M136" s="521"/>
      <c r="N136" s="521"/>
      <c r="O136" s="521"/>
      <c r="P136" s="521"/>
      <c r="Q136" s="503"/>
      <c r="R136" s="512"/>
    </row>
    <row r="137" spans="1:21" ht="13.5">
      <c r="A137" s="500"/>
      <c r="B137" s="486" t="s">
        <v>4606</v>
      </c>
      <c r="H137" s="632">
        <f>D177+D178</f>
        <v>0</v>
      </c>
      <c r="J137" s="624">
        <v>23380910.748500001</v>
      </c>
      <c r="K137" s="518"/>
      <c r="L137" s="732" t="e">
        <f>H129-H142</f>
        <v>#REF!</v>
      </c>
      <c r="M137" s="739"/>
      <c r="N137" s="739"/>
      <c r="O137" s="739"/>
      <c r="R137" s="512"/>
    </row>
    <row r="138" spans="1:21" ht="13.5">
      <c r="A138" s="500"/>
      <c r="B138" s="520" t="s">
        <v>4607</v>
      </c>
      <c r="C138" s="520"/>
      <c r="D138" s="520"/>
      <c r="E138" s="520"/>
      <c r="F138" s="520"/>
      <c r="G138" s="487"/>
      <c r="H138" s="626">
        <f>D184+D185</f>
        <v>10480680</v>
      </c>
      <c r="J138" s="624">
        <v>9599668.8911000043</v>
      </c>
      <c r="K138" s="518"/>
      <c r="L138" s="736"/>
      <c r="M138" s="736"/>
      <c r="N138" s="662"/>
      <c r="O138" s="736"/>
      <c r="R138" s="512"/>
    </row>
    <row r="139" spans="1:21" ht="13.5">
      <c r="A139" s="519"/>
      <c r="B139" s="539" t="s">
        <v>4608</v>
      </c>
      <c r="C139" s="521"/>
      <c r="D139" s="521"/>
      <c r="E139" s="521"/>
      <c r="F139" s="521"/>
      <c r="G139" s="521"/>
      <c r="H139" s="632">
        <f>D176</f>
        <v>21560094.065000001</v>
      </c>
      <c r="I139" s="521"/>
      <c r="J139" s="624">
        <v>15203501.670399999</v>
      </c>
      <c r="K139" s="487"/>
      <c r="L139" s="539"/>
      <c r="M139" s="540"/>
      <c r="N139" s="639"/>
      <c r="O139" s="521"/>
      <c r="P139" s="521"/>
      <c r="Q139" s="503"/>
      <c r="R139" s="512"/>
    </row>
    <row r="140" spans="1:21" ht="13.5" customHeight="1">
      <c r="A140" s="519"/>
      <c r="B140" s="520" t="s">
        <v>4609</v>
      </c>
      <c r="C140" s="521"/>
      <c r="D140" s="521"/>
      <c r="E140" s="521"/>
      <c r="F140" s="521"/>
      <c r="G140" s="521"/>
      <c r="H140" s="626">
        <f>D183</f>
        <v>10675819</v>
      </c>
      <c r="I140" s="521"/>
      <c r="J140" s="624">
        <v>10819726.189999999</v>
      </c>
      <c r="K140" s="487"/>
      <c r="L140" s="721"/>
      <c r="M140" s="540"/>
      <c r="N140" s="639"/>
      <c r="O140" s="521"/>
      <c r="P140" s="521"/>
      <c r="Q140" s="503"/>
      <c r="R140" s="512"/>
    </row>
    <row r="141" spans="1:21" ht="2.25" customHeight="1">
      <c r="A141" s="500"/>
      <c r="H141" s="518"/>
      <c r="K141" s="518"/>
      <c r="L141" s="721"/>
      <c r="M141" s="521"/>
      <c r="N141" s="663"/>
      <c r="O141" s="521"/>
      <c r="P141" s="521"/>
      <c r="R141" s="512"/>
    </row>
    <row r="142" spans="1:21" ht="13.5">
      <c r="A142" s="500"/>
      <c r="H142" s="716">
        <f>SUM(H136:H141)</f>
        <v>59216167.064999998</v>
      </c>
      <c r="I142" s="531"/>
      <c r="J142" s="629">
        <v>94475312</v>
      </c>
      <c r="K142" s="518"/>
      <c r="L142" s="630">
        <f>J129-J142</f>
        <v>0</v>
      </c>
      <c r="N142" s="664"/>
      <c r="O142" s="511"/>
      <c r="P142" s="511"/>
      <c r="R142" s="512"/>
    </row>
    <row r="143" spans="1:21" ht="13.5">
      <c r="A143" s="500"/>
      <c r="B143" s="532" t="s">
        <v>322</v>
      </c>
      <c r="C143" s="529"/>
      <c r="D143" s="533"/>
      <c r="E143" s="533"/>
      <c r="F143" s="489"/>
      <c r="G143" s="489"/>
      <c r="H143" s="715">
        <f>H136+H137+H138+H140+H139</f>
        <v>59216167.064999998</v>
      </c>
      <c r="I143" s="489"/>
      <c r="J143" s="579">
        <v>-79271810.329600006</v>
      </c>
      <c r="K143" s="489"/>
      <c r="L143" s="508"/>
      <c r="M143" s="490"/>
      <c r="N143" s="528"/>
      <c r="O143" s="489"/>
      <c r="P143" s="489"/>
      <c r="Q143" s="489"/>
      <c r="R143" s="489"/>
      <c r="S143" s="518"/>
      <c r="T143" s="489"/>
      <c r="U143" s="511"/>
    </row>
    <row r="144" spans="1:21" ht="6.75" customHeight="1">
      <c r="A144" s="500"/>
      <c r="B144" s="532"/>
      <c r="C144" s="529"/>
      <c r="D144" s="529"/>
      <c r="E144" s="529"/>
      <c r="F144" s="489"/>
      <c r="G144" s="489"/>
      <c r="H144" s="518"/>
      <c r="I144" s="489"/>
      <c r="J144" s="511"/>
      <c r="K144" s="489"/>
      <c r="L144" s="541"/>
      <c r="M144" s="490"/>
      <c r="N144" s="490"/>
      <c r="O144" s="489"/>
      <c r="P144" s="489"/>
      <c r="Q144" s="489"/>
      <c r="R144" s="489"/>
      <c r="S144" s="518"/>
      <c r="T144" s="489"/>
      <c r="U144" s="511"/>
    </row>
    <row r="145" spans="1:21" ht="14" thickBot="1">
      <c r="A145" s="500"/>
      <c r="B145" s="529" t="s">
        <v>60</v>
      </c>
      <c r="C145" s="533"/>
      <c r="D145" s="533"/>
      <c r="E145" s="533"/>
      <c r="F145" s="489"/>
      <c r="G145" s="489"/>
      <c r="H145" s="690">
        <f>H142-H143</f>
        <v>0</v>
      </c>
      <c r="I145" s="489"/>
      <c r="J145" s="637">
        <v>15203501.670399999</v>
      </c>
      <c r="K145" s="489"/>
      <c r="L145" s="508"/>
      <c r="M145" s="490"/>
      <c r="N145" s="490"/>
      <c r="O145" s="489"/>
      <c r="P145" s="489"/>
      <c r="Q145" s="489"/>
      <c r="R145" s="489"/>
      <c r="S145" s="518"/>
      <c r="T145" s="489"/>
      <c r="U145" s="511"/>
    </row>
    <row r="146" spans="1:21" ht="3.75" customHeight="1" thickTop="1">
      <c r="A146" s="500"/>
      <c r="H146" s="541"/>
      <c r="J146" s="508"/>
      <c r="K146" s="518"/>
      <c r="L146" s="508"/>
      <c r="M146" s="490"/>
      <c r="N146" s="490"/>
      <c r="O146" s="489"/>
      <c r="P146" s="489"/>
      <c r="Q146" s="489"/>
      <c r="R146" s="489"/>
      <c r="S146" s="518"/>
      <c r="T146" s="489"/>
      <c r="U146" s="511"/>
    </row>
    <row r="147" spans="1:21" ht="15.75" customHeight="1">
      <c r="A147" s="488" t="s">
        <v>422</v>
      </c>
      <c r="B147" s="489"/>
      <c r="C147" s="489"/>
      <c r="D147" s="489"/>
      <c r="E147" s="489"/>
      <c r="F147" s="490"/>
      <c r="G147" s="490"/>
      <c r="H147" s="491"/>
      <c r="I147" s="490"/>
      <c r="J147" s="490"/>
      <c r="K147" s="490"/>
      <c r="L147" s="490"/>
      <c r="M147" s="490"/>
      <c r="N147" s="490"/>
      <c r="O147" s="489"/>
      <c r="P147" s="489"/>
      <c r="Q147" s="489"/>
    </row>
    <row r="148" spans="1:21" ht="9.75" customHeight="1">
      <c r="A148" s="492"/>
      <c r="F148" s="490"/>
      <c r="G148" s="490"/>
      <c r="H148" s="491"/>
      <c r="I148" s="490"/>
      <c r="J148" s="490"/>
      <c r="K148" s="490"/>
      <c r="L148" s="490"/>
      <c r="M148" s="490"/>
      <c r="N148" s="490"/>
      <c r="O148" s="489"/>
      <c r="P148" s="489"/>
      <c r="Q148" s="489"/>
    </row>
    <row r="149" spans="1:21" s="484" customFormat="1" ht="13.5">
      <c r="A149" s="492" t="s">
        <v>3039</v>
      </c>
      <c r="B149" s="489"/>
      <c r="C149" s="489"/>
      <c r="D149" s="489"/>
      <c r="E149" s="490"/>
      <c r="F149" s="489"/>
      <c r="G149" s="489"/>
      <c r="H149" s="493"/>
    </row>
    <row r="150" spans="1:21" ht="13.5">
      <c r="A150" s="494" t="s">
        <v>4582</v>
      </c>
      <c r="B150" s="494"/>
      <c r="C150" s="494"/>
      <c r="D150" s="494"/>
      <c r="E150" s="494"/>
      <c r="F150" s="495"/>
      <c r="G150" s="495"/>
      <c r="H150" s="496"/>
      <c r="I150" s="495"/>
      <c r="J150" s="495"/>
      <c r="K150" s="490"/>
      <c r="L150" s="490"/>
      <c r="M150" s="490"/>
      <c r="N150" s="490"/>
      <c r="O150" s="489"/>
      <c r="P150" s="489"/>
      <c r="Q150" s="489"/>
    </row>
    <row r="151" spans="1:21" ht="7.5" customHeight="1">
      <c r="F151" s="490"/>
      <c r="G151" s="490"/>
      <c r="H151" s="491"/>
      <c r="I151" s="490"/>
      <c r="J151" s="490"/>
      <c r="K151" s="490"/>
      <c r="L151" s="490"/>
      <c r="M151" s="490"/>
      <c r="N151" s="490"/>
      <c r="O151" s="489"/>
      <c r="P151" s="489"/>
      <c r="Q151" s="489"/>
    </row>
    <row r="152" spans="1:21" ht="13.5">
      <c r="A152" s="527" t="s">
        <v>4573</v>
      </c>
      <c r="B152" s="967" t="s">
        <v>4572</v>
      </c>
      <c r="C152" s="968"/>
      <c r="D152" s="968"/>
      <c r="E152" s="968"/>
      <c r="F152" s="968"/>
      <c r="G152" s="487"/>
      <c r="H152" s="497"/>
      <c r="I152" s="498"/>
      <c r="J152" s="499"/>
      <c r="K152" s="512"/>
      <c r="L152" s="512"/>
      <c r="N152" s="511"/>
      <c r="P152" s="528"/>
      <c r="S152" s="512"/>
    </row>
    <row r="153" spans="1:21" ht="12.75" customHeight="1">
      <c r="A153" s="519"/>
      <c r="B153" s="964" t="s">
        <v>3055</v>
      </c>
      <c r="C153" s="964"/>
      <c r="D153" s="964"/>
      <c r="E153" s="964"/>
      <c r="F153" s="964"/>
      <c r="G153" s="964"/>
      <c r="H153" s="964"/>
      <c r="I153" s="964"/>
      <c r="J153" s="964"/>
      <c r="K153" s="518"/>
      <c r="L153" s="508"/>
      <c r="M153" s="490"/>
      <c r="N153" s="490"/>
      <c r="O153" s="489"/>
      <c r="P153" s="489"/>
      <c r="Q153" s="489"/>
      <c r="R153" s="489"/>
      <c r="S153" s="518"/>
      <c r="T153" s="489"/>
      <c r="U153" s="511"/>
    </row>
    <row r="154" spans="1:21" ht="6" customHeight="1">
      <c r="A154" s="519"/>
      <c r="B154" s="631"/>
      <c r="C154" s="631"/>
      <c r="D154" s="631"/>
      <c r="E154" s="631"/>
      <c r="F154" s="631"/>
      <c r="H154" s="541"/>
      <c r="J154" s="508"/>
      <c r="K154" s="518"/>
      <c r="L154" s="508"/>
      <c r="M154" s="490"/>
      <c r="N154" s="490"/>
      <c r="O154" s="489"/>
      <c r="P154" s="489"/>
      <c r="Q154" s="489"/>
      <c r="R154" s="489"/>
      <c r="S154" s="518"/>
      <c r="T154" s="489"/>
      <c r="U154" s="511"/>
    </row>
    <row r="155" spans="1:21" ht="13.5" customHeight="1">
      <c r="A155" s="527" t="s">
        <v>1929</v>
      </c>
      <c r="B155" s="977" t="s">
        <v>3390</v>
      </c>
      <c r="C155" s="977"/>
      <c r="D155" s="977"/>
      <c r="E155" s="977"/>
      <c r="F155" s="977"/>
      <c r="G155" s="977"/>
      <c r="H155" s="977"/>
      <c r="I155" s="977"/>
      <c r="J155" s="977"/>
      <c r="K155" s="518"/>
      <c r="L155" s="508"/>
      <c r="M155" s="490"/>
      <c r="N155" s="490"/>
      <c r="O155" s="489"/>
      <c r="P155" s="489"/>
      <c r="Q155" s="489"/>
      <c r="R155" s="489"/>
      <c r="S155" s="518"/>
      <c r="T155" s="489"/>
      <c r="U155" s="511"/>
    </row>
    <row r="156" spans="1:21" ht="3.75" customHeight="1">
      <c r="A156" s="519"/>
      <c r="B156" s="631"/>
      <c r="C156" s="631"/>
      <c r="D156" s="631"/>
      <c r="E156" s="631"/>
      <c r="F156" s="631"/>
      <c r="H156" s="541"/>
      <c r="J156" s="508"/>
      <c r="K156" s="518"/>
      <c r="L156" s="508"/>
      <c r="M156" s="490"/>
      <c r="N156" s="490"/>
      <c r="O156" s="489"/>
      <c r="P156" s="489"/>
      <c r="Q156" s="489"/>
      <c r="R156" s="489"/>
      <c r="S156" s="518"/>
      <c r="T156" s="489"/>
      <c r="U156" s="511"/>
    </row>
    <row r="157" spans="1:21" ht="41.25" customHeight="1">
      <c r="A157" s="519"/>
      <c r="B157" s="964" t="s">
        <v>4620</v>
      </c>
      <c r="C157" s="964"/>
      <c r="D157" s="964"/>
      <c r="E157" s="964"/>
      <c r="F157" s="964"/>
      <c r="G157" s="964"/>
      <c r="H157" s="964"/>
      <c r="I157" s="964"/>
      <c r="J157" s="964"/>
      <c r="K157" s="518"/>
      <c r="L157" s="508"/>
      <c r="M157" s="528"/>
      <c r="N157" s="528"/>
      <c r="O157" s="489"/>
      <c r="P157" s="489"/>
      <c r="Q157" s="489"/>
      <c r="R157" s="489"/>
      <c r="S157" s="518"/>
      <c r="T157" s="489"/>
      <c r="U157" s="511"/>
    </row>
    <row r="158" spans="1:21" ht="6" hidden="1" customHeight="1">
      <c r="A158" s="519"/>
      <c r="B158" s="631"/>
      <c r="C158" s="631"/>
      <c r="D158" s="631"/>
      <c r="E158" s="631"/>
      <c r="F158" s="631"/>
      <c r="H158" s="541"/>
      <c r="J158" s="508"/>
      <c r="K158" s="518"/>
      <c r="L158" s="508"/>
      <c r="M158" s="490"/>
      <c r="N158" s="528"/>
      <c r="O158" s="489"/>
      <c r="P158" s="489"/>
      <c r="Q158" s="489"/>
      <c r="R158" s="489"/>
      <c r="S158" s="518"/>
      <c r="T158" s="489"/>
      <c r="U158" s="511"/>
    </row>
    <row r="159" spans="1:21" ht="13.5" hidden="1" customHeight="1">
      <c r="A159" s="493"/>
      <c r="B159" s="971"/>
      <c r="C159" s="971"/>
      <c r="D159" s="971"/>
      <c r="E159" s="971"/>
      <c r="F159" s="971"/>
      <c r="G159" s="971"/>
      <c r="H159" s="971"/>
      <c r="I159" s="971"/>
      <c r="J159" s="971"/>
      <c r="K159" s="518"/>
      <c r="L159" s="508"/>
      <c r="M159" s="490"/>
      <c r="N159" s="528"/>
      <c r="O159" s="489"/>
      <c r="P159" s="489"/>
      <c r="Q159" s="489"/>
      <c r="R159" s="489"/>
      <c r="S159" s="518"/>
      <c r="T159" s="489"/>
      <c r="U159" s="511"/>
    </row>
    <row r="160" spans="1:21" ht="6" hidden="1" customHeight="1">
      <c r="A160" s="493"/>
      <c r="B160" s="742"/>
      <c r="C160" s="742"/>
      <c r="D160" s="742"/>
      <c r="E160" s="742"/>
      <c r="F160" s="742"/>
      <c r="G160" s="742"/>
      <c r="H160" s="742"/>
      <c r="I160" s="742"/>
      <c r="J160" s="742"/>
      <c r="K160" s="518"/>
      <c r="L160" s="508"/>
      <c r="M160" s="490"/>
      <c r="N160" s="528"/>
      <c r="O160" s="489"/>
      <c r="P160" s="489"/>
      <c r="Q160" s="489"/>
      <c r="R160" s="489"/>
      <c r="S160" s="518"/>
      <c r="T160" s="489"/>
      <c r="U160" s="511"/>
    </row>
    <row r="161" spans="1:21" ht="54" hidden="1" customHeight="1">
      <c r="A161" s="519"/>
      <c r="B161" s="964"/>
      <c r="C161" s="964"/>
      <c r="D161" s="964"/>
      <c r="E161" s="964"/>
      <c r="F161" s="964"/>
      <c r="G161" s="964"/>
      <c r="H161" s="964"/>
      <c r="I161" s="964"/>
      <c r="J161" s="964"/>
      <c r="K161" s="518"/>
      <c r="L161" s="508"/>
      <c r="M161" s="490"/>
      <c r="N161" s="528"/>
      <c r="O161" s="489"/>
      <c r="P161" s="489"/>
      <c r="Q161" s="489"/>
      <c r="R161" s="489"/>
      <c r="S161" s="518"/>
      <c r="T161" s="489"/>
      <c r="U161" s="511"/>
    </row>
    <row r="162" spans="1:21" ht="6" customHeight="1">
      <c r="A162" s="519"/>
      <c r="B162" s="631"/>
      <c r="C162" s="631"/>
      <c r="D162" s="631"/>
      <c r="E162" s="631"/>
      <c r="F162" s="631"/>
      <c r="G162" s="631"/>
      <c r="H162" s="631"/>
      <c r="I162" s="631"/>
      <c r="J162" s="631"/>
      <c r="K162" s="518"/>
      <c r="L162" s="508"/>
      <c r="M162" s="490"/>
      <c r="N162" s="528"/>
      <c r="O162" s="489"/>
      <c r="P162" s="489"/>
      <c r="Q162" s="489"/>
      <c r="R162" s="489"/>
      <c r="S162" s="518"/>
      <c r="T162" s="489"/>
      <c r="U162" s="511"/>
    </row>
    <row r="163" spans="1:21" ht="13.5">
      <c r="A163" s="519" t="s">
        <v>46</v>
      </c>
      <c r="B163" s="971" t="s">
        <v>4306</v>
      </c>
      <c r="C163" s="971"/>
      <c r="D163" s="971"/>
      <c r="E163" s="971"/>
      <c r="F163" s="971"/>
      <c r="G163" s="971"/>
      <c r="H163" s="971"/>
      <c r="I163" s="971"/>
      <c r="J163" s="971"/>
    </row>
    <row r="164" spans="1:21" ht="6.75" customHeight="1">
      <c r="A164" s="519"/>
      <c r="B164" s="742"/>
      <c r="C164" s="742"/>
      <c r="D164" s="742"/>
      <c r="E164" s="742"/>
      <c r="F164" s="742"/>
      <c r="G164" s="742"/>
      <c r="H164" s="742"/>
      <c r="I164" s="742"/>
      <c r="J164" s="742"/>
    </row>
    <row r="165" spans="1:21" ht="42" customHeight="1">
      <c r="B165" s="964" t="s">
        <v>4628</v>
      </c>
      <c r="C165" s="964"/>
      <c r="D165" s="964"/>
      <c r="E165" s="964"/>
      <c r="F165" s="964"/>
      <c r="G165" s="964"/>
      <c r="H165" s="964"/>
      <c r="I165" s="964"/>
      <c r="J165" s="964"/>
    </row>
    <row r="166" spans="1:21" ht="5.25" customHeight="1">
      <c r="B166" s="631"/>
      <c r="C166" s="631"/>
      <c r="D166" s="631"/>
      <c r="E166" s="631"/>
      <c r="F166" s="631"/>
      <c r="G166" s="631"/>
      <c r="H166" s="631"/>
      <c r="I166" s="631"/>
      <c r="J166" s="631"/>
    </row>
    <row r="167" spans="1:21" ht="15.75" customHeight="1">
      <c r="A167" s="519" t="s">
        <v>3056</v>
      </c>
      <c r="B167" s="971" t="s">
        <v>4307</v>
      </c>
      <c r="C167" s="971"/>
      <c r="D167" s="971"/>
      <c r="E167" s="971"/>
      <c r="F167" s="971"/>
      <c r="G167" s="971"/>
      <c r="H167" s="971"/>
      <c r="I167" s="971"/>
      <c r="J167" s="971"/>
    </row>
    <row r="168" spans="1:21" ht="7.5" customHeight="1">
      <c r="A168" s="519"/>
      <c r="B168" s="742"/>
      <c r="C168" s="742"/>
      <c r="D168" s="742"/>
      <c r="E168" s="742"/>
      <c r="F168" s="742"/>
      <c r="G168" s="742"/>
      <c r="H168" s="742"/>
      <c r="I168" s="742"/>
      <c r="J168" s="742"/>
    </row>
    <row r="169" spans="1:21" ht="30.75" customHeight="1">
      <c r="A169" s="519"/>
      <c r="B169" s="964" t="s">
        <v>4610</v>
      </c>
      <c r="C169" s="964"/>
      <c r="D169" s="964"/>
      <c r="E169" s="964"/>
      <c r="F169" s="964"/>
      <c r="G169" s="964"/>
      <c r="H169" s="964"/>
      <c r="I169" s="964"/>
      <c r="J169" s="964"/>
      <c r="K169" s="518"/>
      <c r="L169" s="706"/>
      <c r="M169" s="490"/>
      <c r="N169" s="526"/>
      <c r="O169" s="666"/>
      <c r="P169" s="666"/>
      <c r="Q169" s="666"/>
      <c r="R169" s="666"/>
      <c r="S169" s="518"/>
      <c r="T169" s="666"/>
      <c r="U169" s="511"/>
    </row>
    <row r="170" spans="1:21" ht="5.25" customHeight="1">
      <c r="A170" s="519"/>
      <c r="B170" s="631"/>
      <c r="C170" s="631"/>
      <c r="D170" s="631"/>
      <c r="E170" s="631"/>
      <c r="F170" s="631"/>
      <c r="G170" s="631"/>
      <c r="H170" s="631"/>
      <c r="I170" s="631"/>
      <c r="J170" s="631"/>
      <c r="K170" s="518"/>
      <c r="L170" s="706"/>
      <c r="M170" s="490"/>
      <c r="N170" s="526"/>
      <c r="O170" s="666"/>
      <c r="P170" s="666"/>
      <c r="Q170" s="666"/>
      <c r="R170" s="666"/>
      <c r="S170" s="518"/>
      <c r="T170" s="666"/>
      <c r="U170" s="511"/>
    </row>
    <row r="171" spans="1:21" ht="13.5">
      <c r="A171" s="519" t="s">
        <v>4586</v>
      </c>
      <c r="B171" s="971" t="s">
        <v>3552</v>
      </c>
      <c r="C171" s="971"/>
      <c r="D171" s="971"/>
      <c r="E171" s="971"/>
      <c r="F171" s="971"/>
      <c r="G171" s="971"/>
      <c r="H171" s="971"/>
      <c r="I171" s="971"/>
      <c r="J171" s="971"/>
    </row>
    <row r="172" spans="1:21" ht="4.5" customHeight="1">
      <c r="B172" s="492"/>
      <c r="H172" s="541"/>
      <c r="J172" s="508"/>
    </row>
    <row r="173" spans="1:21" ht="31.5" customHeight="1">
      <c r="B173" s="964" t="s">
        <v>4621</v>
      </c>
      <c r="C173" s="964"/>
      <c r="D173" s="964"/>
      <c r="E173" s="964"/>
      <c r="F173" s="964"/>
      <c r="G173" s="964"/>
      <c r="H173" s="964"/>
      <c r="I173" s="964"/>
      <c r="J173" s="964"/>
    </row>
    <row r="174" spans="1:21" ht="31.5" customHeight="1">
      <c r="B174" s="982" t="s">
        <v>4622</v>
      </c>
      <c r="C174" s="982"/>
      <c r="D174" s="982"/>
      <c r="E174" s="982"/>
      <c r="F174" s="982"/>
      <c r="G174" s="982"/>
      <c r="H174" s="982"/>
      <c r="I174" s="982"/>
      <c r="J174" s="982"/>
    </row>
    <row r="175" spans="1:21" s="608" customFormat="1" ht="42" customHeight="1">
      <c r="B175" s="983" t="s">
        <v>4550</v>
      </c>
      <c r="C175" s="983"/>
      <c r="D175" s="983" t="s">
        <v>4554</v>
      </c>
      <c r="E175" s="983"/>
      <c r="F175" s="741" t="s">
        <v>4551</v>
      </c>
      <c r="G175" s="983" t="s">
        <v>4555</v>
      </c>
      <c r="H175" s="983"/>
      <c r="I175" s="983"/>
      <c r="J175" s="741" t="s">
        <v>4556</v>
      </c>
    </row>
    <row r="176" spans="1:21" s="608" customFormat="1" ht="80.25" customHeight="1">
      <c r="B176" s="979" t="s">
        <v>4307</v>
      </c>
      <c r="C176" s="979"/>
      <c r="D176" s="980">
        <v>21560094.065000001</v>
      </c>
      <c r="E176" s="980"/>
      <c r="F176" s="744" t="s">
        <v>4558</v>
      </c>
      <c r="G176" s="981" t="s">
        <v>4589</v>
      </c>
      <c r="H176" s="981"/>
      <c r="I176" s="981"/>
      <c r="J176" s="740" t="s">
        <v>4557</v>
      </c>
      <c r="L176" s="730"/>
    </row>
    <row r="177" spans="1:21" s="608" customFormat="1" ht="55.5" hidden="1" customHeight="1">
      <c r="B177" s="984"/>
      <c r="C177" s="985"/>
      <c r="D177" s="980"/>
      <c r="E177" s="980"/>
      <c r="F177" s="980"/>
      <c r="G177" s="979"/>
      <c r="H177" s="979"/>
      <c r="I177" s="979"/>
      <c r="J177" s="740"/>
    </row>
    <row r="178" spans="1:21" s="608" customFormat="1" ht="77.25" hidden="1" customHeight="1">
      <c r="B178" s="986"/>
      <c r="C178" s="987"/>
      <c r="D178" s="980"/>
      <c r="E178" s="980"/>
      <c r="F178" s="980"/>
      <c r="G178" s="979"/>
      <c r="H178" s="979"/>
      <c r="I178" s="979"/>
      <c r="J178" s="740"/>
    </row>
    <row r="179" spans="1:21" s="608" customFormat="1" ht="18" customHeight="1">
      <c r="B179" s="984" t="s">
        <v>3390</v>
      </c>
      <c r="C179" s="985"/>
      <c r="D179" s="998">
        <f>16172310+327264</f>
        <v>16499574</v>
      </c>
      <c r="E179" s="999"/>
      <c r="F179" s="1000" t="s">
        <v>4552</v>
      </c>
      <c r="G179" s="981" t="s">
        <v>4588</v>
      </c>
      <c r="H179" s="981"/>
      <c r="I179" s="981"/>
      <c r="J179" s="988" t="s">
        <v>4557</v>
      </c>
    </row>
    <row r="180" spans="1:21" s="608" customFormat="1" ht="18" customHeight="1">
      <c r="B180" s="996"/>
      <c r="C180" s="997"/>
      <c r="D180" s="991"/>
      <c r="E180" s="992"/>
      <c r="F180" s="1001"/>
      <c r="G180" s="981"/>
      <c r="H180" s="981"/>
      <c r="I180" s="981"/>
      <c r="J180" s="989"/>
    </row>
    <row r="181" spans="1:21" s="608" customFormat="1" ht="18" customHeight="1">
      <c r="B181" s="996"/>
      <c r="C181" s="997"/>
      <c r="D181" s="991"/>
      <c r="E181" s="992"/>
      <c r="F181" s="1001"/>
      <c r="G181" s="981"/>
      <c r="H181" s="981"/>
      <c r="I181" s="981"/>
      <c r="J181" s="989"/>
    </row>
    <row r="182" spans="1:21" s="608" customFormat="1" ht="18" customHeight="1">
      <c r="B182" s="986"/>
      <c r="C182" s="987"/>
      <c r="D182" s="993"/>
      <c r="E182" s="994"/>
      <c r="F182" s="1001"/>
      <c r="G182" s="981"/>
      <c r="H182" s="981"/>
      <c r="I182" s="981"/>
      <c r="J182" s="990"/>
    </row>
    <row r="183" spans="1:21" s="608" customFormat="1" ht="56.25" customHeight="1">
      <c r="B183" s="979" t="s">
        <v>3552</v>
      </c>
      <c r="C183" s="979"/>
      <c r="D183" s="995">
        <f>10000000+675819</f>
        <v>10675819</v>
      </c>
      <c r="E183" s="995"/>
      <c r="F183" s="744" t="s">
        <v>4559</v>
      </c>
      <c r="G183" s="981" t="s">
        <v>4588</v>
      </c>
      <c r="H183" s="981"/>
      <c r="I183" s="981"/>
      <c r="J183" s="740" t="s">
        <v>4557</v>
      </c>
    </row>
    <row r="184" spans="1:21" s="608" customFormat="1" ht="38.25" customHeight="1">
      <c r="B184" s="984" t="s">
        <v>4306</v>
      </c>
      <c r="C184" s="985"/>
      <c r="D184" s="980">
        <f>4500000+671101</f>
        <v>5171101</v>
      </c>
      <c r="E184" s="980"/>
      <c r="F184" s="1002" t="s">
        <v>4553</v>
      </c>
      <c r="G184" s="1004" t="s">
        <v>4587</v>
      </c>
      <c r="H184" s="1005"/>
      <c r="I184" s="1006"/>
      <c r="J184" s="740" t="s">
        <v>4557</v>
      </c>
      <c r="L184" s="731"/>
    </row>
    <row r="185" spans="1:21" s="608" customFormat="1" ht="24.75" customHeight="1">
      <c r="B185" s="986"/>
      <c r="C185" s="987"/>
      <c r="D185" s="980">
        <f>4500000+809579</f>
        <v>5309579</v>
      </c>
      <c r="E185" s="980"/>
      <c r="F185" s="1003"/>
      <c r="G185" s="1007"/>
      <c r="H185" s="1008"/>
      <c r="I185" s="1009"/>
      <c r="J185" s="740" t="s">
        <v>4557</v>
      </c>
    </row>
    <row r="186" spans="1:21" ht="12.75" customHeight="1">
      <c r="B186" s="722"/>
      <c r="C186" s="722"/>
      <c r="D186" s="723"/>
      <c r="E186" s="723"/>
      <c r="F186" s="723"/>
      <c r="G186" s="722"/>
      <c r="H186" s="722"/>
      <c r="I186" s="722"/>
      <c r="J186" s="722"/>
    </row>
    <row r="187" spans="1:21" ht="13.5">
      <c r="A187" s="488" t="s">
        <v>422</v>
      </c>
      <c r="B187" s="489"/>
      <c r="C187" s="489"/>
      <c r="D187" s="489"/>
      <c r="E187" s="489"/>
      <c r="F187" s="490"/>
      <c r="G187" s="490"/>
      <c r="H187" s="491"/>
      <c r="I187" s="490"/>
      <c r="J187" s="490"/>
      <c r="K187" s="490"/>
      <c r="L187" s="490"/>
      <c r="M187" s="490"/>
      <c r="N187" s="490"/>
      <c r="O187" s="489"/>
      <c r="P187" s="489"/>
      <c r="Q187" s="489"/>
    </row>
    <row r="188" spans="1:21" ht="9.75" customHeight="1">
      <c r="A188" s="492"/>
      <c r="F188" s="490"/>
      <c r="G188" s="490"/>
      <c r="H188" s="491"/>
      <c r="I188" s="490"/>
      <c r="J188" s="490"/>
      <c r="K188" s="490"/>
      <c r="L188" s="490"/>
      <c r="M188" s="490"/>
      <c r="N188" s="490"/>
      <c r="O188" s="489"/>
      <c r="P188" s="489"/>
      <c r="Q188" s="489"/>
    </row>
    <row r="189" spans="1:21" s="484" customFormat="1" ht="13.5">
      <c r="A189" s="492" t="s">
        <v>3039</v>
      </c>
      <c r="B189" s="489"/>
      <c r="C189" s="489"/>
      <c r="D189" s="489"/>
      <c r="E189" s="490"/>
      <c r="F189" s="489"/>
      <c r="G189" s="489"/>
      <c r="H189" s="493"/>
    </row>
    <row r="190" spans="1:21" ht="15.75" customHeight="1">
      <c r="A190" s="494" t="s">
        <v>4582</v>
      </c>
      <c r="B190" s="494"/>
      <c r="C190" s="494"/>
      <c r="D190" s="494"/>
      <c r="E190" s="494"/>
      <c r="F190" s="495"/>
      <c r="G190" s="495"/>
      <c r="H190" s="496"/>
      <c r="I190" s="495"/>
      <c r="J190" s="495"/>
      <c r="K190" s="490"/>
      <c r="L190" s="490"/>
      <c r="M190" s="490"/>
      <c r="N190" s="490"/>
      <c r="O190" s="489"/>
      <c r="P190" s="489"/>
      <c r="Q190" s="489"/>
    </row>
    <row r="191" spans="1:21" ht="12.75" customHeight="1">
      <c r="A191" s="737"/>
      <c r="B191" s="489"/>
      <c r="C191" s="489"/>
      <c r="D191" s="489"/>
      <c r="E191" s="489"/>
      <c r="F191" s="489"/>
      <c r="G191" s="489"/>
      <c r="H191" s="493"/>
      <c r="I191" s="489"/>
      <c r="J191" s="489"/>
      <c r="K191" s="489"/>
      <c r="L191" s="489"/>
      <c r="M191" s="489"/>
      <c r="N191" s="489"/>
      <c r="O191" s="489"/>
      <c r="P191" s="489"/>
      <c r="Q191" s="489"/>
    </row>
    <row r="192" spans="1:21" ht="13.5">
      <c r="A192" s="519" t="s">
        <v>420</v>
      </c>
      <c r="B192" s="493" t="s">
        <v>95</v>
      </c>
      <c r="C192" s="489"/>
      <c r="D192" s="492"/>
      <c r="E192" s="492"/>
      <c r="F192" s="489"/>
      <c r="G192" s="489"/>
      <c r="H192" s="497" t="s">
        <v>4583</v>
      </c>
      <c r="I192" s="498"/>
      <c r="J192" s="499" t="s">
        <v>4319</v>
      </c>
      <c r="K192" s="484"/>
      <c r="L192" s="484"/>
      <c r="M192" s="484"/>
      <c r="N192" s="484"/>
      <c r="O192" s="489"/>
      <c r="P192" s="489"/>
      <c r="Q192" s="489"/>
      <c r="R192" s="489"/>
      <c r="S192" s="518"/>
      <c r="T192" s="489"/>
      <c r="U192" s="511"/>
    </row>
    <row r="193" spans="1:21" ht="13.5">
      <c r="A193" s="545"/>
      <c r="B193" s="493"/>
      <c r="C193" s="493"/>
      <c r="D193" s="493"/>
      <c r="E193" s="493"/>
      <c r="F193" s="489"/>
      <c r="G193" s="489"/>
      <c r="H193" s="497" t="s">
        <v>1921</v>
      </c>
      <c r="J193" s="499" t="s">
        <v>1921</v>
      </c>
      <c r="K193" s="484"/>
      <c r="L193" s="484"/>
      <c r="M193" s="484"/>
      <c r="N193" s="484"/>
      <c r="O193" s="489"/>
      <c r="P193" s="489"/>
      <c r="Q193" s="489"/>
      <c r="R193" s="489"/>
      <c r="S193" s="518"/>
      <c r="T193" s="489"/>
      <c r="U193" s="511"/>
    </row>
    <row r="194" spans="1:21" ht="13.5">
      <c r="A194" s="545"/>
      <c r="B194" s="493" t="s">
        <v>1936</v>
      </c>
      <c r="C194" s="493"/>
      <c r="D194" s="493"/>
      <c r="E194" s="493"/>
      <c r="F194" s="489"/>
      <c r="G194" s="489"/>
      <c r="H194" s="493"/>
      <c r="I194" s="489"/>
      <c r="J194" s="489"/>
      <c r="K194" s="484"/>
      <c r="L194" s="484"/>
      <c r="M194" s="484"/>
      <c r="N194" s="484"/>
      <c r="O194" s="489"/>
      <c r="P194" s="489"/>
      <c r="Q194" s="489"/>
      <c r="R194" s="489"/>
      <c r="S194" s="518"/>
      <c r="T194" s="489"/>
      <c r="U194" s="511"/>
    </row>
    <row r="195" spans="1:21" ht="7.5" customHeight="1">
      <c r="A195" s="545"/>
      <c r="B195" s="493"/>
      <c r="C195" s="493"/>
      <c r="D195" s="493"/>
      <c r="E195" s="493"/>
      <c r="F195" s="489"/>
      <c r="G195" s="489"/>
      <c r="H195" s="493"/>
      <c r="I195" s="489"/>
      <c r="J195" s="489"/>
      <c r="K195" s="484"/>
      <c r="L195" s="484"/>
      <c r="M195" s="484"/>
      <c r="N195" s="484"/>
      <c r="O195" s="489"/>
      <c r="P195" s="489"/>
      <c r="Q195" s="489"/>
      <c r="R195" s="489"/>
      <c r="S195" s="518"/>
      <c r="T195" s="489"/>
      <c r="U195" s="511"/>
    </row>
    <row r="196" spans="1:21" ht="13.5">
      <c r="A196" s="545"/>
      <c r="B196" s="486" t="s">
        <v>16</v>
      </c>
      <c r="C196" s="493"/>
      <c r="D196" s="493"/>
      <c r="E196" s="493"/>
      <c r="F196" s="489"/>
      <c r="G196" s="489"/>
      <c r="H196" s="705">
        <f>+J200</f>
        <v>41592057</v>
      </c>
      <c r="I196" s="489"/>
      <c r="J196" s="624">
        <v>38078733</v>
      </c>
      <c r="K196" s="484"/>
      <c r="L196" s="484"/>
      <c r="M196" s="484"/>
      <c r="N196" s="484"/>
      <c r="O196" s="489"/>
      <c r="P196" s="489"/>
      <c r="Q196" s="489"/>
      <c r="R196" s="489"/>
      <c r="S196" s="518"/>
      <c r="T196" s="489"/>
      <c r="U196" s="511"/>
    </row>
    <row r="197" spans="1:21" ht="13.5" customHeight="1">
      <c r="A197" s="545"/>
      <c r="B197" s="486" t="s">
        <v>4611</v>
      </c>
      <c r="C197" s="493"/>
      <c r="D197" s="493"/>
      <c r="E197" s="493"/>
      <c r="F197" s="489"/>
      <c r="G197" s="489"/>
      <c r="H197" s="705" t="e">
        <f>#REF!</f>
        <v>#REF!</v>
      </c>
      <c r="I197" s="489"/>
      <c r="J197" s="489"/>
      <c r="K197" s="484"/>
      <c r="L197" s="484"/>
      <c r="M197" s="484"/>
      <c r="N197" s="484"/>
      <c r="O197" s="489"/>
      <c r="P197" s="489"/>
      <c r="Q197" s="489"/>
      <c r="R197" s="489"/>
      <c r="S197" s="518"/>
      <c r="T197" s="489"/>
      <c r="U197" s="511"/>
    </row>
    <row r="198" spans="1:21" ht="13.5">
      <c r="A198" s="545"/>
      <c r="B198" s="666" t="s">
        <v>4590</v>
      </c>
      <c r="C198" s="493"/>
      <c r="D198" s="493"/>
      <c r="E198" s="493"/>
      <c r="F198" s="489"/>
      <c r="G198" s="489"/>
      <c r="H198" s="704" t="e">
        <f>#REF!</f>
        <v>#REF!</v>
      </c>
      <c r="I198" s="484"/>
      <c r="J198" s="625">
        <v>3513324</v>
      </c>
      <c r="K198" s="484"/>
      <c r="L198" s="484"/>
      <c r="M198" s="484"/>
      <c r="N198" s="484"/>
      <c r="O198" s="489"/>
      <c r="P198" s="489"/>
      <c r="Q198" s="489"/>
      <c r="R198" s="489"/>
      <c r="S198" s="518"/>
      <c r="T198" s="489"/>
      <c r="U198" s="511"/>
    </row>
    <row r="199" spans="1:21" ht="13.5">
      <c r="A199" s="545"/>
      <c r="B199" s="666"/>
      <c r="C199" s="493"/>
      <c r="D199" s="493"/>
      <c r="E199" s="493"/>
      <c r="F199" s="489"/>
      <c r="G199" s="489"/>
      <c r="H199" s="493"/>
      <c r="I199" s="489"/>
      <c r="J199" s="489"/>
      <c r="K199" s="484"/>
      <c r="L199" s="484"/>
      <c r="M199" s="484"/>
      <c r="N199" s="484"/>
      <c r="O199" s="489"/>
      <c r="P199" s="489"/>
      <c r="Q199" s="489"/>
      <c r="R199" s="489"/>
      <c r="S199" s="518"/>
      <c r="T199" s="489"/>
      <c r="U199" s="511"/>
    </row>
    <row r="200" spans="1:21" ht="14" thickBot="1">
      <c r="A200" s="545"/>
      <c r="B200" s="667" t="s">
        <v>89</v>
      </c>
      <c r="C200" s="489"/>
      <c r="D200" s="489"/>
      <c r="E200" s="489"/>
      <c r="F200" s="489"/>
      <c r="G200" s="489"/>
      <c r="H200" s="634" t="e">
        <f>+H196+H198+H197</f>
        <v>#REF!</v>
      </c>
      <c r="I200" s="489"/>
      <c r="J200" s="637">
        <v>41592057</v>
      </c>
      <c r="K200" s="484"/>
      <c r="L200" s="484"/>
      <c r="M200" s="484"/>
      <c r="N200" s="484"/>
      <c r="O200" s="489"/>
      <c r="P200" s="489"/>
      <c r="Q200" s="489"/>
      <c r="R200" s="489"/>
      <c r="S200" s="518"/>
      <c r="T200" s="489"/>
      <c r="U200" s="511"/>
    </row>
    <row r="201" spans="1:21" ht="7.5" customHeight="1" thickTop="1">
      <c r="A201" s="545"/>
      <c r="B201" s="667"/>
      <c r="C201" s="489"/>
      <c r="D201" s="489"/>
      <c r="E201" s="489"/>
      <c r="F201" s="489"/>
      <c r="G201" s="489"/>
      <c r="H201" s="632"/>
      <c r="I201" s="489"/>
      <c r="J201" s="635"/>
      <c r="K201" s="484"/>
      <c r="L201" s="484"/>
      <c r="M201" s="484"/>
      <c r="N201" s="484"/>
      <c r="O201" s="489"/>
      <c r="P201" s="489"/>
      <c r="Q201" s="489"/>
      <c r="R201" s="489"/>
      <c r="S201" s="518"/>
      <c r="T201" s="489"/>
      <c r="U201" s="511"/>
    </row>
    <row r="202" spans="1:21" ht="27.75" customHeight="1">
      <c r="A202" s="545"/>
      <c r="B202" s="1012" t="s">
        <v>4623</v>
      </c>
      <c r="C202" s="1012"/>
      <c r="D202" s="1012"/>
      <c r="E202" s="1012"/>
      <c r="F202" s="1012"/>
      <c r="G202" s="1012"/>
      <c r="H202" s="1012"/>
      <c r="I202" s="1012"/>
      <c r="J202" s="1012"/>
      <c r="K202" s="484"/>
      <c r="L202" s="484"/>
      <c r="M202" s="484"/>
      <c r="N202" s="484"/>
      <c r="O202" s="489"/>
      <c r="P202" s="489"/>
      <c r="Q202" s="489"/>
      <c r="R202" s="489"/>
      <c r="S202" s="518"/>
      <c r="T202" s="489"/>
      <c r="U202" s="511"/>
    </row>
    <row r="203" spans="1:21" ht="6" customHeight="1">
      <c r="B203" s="667"/>
      <c r="H203" s="486"/>
      <c r="K203" s="484"/>
      <c r="L203" s="484"/>
      <c r="M203" s="484"/>
      <c r="N203" s="484"/>
      <c r="O203" s="489"/>
      <c r="P203" s="489"/>
      <c r="Q203" s="489"/>
      <c r="R203" s="489"/>
      <c r="S203" s="518"/>
      <c r="T203" s="489"/>
      <c r="U203" s="511"/>
    </row>
    <row r="204" spans="1:21" ht="13.5">
      <c r="A204" s="519" t="s">
        <v>388</v>
      </c>
      <c r="B204" s="493" t="s">
        <v>3398</v>
      </c>
      <c r="C204" s="489"/>
      <c r="H204" s="497"/>
      <c r="I204" s="498"/>
      <c r="J204" s="546"/>
      <c r="K204" s="484"/>
      <c r="L204" s="484"/>
      <c r="M204" s="484"/>
      <c r="N204" s="484"/>
      <c r="O204" s="489"/>
      <c r="P204" s="489"/>
      <c r="Q204" s="489"/>
      <c r="R204" s="489"/>
      <c r="S204" s="518"/>
      <c r="T204" s="489"/>
      <c r="U204" s="511"/>
    </row>
    <row r="205" spans="1:21" ht="6.75" customHeight="1">
      <c r="A205" s="519"/>
      <c r="B205" s="493"/>
      <c r="C205" s="489"/>
      <c r="H205" s="497"/>
      <c r="I205" s="498"/>
      <c r="J205" s="546"/>
      <c r="K205" s="484"/>
      <c r="L205" s="484"/>
      <c r="M205" s="484"/>
      <c r="N205" s="484"/>
      <c r="O205" s="489"/>
      <c r="P205" s="489"/>
      <c r="Q205" s="489"/>
      <c r="R205" s="489"/>
      <c r="S205" s="518"/>
      <c r="T205" s="489"/>
      <c r="U205" s="511"/>
    </row>
    <row r="206" spans="1:21" ht="78.75" customHeight="1">
      <c r="A206" s="500"/>
      <c r="B206" s="969" t="s">
        <v>4317</v>
      </c>
      <c r="C206" s="969"/>
      <c r="D206" s="969"/>
      <c r="E206" s="969"/>
      <c r="F206" s="969"/>
      <c r="G206" s="969"/>
      <c r="H206" s="969"/>
      <c r="I206" s="969"/>
      <c r="J206" s="969"/>
      <c r="K206" s="484"/>
      <c r="L206" s="484"/>
      <c r="M206" s="484"/>
      <c r="N206" s="484"/>
      <c r="O206" s="489"/>
      <c r="P206" s="489"/>
      <c r="Q206" s="489"/>
      <c r="R206" s="489"/>
      <c r="S206" s="518"/>
      <c r="T206" s="489"/>
      <c r="U206" s="511"/>
    </row>
    <row r="207" spans="1:21" ht="18" customHeight="1">
      <c r="A207" s="500"/>
      <c r="B207" s="738"/>
      <c r="C207" s="738"/>
      <c r="D207" s="738"/>
      <c r="E207" s="738"/>
      <c r="F207" s="738"/>
      <c r="G207" s="738"/>
      <c r="H207" s="497" t="s">
        <v>4583</v>
      </c>
      <c r="I207" s="498"/>
      <c r="J207" s="499" t="s">
        <v>4319</v>
      </c>
      <c r="K207" s="484"/>
      <c r="L207" s="484"/>
      <c r="M207" s="484"/>
      <c r="N207" s="484"/>
      <c r="O207" s="489"/>
      <c r="P207" s="489"/>
      <c r="Q207" s="489"/>
      <c r="R207" s="489"/>
      <c r="S207" s="518"/>
      <c r="T207" s="489"/>
      <c r="U207" s="511"/>
    </row>
    <row r="208" spans="1:21" ht="15.75" customHeight="1">
      <c r="A208" s="500"/>
      <c r="B208" s="738"/>
      <c r="C208" s="738"/>
      <c r="D208" s="738"/>
      <c r="E208" s="738"/>
      <c r="F208" s="738"/>
      <c r="G208" s="738"/>
      <c r="H208" s="497" t="s">
        <v>1921</v>
      </c>
      <c r="J208" s="499" t="s">
        <v>1921</v>
      </c>
      <c r="K208" s="484"/>
      <c r="L208" s="484"/>
      <c r="M208" s="484"/>
      <c r="N208" s="484"/>
      <c r="O208" s="489"/>
      <c r="P208" s="489"/>
      <c r="Q208" s="489"/>
      <c r="R208" s="489"/>
      <c r="S208" s="518"/>
      <c r="T208" s="489"/>
      <c r="U208" s="511"/>
    </row>
    <row r="209" spans="1:21" ht="13.5">
      <c r="A209" s="545"/>
      <c r="B209" s="486" t="s">
        <v>16</v>
      </c>
      <c r="C209" s="493"/>
      <c r="D209" s="493"/>
      <c r="E209" s="493"/>
      <c r="F209" s="489"/>
      <c r="G209" s="489"/>
      <c r="H209" s="705">
        <f>J213</f>
        <v>0</v>
      </c>
      <c r="I209" s="489"/>
      <c r="J209" s="624">
        <v>1440773</v>
      </c>
      <c r="K209" s="484"/>
      <c r="L209" s="484"/>
      <c r="M209" s="484"/>
      <c r="N209" s="484"/>
      <c r="O209" s="489"/>
      <c r="P209" s="489"/>
      <c r="Q209" s="489"/>
      <c r="R209" s="489"/>
      <c r="S209" s="518"/>
      <c r="T209" s="489"/>
      <c r="U209" s="511"/>
    </row>
    <row r="210" spans="1:21" ht="7.5" customHeight="1">
      <c r="A210" s="545"/>
      <c r="C210" s="493"/>
      <c r="D210" s="493"/>
      <c r="E210" s="493"/>
      <c r="F210" s="489"/>
      <c r="G210" s="489"/>
      <c r="H210" s="493"/>
      <c r="I210" s="489"/>
      <c r="J210" s="489"/>
      <c r="K210" s="484"/>
      <c r="L210" s="484"/>
      <c r="M210" s="484"/>
      <c r="N210" s="484"/>
      <c r="O210" s="489"/>
      <c r="P210" s="489"/>
      <c r="Q210" s="489"/>
      <c r="R210" s="489"/>
      <c r="S210" s="518"/>
      <c r="T210" s="489"/>
      <c r="U210" s="511"/>
    </row>
    <row r="211" spans="1:21" ht="13.5">
      <c r="A211" s="545"/>
      <c r="B211" s="666" t="s">
        <v>4574</v>
      </c>
      <c r="C211" s="493"/>
      <c r="D211" s="493"/>
      <c r="E211" s="493"/>
      <c r="F211" s="489"/>
      <c r="G211" s="489"/>
      <c r="H211" s="704">
        <f>-H209</f>
        <v>0</v>
      </c>
      <c r="I211" s="484"/>
      <c r="J211" s="625">
        <v>-1440773</v>
      </c>
      <c r="K211" s="484"/>
      <c r="L211" s="484"/>
      <c r="M211" s="484"/>
      <c r="N211" s="484"/>
      <c r="O211" s="489"/>
      <c r="P211" s="489"/>
      <c r="Q211" s="489"/>
      <c r="R211" s="489"/>
      <c r="S211" s="518"/>
      <c r="T211" s="489"/>
      <c r="U211" s="511"/>
    </row>
    <row r="212" spans="1:21" ht="11.25" customHeight="1">
      <c r="A212" s="545"/>
      <c r="B212" s="666"/>
      <c r="C212" s="493"/>
      <c r="D212" s="493"/>
      <c r="E212" s="493"/>
      <c r="F212" s="489"/>
      <c r="G212" s="489"/>
      <c r="H212" s="493"/>
      <c r="I212" s="489"/>
      <c r="J212" s="489"/>
      <c r="K212" s="484"/>
      <c r="L212" s="484"/>
      <c r="M212" s="484"/>
      <c r="N212" s="484"/>
      <c r="O212" s="489"/>
      <c r="P212" s="489"/>
      <c r="Q212" s="489"/>
      <c r="R212" s="489"/>
      <c r="S212" s="518"/>
      <c r="T212" s="489"/>
      <c r="U212" s="511"/>
    </row>
    <row r="213" spans="1:21" ht="13.5">
      <c r="A213" s="545"/>
      <c r="B213" s="667" t="s">
        <v>89</v>
      </c>
      <c r="C213" s="489"/>
      <c r="D213" s="489"/>
      <c r="E213" s="489"/>
      <c r="F213" s="489"/>
      <c r="G213" s="489"/>
      <c r="H213" s="633">
        <f>+H209+H211</f>
        <v>0</v>
      </c>
      <c r="I213" s="489"/>
      <c r="J213" s="636">
        <v>0</v>
      </c>
      <c r="K213" s="484"/>
      <c r="L213" s="484"/>
      <c r="M213" s="484"/>
      <c r="N213" s="484"/>
      <c r="O213" s="489"/>
      <c r="P213" s="489"/>
      <c r="Q213" s="489"/>
      <c r="R213" s="489"/>
      <c r="S213" s="518"/>
      <c r="T213" s="489"/>
      <c r="U213" s="511"/>
    </row>
    <row r="214" spans="1:21" ht="9.75" customHeight="1">
      <c r="A214" s="500"/>
      <c r="B214" s="738"/>
      <c r="C214" s="738"/>
      <c r="D214" s="738"/>
      <c r="E214" s="738"/>
      <c r="F214" s="738"/>
      <c r="G214" s="738"/>
      <c r="H214" s="738"/>
      <c r="I214" s="738"/>
      <c r="J214" s="738"/>
      <c r="K214" s="484"/>
      <c r="L214" s="484"/>
      <c r="M214" s="484"/>
      <c r="N214" s="484"/>
      <c r="O214" s="489"/>
      <c r="P214" s="489"/>
      <c r="Q214" s="489"/>
      <c r="R214" s="489"/>
      <c r="S214" s="518"/>
      <c r="T214" s="489"/>
      <c r="U214" s="511"/>
    </row>
    <row r="215" spans="1:21" ht="13.5">
      <c r="A215" s="519" t="s">
        <v>3041</v>
      </c>
      <c r="B215" s="493" t="s">
        <v>20</v>
      </c>
      <c r="C215" s="489"/>
      <c r="D215" s="489"/>
      <c r="E215" s="489"/>
      <c r="F215" s="490"/>
      <c r="G215" s="514"/>
      <c r="K215" s="489"/>
      <c r="L215" s="489"/>
      <c r="M215" s="489"/>
      <c r="N215" s="520"/>
      <c r="O215" s="489"/>
      <c r="P215" s="520"/>
      <c r="Q215" s="489"/>
    </row>
    <row r="216" spans="1:21" ht="8.25" customHeight="1">
      <c r="A216" s="500"/>
      <c r="B216" s="489"/>
      <c r="C216" s="489"/>
      <c r="D216" s="489"/>
      <c r="E216" s="489"/>
      <c r="F216" s="489"/>
      <c r="G216" s="489"/>
      <c r="H216" s="497"/>
      <c r="I216" s="518"/>
      <c r="J216" s="499"/>
      <c r="K216" s="489"/>
      <c r="L216" s="489"/>
      <c r="M216" s="489"/>
      <c r="N216" s="520"/>
      <c r="O216" s="489"/>
      <c r="P216" s="520"/>
      <c r="Q216" s="489"/>
    </row>
    <row r="217" spans="1:21" ht="30.75" customHeight="1">
      <c r="A217" s="500"/>
      <c r="B217" s="934" t="s">
        <v>4598</v>
      </c>
      <c r="C217" s="934"/>
      <c r="D217" s="934"/>
      <c r="E217" s="934"/>
      <c r="F217" s="934"/>
      <c r="G217" s="934"/>
      <c r="H217" s="934"/>
      <c r="I217" s="934"/>
      <c r="J217" s="934"/>
      <c r="K217" s="489"/>
      <c r="L217" s="489"/>
      <c r="M217" s="489"/>
      <c r="N217" s="520"/>
      <c r="O217" s="489"/>
      <c r="P217" s="520"/>
      <c r="Q217" s="489"/>
    </row>
    <row r="218" spans="1:21" ht="6" customHeight="1">
      <c r="A218" s="500"/>
      <c r="D218" s="492"/>
      <c r="E218" s="492"/>
      <c r="F218" s="489"/>
      <c r="G218" s="489"/>
      <c r="H218" s="517"/>
      <c r="I218" s="502"/>
      <c r="J218" s="503"/>
      <c r="K218" s="489"/>
      <c r="L218" s="489"/>
      <c r="M218" s="489"/>
      <c r="N218" s="520"/>
      <c r="O218" s="489"/>
      <c r="P218" s="520"/>
      <c r="Q218" s="489"/>
    </row>
    <row r="219" spans="1:21" ht="13.5">
      <c r="A219" s="519" t="s">
        <v>3363</v>
      </c>
      <c r="B219" s="1010" t="s">
        <v>10</v>
      </c>
      <c r="C219" s="1010"/>
      <c r="D219" s="1010"/>
      <c r="E219" s="1010"/>
      <c r="F219" s="1010"/>
      <c r="G219" s="1010"/>
      <c r="H219" s="1010"/>
      <c r="I219" s="484"/>
      <c r="J219" s="484"/>
      <c r="K219" s="484"/>
      <c r="L219" s="484"/>
      <c r="M219" s="484"/>
      <c r="N219" s="484"/>
      <c r="O219" s="489"/>
      <c r="P219" s="489"/>
      <c r="Q219" s="489"/>
      <c r="R219" s="489"/>
      <c r="S219" s="518"/>
      <c r="T219" s="489"/>
      <c r="U219" s="511"/>
    </row>
    <row r="220" spans="1:21" ht="6.75" customHeight="1">
      <c r="A220" s="519"/>
      <c r="B220" s="1011"/>
      <c r="C220" s="1011"/>
      <c r="D220" s="1011"/>
      <c r="E220" s="1011"/>
      <c r="F220" s="1011"/>
      <c r="G220" s="1011"/>
      <c r="H220" s="1011"/>
      <c r="I220" s="484"/>
      <c r="J220" s="484"/>
      <c r="K220" s="484"/>
      <c r="L220" s="484"/>
      <c r="M220" s="484"/>
      <c r="N220" s="484"/>
      <c r="O220" s="489"/>
      <c r="P220" s="489"/>
      <c r="Q220" s="489"/>
      <c r="R220" s="489"/>
      <c r="S220" s="518"/>
      <c r="T220" s="489"/>
      <c r="U220" s="511"/>
    </row>
    <row r="221" spans="1:21" ht="14.25" customHeight="1">
      <c r="B221" s="934" t="s">
        <v>4585</v>
      </c>
      <c r="C221" s="934"/>
      <c r="D221" s="934"/>
      <c r="E221" s="934"/>
      <c r="F221" s="934"/>
      <c r="G221" s="934"/>
      <c r="H221" s="934"/>
      <c r="I221" s="934"/>
      <c r="J221" s="934"/>
      <c r="K221" s="484"/>
      <c r="L221" s="484"/>
      <c r="M221" s="484"/>
      <c r="N221" s="484"/>
      <c r="O221" s="489"/>
      <c r="P221" s="489"/>
      <c r="Q221" s="489"/>
      <c r="R221" s="489"/>
      <c r="S221" s="518"/>
      <c r="T221" s="489"/>
      <c r="U221" s="511"/>
    </row>
    <row r="222" spans="1:21" ht="9" customHeight="1">
      <c r="B222" s="487"/>
      <c r="C222" s="487"/>
      <c r="D222" s="487"/>
      <c r="E222" s="487"/>
      <c r="F222" s="487"/>
      <c r="G222" s="487"/>
      <c r="H222" s="487"/>
      <c r="I222" s="487"/>
      <c r="J222" s="487"/>
      <c r="K222" s="484"/>
      <c r="L222" s="484"/>
      <c r="M222" s="484"/>
      <c r="N222" s="484"/>
      <c r="O222" s="489"/>
      <c r="P222" s="489"/>
      <c r="Q222" s="489"/>
      <c r="R222" s="489"/>
      <c r="S222" s="518"/>
      <c r="T222" s="489"/>
      <c r="U222" s="511"/>
    </row>
    <row r="223" spans="1:21" ht="70.5" customHeight="1">
      <c r="B223" s="969" t="s">
        <v>4591</v>
      </c>
      <c r="C223" s="969"/>
      <c r="D223" s="969"/>
      <c r="E223" s="969"/>
      <c r="F223" s="969"/>
      <c r="G223" s="969"/>
      <c r="H223" s="969"/>
      <c r="I223" s="969"/>
      <c r="J223" s="969"/>
      <c r="K223" s="484"/>
      <c r="L223" s="484"/>
      <c r="M223" s="484"/>
      <c r="N223" s="484"/>
      <c r="O223" s="489"/>
      <c r="P223" s="489"/>
      <c r="Q223" s="489"/>
      <c r="R223" s="489"/>
      <c r="S223" s="518"/>
      <c r="T223" s="489"/>
      <c r="U223" s="511"/>
    </row>
    <row r="224" spans="1:21" ht="46.5" customHeight="1">
      <c r="B224" s="969" t="s">
        <v>4592</v>
      </c>
      <c r="C224" s="969"/>
      <c r="D224" s="969"/>
      <c r="E224" s="969"/>
      <c r="F224" s="969"/>
      <c r="G224" s="969"/>
      <c r="H224" s="969"/>
      <c r="I224" s="969"/>
      <c r="J224" s="969"/>
      <c r="K224" s="484"/>
      <c r="L224" s="484"/>
      <c r="M224" s="484"/>
      <c r="N224" s="484"/>
      <c r="O224" s="489"/>
      <c r="P224" s="489"/>
      <c r="Q224" s="489"/>
      <c r="R224" s="489"/>
      <c r="S224" s="518"/>
      <c r="T224" s="489"/>
      <c r="U224" s="511"/>
    </row>
    <row r="225" spans="1:21" ht="80.25" customHeight="1">
      <c r="B225" s="969" t="s">
        <v>4624</v>
      </c>
      <c r="C225" s="969"/>
      <c r="D225" s="969"/>
      <c r="E225" s="969"/>
      <c r="F225" s="969"/>
      <c r="G225" s="969"/>
      <c r="H225" s="969"/>
      <c r="I225" s="969"/>
      <c r="J225" s="969"/>
      <c r="K225" s="484"/>
      <c r="L225" s="484"/>
      <c r="M225" s="484"/>
      <c r="N225" s="484"/>
      <c r="O225" s="489"/>
      <c r="P225" s="489"/>
      <c r="Q225" s="489"/>
      <c r="R225" s="489"/>
      <c r="S225" s="518"/>
      <c r="T225" s="489"/>
      <c r="U225" s="511"/>
    </row>
    <row r="226" spans="1:21" ht="13.5">
      <c r="B226" s="487"/>
      <c r="C226" s="487"/>
      <c r="D226" s="487"/>
      <c r="E226" s="487"/>
      <c r="F226" s="487"/>
      <c r="G226" s="487"/>
      <c r="H226" s="487"/>
      <c r="I226" s="487"/>
      <c r="J226" s="487"/>
      <c r="K226" s="484"/>
      <c r="L226" s="484"/>
      <c r="M226" s="484"/>
      <c r="N226" s="484"/>
      <c r="O226" s="489"/>
      <c r="P226" s="489"/>
      <c r="Q226" s="489"/>
      <c r="R226" s="489"/>
      <c r="S226" s="518"/>
      <c r="T226" s="489"/>
      <c r="U226" s="511"/>
    </row>
    <row r="227" spans="1:21" ht="15.75" customHeight="1">
      <c r="A227" s="488" t="s">
        <v>422</v>
      </c>
      <c r="B227" s="489"/>
      <c r="C227" s="489"/>
      <c r="D227" s="489"/>
      <c r="E227" s="489"/>
      <c r="F227" s="490"/>
      <c r="G227" s="490"/>
      <c r="H227" s="491"/>
      <c r="I227" s="490"/>
      <c r="J227" s="490"/>
      <c r="K227" s="490"/>
      <c r="L227" s="490"/>
      <c r="M227" s="490"/>
      <c r="N227" s="490"/>
      <c r="O227" s="489"/>
      <c r="P227" s="489"/>
      <c r="Q227" s="489"/>
    </row>
    <row r="228" spans="1:21" ht="9.75" customHeight="1">
      <c r="A228" s="492"/>
      <c r="F228" s="490"/>
      <c r="G228" s="490"/>
      <c r="H228" s="491"/>
      <c r="I228" s="490"/>
      <c r="J228" s="490"/>
      <c r="K228" s="490"/>
      <c r="L228" s="490"/>
      <c r="M228" s="490"/>
      <c r="N228" s="490"/>
      <c r="O228" s="489"/>
      <c r="P228" s="489"/>
      <c r="Q228" s="489"/>
    </row>
    <row r="229" spans="1:21" s="484" customFormat="1" ht="13.5">
      <c r="A229" s="492" t="s">
        <v>3039</v>
      </c>
      <c r="B229" s="489"/>
      <c r="C229" s="489"/>
      <c r="D229" s="489"/>
      <c r="E229" s="490"/>
      <c r="F229" s="489"/>
      <c r="G229" s="489"/>
      <c r="H229" s="493"/>
    </row>
    <row r="230" spans="1:21" ht="15.75" customHeight="1">
      <c r="A230" s="494" t="s">
        <v>4582</v>
      </c>
      <c r="B230" s="494"/>
      <c r="C230" s="494"/>
      <c r="D230" s="494"/>
      <c r="E230" s="494"/>
      <c r="F230" s="495"/>
      <c r="G230" s="495"/>
      <c r="H230" s="496"/>
      <c r="I230" s="495"/>
      <c r="J230" s="495"/>
      <c r="K230" s="490"/>
      <c r="L230" s="490"/>
      <c r="M230" s="490"/>
      <c r="N230" s="490"/>
      <c r="O230" s="489"/>
      <c r="P230" s="489"/>
      <c r="Q230" s="489"/>
    </row>
    <row r="231" spans="1:21" ht="15.75" customHeight="1">
      <c r="F231" s="490"/>
      <c r="G231" s="490"/>
      <c r="H231" s="491"/>
      <c r="I231" s="490"/>
      <c r="J231" s="490"/>
      <c r="K231" s="490"/>
      <c r="L231" s="490"/>
      <c r="M231" s="490"/>
      <c r="N231" s="490"/>
      <c r="O231" s="489"/>
      <c r="P231" s="489"/>
      <c r="Q231" s="489"/>
    </row>
    <row r="232" spans="1:21" ht="13.5">
      <c r="A232" s="519" t="s">
        <v>3400</v>
      </c>
      <c r="B232" s="556" t="s">
        <v>1931</v>
      </c>
      <c r="C232" s="589"/>
      <c r="D232" s="608"/>
      <c r="E232" s="608"/>
      <c r="F232" s="608"/>
      <c r="G232" s="608"/>
      <c r="H232" s="589"/>
      <c r="I232" s="608"/>
      <c r="J232" s="631"/>
      <c r="L232" s="559"/>
      <c r="M232" s="560"/>
      <c r="N232" s="560"/>
      <c r="O232" s="560"/>
      <c r="P232" s="560"/>
      <c r="Q232" s="558"/>
      <c r="R232" s="558"/>
    </row>
    <row r="233" spans="1:21" ht="9" customHeight="1">
      <c r="B233" s="493"/>
      <c r="C233" s="489"/>
      <c r="D233" s="489"/>
      <c r="E233" s="489"/>
      <c r="F233" s="490"/>
      <c r="G233" s="608"/>
      <c r="H233" s="589"/>
      <c r="I233" s="608"/>
      <c r="J233" s="631"/>
      <c r="L233" s="559"/>
      <c r="M233" s="560"/>
      <c r="N233" s="560"/>
      <c r="O233" s="560"/>
      <c r="P233" s="560"/>
      <c r="Q233" s="558"/>
      <c r="R233" s="558"/>
    </row>
    <row r="234" spans="1:21" ht="13.5">
      <c r="A234" s="500"/>
      <c r="B234" s="964" t="s">
        <v>4599</v>
      </c>
      <c r="C234" s="964"/>
      <c r="D234" s="964"/>
      <c r="E234" s="964"/>
      <c r="F234" s="964"/>
      <c r="G234" s="964"/>
      <c r="H234" s="964"/>
      <c r="I234" s="964"/>
      <c r="J234" s="631"/>
      <c r="L234" s="559"/>
      <c r="M234" s="560"/>
      <c r="N234" s="560"/>
      <c r="O234" s="560"/>
      <c r="P234" s="560"/>
      <c r="Q234" s="558"/>
      <c r="R234" s="558"/>
    </row>
    <row r="235" spans="1:21" ht="3.75" customHeight="1">
      <c r="A235" s="631"/>
      <c r="B235" s="631"/>
      <c r="C235" s="631"/>
      <c r="D235" s="631"/>
      <c r="E235" s="631"/>
      <c r="F235" s="631"/>
      <c r="G235" s="631"/>
      <c r="H235" s="631"/>
      <c r="I235" s="631"/>
      <c r="J235" s="631"/>
      <c r="L235" s="559"/>
      <c r="M235" s="560"/>
      <c r="N235" s="560"/>
      <c r="O235" s="560"/>
      <c r="P235" s="560"/>
      <c r="Q235" s="558"/>
      <c r="R235" s="558"/>
    </row>
    <row r="236" spans="1:21" ht="16.5" customHeight="1">
      <c r="A236" s="519" t="s">
        <v>3401</v>
      </c>
      <c r="B236" s="493" t="s">
        <v>3567</v>
      </c>
      <c r="C236" s="489"/>
      <c r="D236" s="489"/>
      <c r="E236" s="489"/>
      <c r="F236" s="487"/>
      <c r="G236" s="487"/>
      <c r="H236" s="487"/>
      <c r="I236" s="487"/>
      <c r="J236" s="487"/>
      <c r="K236" s="484"/>
      <c r="L236" s="484"/>
      <c r="M236" s="484"/>
      <c r="N236" s="484"/>
      <c r="O236" s="489"/>
      <c r="P236" s="489"/>
      <c r="Q236" s="489"/>
      <c r="R236" s="489"/>
      <c r="S236" s="518"/>
      <c r="T236" s="489"/>
      <c r="U236" s="511"/>
    </row>
    <row r="237" spans="1:21" ht="8.25" customHeight="1">
      <c r="B237" s="487"/>
      <c r="C237" s="487"/>
      <c r="D237" s="487"/>
      <c r="E237" s="487"/>
      <c r="F237" s="487"/>
      <c r="G237" s="487"/>
      <c r="H237" s="487"/>
      <c r="I237" s="487"/>
      <c r="J237" s="487"/>
      <c r="K237" s="484"/>
      <c r="L237" s="484"/>
      <c r="M237" s="484"/>
      <c r="N237" s="484"/>
      <c r="O237" s="489"/>
      <c r="P237" s="489"/>
      <c r="Q237" s="489"/>
      <c r="R237" s="489"/>
      <c r="S237" s="518"/>
      <c r="T237" s="489"/>
      <c r="U237" s="511"/>
    </row>
    <row r="238" spans="1:21" ht="40.5" customHeight="1">
      <c r="A238" s="500"/>
      <c r="B238" s="964" t="s">
        <v>42</v>
      </c>
      <c r="C238" s="964"/>
      <c r="D238" s="964"/>
      <c r="E238" s="964"/>
      <c r="F238" s="964"/>
      <c r="G238" s="964"/>
      <c r="H238" s="964"/>
      <c r="I238" s="964"/>
      <c r="J238" s="964"/>
      <c r="K238" s="518"/>
      <c r="L238" s="508"/>
      <c r="M238" s="490"/>
      <c r="N238" s="490"/>
      <c r="O238" s="489"/>
      <c r="P238" s="489"/>
      <c r="Q238" s="489"/>
      <c r="R238" s="489"/>
      <c r="S238" s="518"/>
      <c r="T238" s="489"/>
      <c r="U238" s="511"/>
    </row>
    <row r="239" spans="1:21" ht="7.5" customHeight="1">
      <c r="A239" s="519"/>
      <c r="B239" s="501"/>
      <c r="H239" s="497"/>
      <c r="J239" s="499"/>
      <c r="K239" s="512"/>
      <c r="L239" s="512"/>
      <c r="N239" s="511"/>
      <c r="P239" s="528"/>
      <c r="S239" s="512"/>
    </row>
    <row r="240" spans="1:21" s="529" customFormat="1" ht="13.5">
      <c r="A240" s="498"/>
      <c r="B240" s="493" t="s">
        <v>1939</v>
      </c>
      <c r="C240" s="493"/>
      <c r="H240" s="498"/>
    </row>
    <row r="241" spans="1:21" s="529" customFormat="1" ht="9.75" customHeight="1">
      <c r="A241" s="498"/>
      <c r="H241" s="498"/>
    </row>
    <row r="242" spans="1:21" s="529" customFormat="1" ht="44.25" customHeight="1">
      <c r="A242" s="498"/>
      <c r="B242" s="964" t="s">
        <v>4315</v>
      </c>
      <c r="C242" s="964"/>
      <c r="D242" s="964"/>
      <c r="E242" s="964"/>
      <c r="F242" s="964"/>
      <c r="G242" s="964"/>
      <c r="H242" s="964"/>
      <c r="I242" s="964"/>
      <c r="J242" s="964"/>
      <c r="K242" s="521"/>
      <c r="L242" s="521"/>
    </row>
    <row r="243" spans="1:21" s="529" customFormat="1" ht="5.25" customHeight="1">
      <c r="A243" s="486"/>
      <c r="B243" s="487"/>
      <c r="C243" s="487"/>
      <c r="D243" s="487"/>
      <c r="E243" s="487"/>
      <c r="F243" s="487"/>
      <c r="G243" s="487"/>
      <c r="H243" s="518"/>
      <c r="I243" s="487"/>
      <c r="J243" s="543"/>
      <c r="K243" s="487"/>
    </row>
    <row r="244" spans="1:21" s="529" customFormat="1" ht="15.75" customHeight="1">
      <c r="A244" s="498"/>
      <c r="B244" s="493" t="s">
        <v>41</v>
      </c>
      <c r="C244" s="493"/>
      <c r="H244" s="497" t="s">
        <v>4583</v>
      </c>
      <c r="I244" s="498"/>
      <c r="J244" s="499" t="s">
        <v>4319</v>
      </c>
    </row>
    <row r="245" spans="1:21" ht="13.5">
      <c r="A245" s="498"/>
      <c r="B245" s="529"/>
      <c r="C245" s="529"/>
      <c r="D245" s="529"/>
      <c r="E245" s="529"/>
      <c r="F245" s="529"/>
      <c r="G245" s="529"/>
      <c r="H245" s="497" t="s">
        <v>1921</v>
      </c>
      <c r="J245" s="499" t="s">
        <v>1921</v>
      </c>
      <c r="K245" s="529"/>
      <c r="L245" s="529"/>
    </row>
    <row r="246" spans="1:21" ht="9.75" customHeight="1">
      <c r="A246" s="498"/>
      <c r="B246" s="529"/>
      <c r="C246" s="529"/>
      <c r="D246" s="529"/>
      <c r="E246" s="529"/>
      <c r="F246" s="529"/>
      <c r="G246" s="529"/>
      <c r="H246" s="497"/>
      <c r="J246" s="499"/>
      <c r="K246" s="529"/>
      <c r="L246" s="529"/>
    </row>
    <row r="247" spans="1:21" ht="15" customHeight="1">
      <c r="A247" s="498"/>
      <c r="B247" s="968" t="s">
        <v>320</v>
      </c>
      <c r="C247" s="968"/>
      <c r="D247" s="968"/>
      <c r="E247" s="968"/>
      <c r="F247" s="968"/>
      <c r="G247" s="521"/>
      <c r="K247" s="521"/>
      <c r="L247" s="521"/>
      <c r="M247" s="487"/>
      <c r="N247" s="487"/>
      <c r="O247" s="489"/>
      <c r="P247" s="489"/>
      <c r="Q247" s="489"/>
      <c r="R247" s="489"/>
      <c r="S247" s="518"/>
      <c r="T247" s="489"/>
      <c r="U247" s="511"/>
    </row>
    <row r="248" spans="1:21" ht="9.75" customHeight="1">
      <c r="I248" s="518"/>
      <c r="J248" s="499"/>
      <c r="M248" s="487"/>
      <c r="N248" s="547"/>
      <c r="O248" s="489"/>
      <c r="P248" s="489"/>
      <c r="Q248" s="489"/>
      <c r="R248" s="489"/>
      <c r="S248" s="518"/>
      <c r="T248" s="489"/>
      <c r="U248" s="511"/>
    </row>
    <row r="249" spans="1:21" ht="15.75" customHeight="1">
      <c r="B249" s="529" t="s">
        <v>4318</v>
      </c>
      <c r="C249" s="529"/>
      <c r="D249" s="529"/>
      <c r="E249" s="529"/>
      <c r="F249" s="548"/>
      <c r="G249" s="529"/>
      <c r="H249" s="626" t="e">
        <f>H142+H83</f>
        <v>#REF!</v>
      </c>
      <c r="I249" s="529"/>
      <c r="J249" s="624">
        <v>108528612</v>
      </c>
      <c r="K249" s="529"/>
      <c r="L249" s="745">
        <f>I142+I83</f>
        <v>0</v>
      </c>
      <c r="M249" s="745" t="s">
        <v>4626</v>
      </c>
      <c r="N249" s="487"/>
      <c r="O249" s="489"/>
      <c r="P249" s="489"/>
      <c r="Q249" s="489"/>
      <c r="R249" s="489"/>
      <c r="S249" s="518"/>
      <c r="T249" s="489"/>
      <c r="U249" s="511"/>
    </row>
    <row r="250" spans="1:21" ht="15.75" customHeight="1">
      <c r="B250" s="529" t="s">
        <v>1932</v>
      </c>
      <c r="C250" s="529"/>
      <c r="D250" s="529"/>
      <c r="E250" s="529"/>
      <c r="F250" s="548"/>
      <c r="G250" s="529"/>
      <c r="H250" s="715" t="e">
        <f>-#REF!</f>
        <v>#REF!</v>
      </c>
      <c r="I250" s="529"/>
      <c r="J250" s="579">
        <v>-34745969</v>
      </c>
      <c r="K250" s="518"/>
      <c r="L250" s="514"/>
      <c r="M250" s="487"/>
      <c r="N250" s="549"/>
      <c r="O250" s="489"/>
      <c r="P250" s="489"/>
      <c r="Q250" s="489"/>
      <c r="R250" s="489"/>
      <c r="S250" s="518"/>
      <c r="T250" s="489"/>
      <c r="U250" s="511"/>
    </row>
    <row r="251" spans="1:21" ht="9.75" customHeight="1">
      <c r="B251" s="529"/>
      <c r="C251" s="529"/>
      <c r="D251" s="529"/>
      <c r="E251" s="529"/>
      <c r="F251" s="529"/>
      <c r="G251" s="529"/>
      <c r="H251" s="518"/>
      <c r="I251" s="529"/>
      <c r="J251" s="708"/>
      <c r="K251" s="529"/>
      <c r="L251" s="529"/>
      <c r="M251" s="487"/>
      <c r="N251" s="487"/>
      <c r="O251" s="489"/>
      <c r="P251" s="489"/>
      <c r="Q251" s="489"/>
      <c r="R251" s="489"/>
      <c r="S251" s="518"/>
      <c r="T251" s="489"/>
      <c r="U251" s="511"/>
    </row>
    <row r="252" spans="1:21" ht="15.75" customHeight="1" thickBot="1">
      <c r="B252" s="529" t="s">
        <v>43</v>
      </c>
      <c r="C252" s="529"/>
      <c r="D252" s="529"/>
      <c r="E252" s="529"/>
      <c r="F252" s="529"/>
      <c r="G252" s="529"/>
      <c r="H252" s="634" t="e">
        <f>H249+H250</f>
        <v>#REF!</v>
      </c>
      <c r="I252" s="529"/>
      <c r="J252" s="637">
        <v>73782643</v>
      </c>
      <c r="K252" s="529"/>
      <c r="L252" s="517"/>
      <c r="M252" s="487"/>
      <c r="N252" s="550"/>
      <c r="O252" s="489"/>
      <c r="P252" s="489"/>
      <c r="Q252" s="489"/>
      <c r="R252" s="489"/>
      <c r="S252" s="518"/>
      <c r="T252" s="489"/>
      <c r="U252" s="511"/>
    </row>
    <row r="253" spans="1:21" ht="5.25" customHeight="1" thickTop="1">
      <c r="B253" s="529"/>
      <c r="C253" s="529"/>
      <c r="D253" s="529"/>
      <c r="E253" s="529"/>
      <c r="F253" s="529"/>
      <c r="G253" s="529"/>
      <c r="H253" s="518"/>
      <c r="I253" s="529"/>
      <c r="J253" s="529"/>
      <c r="K253" s="529"/>
      <c r="L253" s="529"/>
      <c r="M253" s="487"/>
      <c r="N253" s="550"/>
      <c r="O253" s="489"/>
      <c r="P253" s="489"/>
      <c r="Q253" s="489"/>
      <c r="R253" s="489"/>
      <c r="S253" s="518"/>
      <c r="T253" s="489"/>
      <c r="U253" s="511"/>
    </row>
    <row r="254" spans="1:21" ht="15.75" customHeight="1" thickBot="1">
      <c r="B254" s="529" t="s">
        <v>44</v>
      </c>
      <c r="C254" s="529"/>
      <c r="D254" s="529"/>
      <c r="E254" s="529"/>
      <c r="F254" s="529"/>
      <c r="G254" s="529"/>
      <c r="H254" s="634" t="e">
        <f>#REF!</f>
        <v>#REF!</v>
      </c>
      <c r="I254" s="529"/>
      <c r="J254" s="637">
        <v>20665966</v>
      </c>
      <c r="K254" s="529"/>
      <c r="L254" s="512"/>
      <c r="O254" s="489"/>
      <c r="P254" s="489"/>
      <c r="Q254" s="489"/>
      <c r="R254" s="489"/>
      <c r="S254" s="518"/>
      <c r="T254" s="489"/>
      <c r="U254" s="511"/>
    </row>
    <row r="255" spans="1:21" ht="5.25" customHeight="1" thickTop="1">
      <c r="B255" s="529"/>
      <c r="C255" s="529"/>
      <c r="D255" s="529"/>
      <c r="E255" s="529"/>
      <c r="F255" s="529"/>
      <c r="G255" s="529"/>
      <c r="I255" s="529"/>
      <c r="J255" s="529"/>
      <c r="K255" s="529"/>
      <c r="L255" s="529"/>
      <c r="M255" s="487"/>
      <c r="N255" s="511"/>
      <c r="O255" s="489"/>
      <c r="P255" s="489"/>
      <c r="Q255" s="489"/>
      <c r="R255" s="489"/>
      <c r="S255" s="518"/>
      <c r="T255" s="489"/>
      <c r="U255" s="511"/>
    </row>
    <row r="256" spans="1:21" ht="15.75" customHeight="1" thickBot="1">
      <c r="B256" s="529" t="s">
        <v>45</v>
      </c>
      <c r="C256" s="529"/>
      <c r="D256" s="529"/>
      <c r="E256" s="529"/>
      <c r="F256" s="529"/>
      <c r="G256" s="529"/>
      <c r="H256" s="718" t="e">
        <f>H252/H254</f>
        <v>#REF!</v>
      </c>
      <c r="I256" s="529"/>
      <c r="J256" s="709">
        <v>3.5702489300524349</v>
      </c>
      <c r="K256" s="529"/>
      <c r="L256" s="550"/>
      <c r="M256" s="490"/>
      <c r="N256" s="490"/>
      <c r="O256" s="489"/>
      <c r="P256" s="489"/>
      <c r="Q256" s="489"/>
      <c r="R256" s="489"/>
      <c r="S256" s="518"/>
      <c r="T256" s="489"/>
      <c r="U256" s="511"/>
    </row>
    <row r="257" spans="1:21" ht="12.75" customHeight="1" thickTop="1">
      <c r="A257" s="737"/>
      <c r="B257" s="489"/>
      <c r="C257" s="489"/>
      <c r="D257" s="489"/>
      <c r="E257" s="489"/>
      <c r="F257" s="489"/>
      <c r="G257" s="489"/>
      <c r="H257" s="493"/>
      <c r="I257" s="489"/>
      <c r="J257" s="489"/>
      <c r="K257" s="489"/>
      <c r="L257" s="489"/>
      <c r="M257" s="489"/>
      <c r="N257" s="489"/>
      <c r="O257" s="489"/>
      <c r="P257" s="489"/>
      <c r="Q257" s="489"/>
    </row>
    <row r="258" spans="1:21" ht="14.25" customHeight="1">
      <c r="B258" s="489" t="s">
        <v>321</v>
      </c>
      <c r="C258" s="487"/>
      <c r="D258" s="487"/>
      <c r="E258" s="487"/>
      <c r="F258" s="487"/>
      <c r="G258" s="487"/>
      <c r="I258" s="487"/>
      <c r="J258" s="551"/>
      <c r="K258" s="487"/>
      <c r="M258" s="490"/>
      <c r="N258" s="490"/>
      <c r="O258" s="489"/>
      <c r="P258" s="489"/>
      <c r="Q258" s="489"/>
      <c r="R258" s="489"/>
      <c r="S258" s="518"/>
      <c r="T258" s="489"/>
      <c r="U258" s="511"/>
    </row>
    <row r="259" spans="1:21" ht="6.75" customHeight="1">
      <c r="L259" s="511"/>
      <c r="M259" s="487"/>
      <c r="N259" s="487"/>
      <c r="O259" s="489"/>
      <c r="P259" s="489"/>
      <c r="Q259" s="489"/>
      <c r="R259" s="489"/>
      <c r="S259" s="518"/>
      <c r="T259" s="489"/>
      <c r="U259" s="511"/>
    </row>
    <row r="260" spans="1:21" s="529" customFormat="1" ht="24" customHeight="1">
      <c r="A260" s="486"/>
      <c r="B260" s="523" t="s">
        <v>1929</v>
      </c>
      <c r="C260" s="934" t="s">
        <v>4625</v>
      </c>
      <c r="D260" s="934"/>
      <c r="E260" s="934"/>
      <c r="F260" s="934"/>
      <c r="G260" s="934"/>
      <c r="H260" s="934"/>
      <c r="I260" s="934"/>
      <c r="J260" s="934"/>
      <c r="K260" s="521"/>
    </row>
    <row r="261" spans="1:21" s="529" customFormat="1" ht="7.5" customHeight="1">
      <c r="A261" s="486"/>
      <c r="C261" s="1013"/>
      <c r="D261" s="1013"/>
      <c r="E261" s="1013"/>
      <c r="F261" s="1013"/>
      <c r="G261" s="1013"/>
      <c r="H261" s="1013"/>
      <c r="I261" s="1013"/>
      <c r="J261" s="1013"/>
    </row>
    <row r="262" spans="1:21" s="529" customFormat="1" ht="13.5">
      <c r="A262" s="486"/>
      <c r="B262" s="523" t="s">
        <v>46</v>
      </c>
      <c r="C262" s="934" t="s">
        <v>7</v>
      </c>
      <c r="D262" s="934"/>
      <c r="E262" s="934"/>
      <c r="F262" s="934"/>
      <c r="G262" s="934"/>
      <c r="H262" s="934"/>
      <c r="I262" s="934"/>
      <c r="J262" s="934"/>
      <c r="K262" s="553"/>
      <c r="L262" s="553"/>
    </row>
    <row r="263" spans="1:21" s="529" customFormat="1" ht="8.25" customHeight="1">
      <c r="A263" s="486"/>
      <c r="B263" s="523"/>
      <c r="C263" s="487"/>
      <c r="D263" s="487"/>
      <c r="E263" s="487"/>
      <c r="F263" s="487"/>
      <c r="G263" s="487"/>
      <c r="H263" s="552"/>
      <c r="I263" s="487"/>
      <c r="J263" s="553"/>
      <c r="K263" s="553"/>
      <c r="L263" s="553"/>
    </row>
    <row r="264" spans="1:21" s="529" customFormat="1" ht="15" customHeight="1">
      <c r="A264" s="486"/>
      <c r="B264" s="493" t="s">
        <v>47</v>
      </c>
      <c r="H264" s="552"/>
      <c r="I264" s="487"/>
      <c r="J264" s="553"/>
      <c r="K264" s="553"/>
      <c r="L264" s="553"/>
    </row>
    <row r="265" spans="1:21" s="529" customFormat="1" ht="10.5" customHeight="1">
      <c r="A265" s="486"/>
      <c r="H265" s="552"/>
      <c r="I265" s="487"/>
      <c r="J265" s="553"/>
      <c r="K265" s="553"/>
      <c r="L265" s="553"/>
    </row>
    <row r="266" spans="1:21" s="529" customFormat="1" ht="52.5" customHeight="1">
      <c r="A266" s="486"/>
      <c r="B266" s="964" t="s">
        <v>48</v>
      </c>
      <c r="C266" s="964"/>
      <c r="D266" s="964"/>
      <c r="E266" s="964"/>
      <c r="F266" s="964"/>
      <c r="G266" s="964"/>
      <c r="H266" s="964"/>
      <c r="I266" s="964"/>
      <c r="J266" s="964"/>
      <c r="K266" s="553"/>
      <c r="L266" s="553"/>
    </row>
    <row r="267" spans="1:21" s="529" customFormat="1" ht="6.75" customHeight="1">
      <c r="A267" s="486"/>
      <c r="B267" s="523"/>
      <c r="C267" s="487"/>
      <c r="D267" s="487"/>
      <c r="E267" s="487"/>
      <c r="F267" s="487"/>
      <c r="G267" s="487"/>
      <c r="H267" s="552"/>
      <c r="I267" s="487"/>
      <c r="J267" s="553"/>
      <c r="K267" s="553"/>
      <c r="L267" s="553"/>
    </row>
    <row r="268" spans="1:21" s="529" customFormat="1" ht="29.25" customHeight="1">
      <c r="A268" s="486"/>
      <c r="B268" s="964" t="s">
        <v>446</v>
      </c>
      <c r="C268" s="964"/>
      <c r="D268" s="964"/>
      <c r="E268" s="964"/>
      <c r="F268" s="964"/>
      <c r="G268" s="964"/>
      <c r="H268" s="964"/>
      <c r="I268" s="964"/>
      <c r="J268" s="964"/>
      <c r="K268" s="553"/>
      <c r="L268" s="553"/>
    </row>
    <row r="269" spans="1:21" s="529" customFormat="1" ht="8.25" customHeight="1">
      <c r="A269" s="486"/>
      <c r="B269" s="631"/>
      <c r="C269" s="631"/>
      <c r="D269" s="631"/>
      <c r="E269" s="631"/>
      <c r="F269" s="631"/>
      <c r="G269" s="631"/>
      <c r="H269" s="631"/>
      <c r="I269" s="631"/>
      <c r="J269" s="631"/>
      <c r="K269" s="553"/>
      <c r="L269" s="553"/>
    </row>
    <row r="270" spans="1:21" s="529" customFormat="1" ht="16.5" customHeight="1">
      <c r="A270" s="486"/>
      <c r="B270" s="702" t="s">
        <v>3408</v>
      </c>
      <c r="C270" s="964" t="s">
        <v>447</v>
      </c>
      <c r="D270" s="964"/>
      <c r="E270" s="964"/>
      <c r="F270" s="964"/>
      <c r="G270" s="964"/>
      <c r="H270" s="964"/>
      <c r="I270" s="964"/>
      <c r="J270" s="964"/>
      <c r="K270" s="553"/>
      <c r="L270" s="553"/>
    </row>
    <row r="271" spans="1:21" s="529" customFormat="1" ht="28.5" customHeight="1">
      <c r="A271" s="486"/>
      <c r="B271" s="702" t="s">
        <v>3408</v>
      </c>
      <c r="C271" s="934" t="s">
        <v>448</v>
      </c>
      <c r="D271" s="934"/>
      <c r="E271" s="934"/>
      <c r="F271" s="934"/>
      <c r="G271" s="934"/>
      <c r="H271" s="934"/>
      <c r="I271" s="934"/>
      <c r="J271" s="934"/>
      <c r="K271" s="553"/>
      <c r="L271" s="553"/>
    </row>
    <row r="272" spans="1:21" s="529" customFormat="1" ht="18.75" customHeight="1">
      <c r="A272" s="486"/>
      <c r="B272" s="702" t="s">
        <v>3408</v>
      </c>
      <c r="C272" s="934" t="s">
        <v>4581</v>
      </c>
      <c r="D272" s="934"/>
      <c r="E272" s="934"/>
      <c r="F272" s="934"/>
      <c r="G272" s="934"/>
      <c r="H272" s="934"/>
      <c r="I272" s="934"/>
      <c r="J272" s="934"/>
      <c r="K272" s="553"/>
      <c r="L272" s="553"/>
    </row>
    <row r="273" spans="1:12" s="529" customFormat="1" ht="6" customHeight="1">
      <c r="A273" s="486"/>
      <c r="B273" s="498"/>
      <c r="C273" s="498"/>
      <c r="D273" s="498"/>
      <c r="E273" s="498"/>
      <c r="F273" s="498"/>
      <c r="G273" s="498"/>
      <c r="H273" s="631"/>
      <c r="I273" s="631"/>
      <c r="J273" s="631"/>
      <c r="K273" s="553"/>
      <c r="L273" s="553"/>
    </row>
    <row r="274" spans="1:12" s="484" customFormat="1" ht="27.75" customHeight="1">
      <c r="A274" s="623"/>
      <c r="B274" s="702" t="s">
        <v>3408</v>
      </c>
      <c r="C274" s="934" t="s">
        <v>4580</v>
      </c>
      <c r="D274" s="934"/>
      <c r="E274" s="934"/>
      <c r="F274" s="934"/>
      <c r="G274" s="934"/>
      <c r="H274" s="934"/>
      <c r="I274" s="934"/>
      <c r="J274" s="934"/>
    </row>
    <row r="275" spans="1:12" s="484" customFormat="1" ht="6.75" customHeight="1">
      <c r="A275" s="623"/>
      <c r="C275" s="934"/>
      <c r="D275" s="934"/>
      <c r="E275" s="934"/>
      <c r="F275" s="934"/>
      <c r="G275" s="934"/>
      <c r="H275" s="934"/>
      <c r="I275" s="934"/>
      <c r="J275" s="934"/>
    </row>
    <row r="276" spans="1:12" s="484" customFormat="1" ht="13.5" customHeight="1">
      <c r="A276" s="623"/>
      <c r="B276" s="702" t="s">
        <v>3408</v>
      </c>
      <c r="C276" s="934" t="s">
        <v>449</v>
      </c>
      <c r="D276" s="934"/>
      <c r="E276" s="934"/>
      <c r="F276" s="934"/>
      <c r="G276" s="934"/>
      <c r="H276" s="934"/>
      <c r="I276" s="934"/>
      <c r="J276" s="934"/>
    </row>
    <row r="277" spans="1:12" s="529" customFormat="1" ht="13.5">
      <c r="A277" s="486"/>
      <c r="B277" s="523"/>
      <c r="C277" s="487"/>
      <c r="D277" s="487"/>
      <c r="E277" s="487"/>
      <c r="F277" s="487"/>
      <c r="G277" s="487"/>
      <c r="H277" s="552"/>
      <c r="I277" s="487"/>
      <c r="J277" s="553"/>
      <c r="K277" s="553"/>
      <c r="L277" s="553"/>
    </row>
    <row r="278" spans="1:12" s="529" customFormat="1" ht="13.5">
      <c r="A278" s="486"/>
      <c r="B278" s="523"/>
      <c r="C278" s="487"/>
      <c r="D278" s="487"/>
      <c r="E278" s="487"/>
      <c r="F278" s="487"/>
      <c r="G278" s="487"/>
      <c r="H278" s="552"/>
      <c r="I278" s="487"/>
      <c r="J278" s="553"/>
      <c r="K278" s="553"/>
      <c r="L278" s="553"/>
    </row>
    <row r="279" spans="1:12" s="529" customFormat="1" ht="10.5" customHeight="1">
      <c r="A279" s="486"/>
      <c r="H279" s="497"/>
      <c r="I279" s="486"/>
      <c r="J279" s="499"/>
    </row>
    <row r="289" spans="11:21" ht="15.75" customHeight="1">
      <c r="K289" s="529"/>
      <c r="L289" s="529"/>
      <c r="M289" s="487"/>
      <c r="N289" s="549"/>
      <c r="O289" s="489"/>
      <c r="P289" s="489"/>
      <c r="Q289" s="489"/>
      <c r="R289" s="489"/>
      <c r="S289" s="518"/>
      <c r="T289" s="489"/>
      <c r="U289" s="511"/>
    </row>
    <row r="290" spans="11:21" ht="11.25" customHeight="1">
      <c r="K290" s="529"/>
      <c r="L290" s="529"/>
      <c r="M290" s="487"/>
      <c r="N290" s="549"/>
      <c r="O290" s="489"/>
      <c r="P290" s="489"/>
      <c r="Q290" s="489"/>
      <c r="R290" s="489"/>
      <c r="S290" s="518"/>
      <c r="T290" s="489"/>
      <c r="U290" s="511"/>
    </row>
    <row r="291" spans="11:21" ht="15.75" customHeight="1">
      <c r="K291" s="529"/>
      <c r="L291" s="529"/>
      <c r="M291" s="487"/>
      <c r="N291" s="549"/>
      <c r="O291" s="489"/>
      <c r="P291" s="489"/>
      <c r="Q291" s="489"/>
      <c r="R291" s="489"/>
      <c r="S291" s="518"/>
      <c r="T291" s="489"/>
      <c r="U291" s="511"/>
    </row>
    <row r="292" spans="11:21" ht="9" customHeight="1">
      <c r="K292" s="529"/>
      <c r="L292" s="529"/>
      <c r="M292" s="487"/>
      <c r="N292" s="549"/>
      <c r="O292" s="489"/>
      <c r="P292" s="489"/>
      <c r="Q292" s="489"/>
      <c r="R292" s="489"/>
      <c r="S292" s="518"/>
      <c r="T292" s="489"/>
      <c r="U292" s="511"/>
    </row>
    <row r="293" spans="11:21" ht="29.25" customHeight="1">
      <c r="K293" s="529"/>
      <c r="L293" s="529"/>
      <c r="M293" s="487"/>
      <c r="N293" s="549"/>
      <c r="O293" s="489"/>
      <c r="P293" s="489"/>
      <c r="Q293" s="489"/>
      <c r="R293" s="489"/>
      <c r="S293" s="518"/>
      <c r="T293" s="489"/>
      <c r="U293" s="511"/>
    </row>
    <row r="294" spans="11:21" ht="10.5" customHeight="1">
      <c r="K294" s="529"/>
      <c r="L294" s="529"/>
      <c r="M294" s="487"/>
      <c r="N294" s="549"/>
      <c r="O294" s="489"/>
      <c r="P294" s="489"/>
      <c r="Q294" s="489"/>
      <c r="R294" s="489"/>
      <c r="S294" s="518"/>
      <c r="T294" s="489"/>
      <c r="U294" s="511"/>
    </row>
    <row r="295" spans="11:21" ht="15.75" customHeight="1">
      <c r="K295" s="529"/>
      <c r="L295" s="529"/>
      <c r="M295" s="487"/>
      <c r="N295" s="549"/>
      <c r="O295" s="489"/>
      <c r="P295" s="489"/>
      <c r="Q295" s="489"/>
      <c r="R295" s="489"/>
      <c r="S295" s="518"/>
      <c r="T295" s="489"/>
      <c r="U295" s="511"/>
    </row>
    <row r="296" spans="11:21" ht="15.75" customHeight="1">
      <c r="K296" s="529"/>
      <c r="L296" s="529"/>
      <c r="M296" s="487"/>
      <c r="N296" s="549"/>
      <c r="O296" s="489"/>
      <c r="P296" s="489"/>
      <c r="Q296" s="489"/>
      <c r="R296" s="489"/>
      <c r="S296" s="518"/>
      <c r="T296" s="489"/>
      <c r="U296" s="511"/>
    </row>
    <row r="297" spans="11:21" ht="15.75" customHeight="1">
      <c r="K297" s="529"/>
      <c r="L297" s="529"/>
      <c r="M297" s="487"/>
      <c r="N297" s="549"/>
      <c r="O297" s="489"/>
      <c r="P297" s="489"/>
      <c r="Q297" s="489"/>
      <c r="R297" s="489"/>
      <c r="S297" s="518"/>
      <c r="T297" s="489"/>
      <c r="U297" s="511"/>
    </row>
    <row r="317" spans="1:19" s="489" customFormat="1" ht="15.75" customHeight="1">
      <c r="A317" s="486"/>
      <c r="H317" s="493"/>
      <c r="R317" s="501"/>
      <c r="S317" s="499"/>
    </row>
    <row r="318" spans="1:19" s="489" customFormat="1" ht="15.75" customHeight="1">
      <c r="A318" s="486"/>
      <c r="H318" s="493"/>
      <c r="R318" s="501"/>
      <c r="S318" s="486"/>
    </row>
    <row r="319" spans="1:19" s="489" customFormat="1" ht="15.75" customHeight="1">
      <c r="A319" s="486"/>
      <c r="H319" s="493"/>
    </row>
    <row r="320" spans="1:19" s="489" customFormat="1" ht="15.75" customHeight="1">
      <c r="A320" s="486"/>
      <c r="H320" s="493"/>
    </row>
    <row r="321" spans="1:19" s="489" customFormat="1" ht="15.75" customHeight="1">
      <c r="H321" s="493"/>
    </row>
    <row r="322" spans="1:19" s="489" customFormat="1" ht="15.75" customHeight="1">
      <c r="H322" s="493"/>
    </row>
    <row r="323" spans="1:19" s="489" customFormat="1" ht="15.75" customHeight="1">
      <c r="H323" s="493"/>
      <c r="R323" s="521"/>
      <c r="S323" s="521"/>
    </row>
    <row r="324" spans="1:19" s="489" customFormat="1" ht="15.75" customHeight="1">
      <c r="H324" s="493"/>
      <c r="R324" s="521"/>
      <c r="S324" s="521"/>
    </row>
    <row r="325" spans="1:19" s="489" customFormat="1" ht="15.75" customHeight="1">
      <c r="H325" s="493"/>
      <c r="R325" s="513"/>
      <c r="S325" s="513"/>
    </row>
    <row r="326" spans="1:19" s="489" customFormat="1" ht="15.75" customHeight="1">
      <c r="H326" s="493"/>
      <c r="R326" s="497"/>
      <c r="S326" s="499"/>
    </row>
    <row r="327" spans="1:19" s="489" customFormat="1" ht="15.75" customHeight="1">
      <c r="H327" s="493"/>
    </row>
    <row r="328" spans="1:19" s="489" customFormat="1" ht="15.75" customHeight="1">
      <c r="H328" s="493"/>
    </row>
    <row r="329" spans="1:19" s="489" customFormat="1" ht="15.75" customHeight="1">
      <c r="H329" s="493"/>
    </row>
    <row r="330" spans="1:19" s="489" customFormat="1" ht="15.75" customHeight="1">
      <c r="H330" s="493"/>
    </row>
    <row r="331" spans="1:19" s="489" customFormat="1" ht="15.75" customHeight="1">
      <c r="H331" s="493"/>
    </row>
    <row r="332" spans="1:19" s="489" customFormat="1" ht="15.75" customHeight="1">
      <c r="H332" s="493"/>
      <c r="R332" s="554"/>
    </row>
    <row r="333" spans="1:19" s="489" customFormat="1" ht="15.75" customHeight="1">
      <c r="H333" s="493"/>
      <c r="N333" s="555"/>
      <c r="O333" s="512"/>
      <c r="P333" s="543"/>
    </row>
    <row r="334" spans="1:19" s="489" customFormat="1" ht="15.75" customHeight="1">
      <c r="H334" s="493"/>
      <c r="N334" s="555"/>
      <c r="O334" s="512"/>
      <c r="P334" s="543"/>
    </row>
    <row r="335" spans="1:19" ht="15.75" customHeight="1">
      <c r="A335" s="489"/>
      <c r="B335" s="489"/>
      <c r="C335" s="489"/>
      <c r="D335" s="489"/>
      <c r="E335" s="489"/>
      <c r="F335" s="489"/>
      <c r="G335" s="489"/>
      <c r="H335" s="493"/>
      <c r="I335" s="489"/>
      <c r="J335" s="489"/>
      <c r="K335" s="489"/>
      <c r="L335" s="489"/>
    </row>
    <row r="336" spans="1:19" ht="15.75" customHeight="1">
      <c r="A336" s="489"/>
      <c r="B336" s="489"/>
      <c r="C336" s="489"/>
      <c r="D336" s="489"/>
      <c r="E336" s="489"/>
      <c r="F336" s="489"/>
      <c r="G336" s="489"/>
      <c r="H336" s="493"/>
      <c r="I336" s="489"/>
      <c r="J336" s="489"/>
      <c r="K336" s="489"/>
      <c r="L336" s="489"/>
    </row>
    <row r="337" spans="1:18" ht="15.75" customHeight="1">
      <c r="A337" s="737"/>
      <c r="B337" s="493"/>
      <c r="C337" s="493"/>
      <c r="D337" s="493"/>
      <c r="E337" s="493"/>
      <c r="F337" s="493"/>
      <c r="G337" s="493"/>
      <c r="H337" s="493"/>
      <c r="I337" s="493"/>
      <c r="J337" s="489"/>
      <c r="K337" s="489"/>
      <c r="L337" s="489"/>
      <c r="R337" s="512"/>
    </row>
    <row r="338" spans="1:18" ht="15.75" customHeight="1">
      <c r="A338" s="737"/>
      <c r="B338" s="493"/>
      <c r="C338" s="493"/>
      <c r="D338" s="493"/>
      <c r="E338" s="493"/>
      <c r="F338" s="493"/>
      <c r="G338" s="493"/>
      <c r="H338" s="493"/>
      <c r="I338" s="493"/>
      <c r="J338" s="489"/>
      <c r="K338" s="489"/>
      <c r="L338" s="489"/>
      <c r="R338" s="512"/>
    </row>
    <row r="339" spans="1:18" ht="15.75" customHeight="1">
      <c r="R339" s="512"/>
    </row>
    <row r="340" spans="1:18" ht="15.75" customHeight="1">
      <c r="R340" s="503"/>
    </row>
    <row r="348" spans="1:18" ht="15.75" customHeight="1">
      <c r="N348" s="511"/>
      <c r="O348" s="493"/>
      <c r="P348" s="511"/>
    </row>
    <row r="352" spans="1:18" ht="15.75" customHeight="1">
      <c r="A352" s="500"/>
    </row>
    <row r="353" spans="1:16" ht="15.75" customHeight="1">
      <c r="A353" s="500"/>
    </row>
    <row r="354" spans="1:16" ht="15.75" customHeight="1">
      <c r="A354" s="500"/>
    </row>
    <row r="355" spans="1:16" ht="15.75" customHeight="1">
      <c r="A355" s="500"/>
    </row>
    <row r="356" spans="1:16" ht="15.75" customHeight="1">
      <c r="A356" s="500"/>
      <c r="N356" s="511"/>
      <c r="O356" s="493"/>
      <c r="P356" s="511"/>
    </row>
    <row r="357" spans="1:16" ht="15.75" customHeight="1">
      <c r="A357" s="500"/>
    </row>
    <row r="358" spans="1:16" ht="15.75" customHeight="1">
      <c r="A358" s="500"/>
    </row>
    <row r="359" spans="1:16" ht="15.75" customHeight="1">
      <c r="A359" s="500"/>
    </row>
    <row r="360" spans="1:16" ht="15.75" customHeight="1">
      <c r="A360" s="500"/>
    </row>
    <row r="364" spans="1:16" ht="15.75" customHeight="1">
      <c r="N364" s="511"/>
      <c r="O364" s="493"/>
      <c r="P364" s="511"/>
    </row>
    <row r="368" spans="1:16" ht="15.75" customHeight="1">
      <c r="A368" s="500"/>
    </row>
  </sheetData>
  <mergeCells count="84">
    <mergeCell ref="B202:J202"/>
    <mergeCell ref="B184:C185"/>
    <mergeCell ref="D184:E184"/>
    <mergeCell ref="C276:J276"/>
    <mergeCell ref="C260:J260"/>
    <mergeCell ref="C261:J261"/>
    <mergeCell ref="C262:J262"/>
    <mergeCell ref="B266:J266"/>
    <mergeCell ref="B268:J268"/>
    <mergeCell ref="C270:J270"/>
    <mergeCell ref="C271:J271"/>
    <mergeCell ref="C272:J272"/>
    <mergeCell ref="C274:J274"/>
    <mergeCell ref="C275:H275"/>
    <mergeCell ref="I275:J275"/>
    <mergeCell ref="B247:F247"/>
    <mergeCell ref="B224:J224"/>
    <mergeCell ref="B225:J225"/>
    <mergeCell ref="B234:I234"/>
    <mergeCell ref="B238:J238"/>
    <mergeCell ref="B206:J206"/>
    <mergeCell ref="B217:J217"/>
    <mergeCell ref="B219:H219"/>
    <mergeCell ref="B220:H220"/>
    <mergeCell ref="B221:J221"/>
    <mergeCell ref="B242:J242"/>
    <mergeCell ref="J179:J182"/>
    <mergeCell ref="D180:E180"/>
    <mergeCell ref="D181:E181"/>
    <mergeCell ref="D182:E182"/>
    <mergeCell ref="B183:C183"/>
    <mergeCell ref="D183:E183"/>
    <mergeCell ref="G183:I183"/>
    <mergeCell ref="B179:C182"/>
    <mergeCell ref="D179:E179"/>
    <mergeCell ref="F179:F182"/>
    <mergeCell ref="G179:I182"/>
    <mergeCell ref="F184:F185"/>
    <mergeCell ref="G184:I185"/>
    <mergeCell ref="D185:E185"/>
    <mergeCell ref="B223:J223"/>
    <mergeCell ref="B177:C178"/>
    <mergeCell ref="D177:E177"/>
    <mergeCell ref="F177:F178"/>
    <mergeCell ref="G177:I178"/>
    <mergeCell ref="D178:E178"/>
    <mergeCell ref="B176:C176"/>
    <mergeCell ref="D176:E176"/>
    <mergeCell ref="G176:I176"/>
    <mergeCell ref="B161:J161"/>
    <mergeCell ref="B163:J163"/>
    <mergeCell ref="B165:J165"/>
    <mergeCell ref="B167:J167"/>
    <mergeCell ref="B169:J169"/>
    <mergeCell ref="B171:J171"/>
    <mergeCell ref="B173:J173"/>
    <mergeCell ref="B174:J174"/>
    <mergeCell ref="B175:C175"/>
    <mergeCell ref="D175:E175"/>
    <mergeCell ref="G175:I175"/>
    <mergeCell ref="B159:J159"/>
    <mergeCell ref="B97:J97"/>
    <mergeCell ref="B102:C102"/>
    <mergeCell ref="B118:J118"/>
    <mergeCell ref="B131:J131"/>
    <mergeCell ref="B133:F133"/>
    <mergeCell ref="B136:F136"/>
    <mergeCell ref="B152:F152"/>
    <mergeCell ref="B153:J153"/>
    <mergeCell ref="B155:J155"/>
    <mergeCell ref="B157:J157"/>
    <mergeCell ref="B116:F116"/>
    <mergeCell ref="B93:J93"/>
    <mergeCell ref="B23:J23"/>
    <mergeCell ref="B25:J25"/>
    <mergeCell ref="B35:F35"/>
    <mergeCell ref="B48:J48"/>
    <mergeCell ref="B50:F50"/>
    <mergeCell ref="B51:F51"/>
    <mergeCell ref="B52:J52"/>
    <mergeCell ref="C57:J57"/>
    <mergeCell ref="B74:F74"/>
    <mergeCell ref="B91:J91"/>
    <mergeCell ref="B89:J89"/>
  </mergeCells>
  <pageMargins left="0.78740157480314965" right="0.78740157480314965" top="0.78740157480314965" bottom="0.78740157480314965" header="0.51181102362204722" footer="0.51181102362204722"/>
  <pageSetup paperSize="9" scale="83" firstPageNumber="27" orientation="portrait" useFirstPageNumber="1" r:id="rId1"/>
  <headerFooter alignWithMargins="0">
    <oddFooter>&amp;C&amp;P</oddFooter>
  </headerFooter>
  <rowBreaks count="6" manualBreakCount="6">
    <brk id="67" max="16383" man="1"/>
    <brk id="146" max="16383" man="1"/>
    <brk id="186" max="16383" man="1"/>
    <brk id="226" max="16383" man="1"/>
    <brk id="297" max="9" man="1"/>
    <brk id="324" max="8" man="1"/>
  </rowBreaks>
  <ignoredErrors>
    <ignoredError sqref="H99:J99 H120:J120 H6:J6 H61:J61 H74:J74 A6 H192:J192 H207:J207 H244:J244" numberStoredAsText="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676"/>
  <sheetViews>
    <sheetView view="pageBreakPreview" zoomScaleSheetLayoutView="100" workbookViewId="0">
      <selection activeCell="M17" sqref="M17"/>
    </sheetView>
  </sheetViews>
  <sheetFormatPr defaultColWidth="9.1796875" defaultRowHeight="14"/>
  <cols>
    <col min="1" max="1" width="4.54296875" style="233" customWidth="1"/>
    <col min="2" max="2" width="20.54296875" style="208" customWidth="1"/>
    <col min="3" max="3" width="1.26953125" style="208" customWidth="1"/>
    <col min="4" max="4" width="8.453125" style="208" customWidth="1"/>
    <col min="5" max="5" width="3.81640625" style="208" customWidth="1"/>
    <col min="6" max="6" width="2.26953125" style="208" customWidth="1"/>
    <col min="7" max="7" width="11.54296875" style="208" customWidth="1"/>
    <col min="8" max="8" width="1.453125" style="208" customWidth="1"/>
    <col min="9" max="9" width="12.453125" style="208" customWidth="1"/>
    <col min="10" max="10" width="1.81640625" style="208" customWidth="1"/>
    <col min="11" max="11" width="13.54296875" style="208" customWidth="1"/>
    <col min="12" max="12" width="14.453125" style="208" customWidth="1"/>
    <col min="13" max="13" width="11" style="208" bestFit="1" customWidth="1"/>
    <col min="14" max="16384" width="9.1796875" style="208"/>
  </cols>
  <sheetData>
    <row r="1" spans="1:12" ht="15.75" customHeight="1">
      <c r="A1" s="127" t="e">
        <f>#REF!</f>
        <v>#REF!</v>
      </c>
      <c r="B1" s="130"/>
      <c r="C1" s="132"/>
      <c r="D1" s="130"/>
      <c r="E1" s="130"/>
      <c r="F1" s="130"/>
      <c r="G1" s="130"/>
    </row>
    <row r="2" spans="1:12" ht="15.75" customHeight="1">
      <c r="A2" s="131"/>
      <c r="B2" s="128"/>
      <c r="C2" s="132"/>
      <c r="D2" s="130"/>
      <c r="E2" s="130"/>
      <c r="F2" s="130"/>
      <c r="G2" s="130"/>
    </row>
    <row r="3" spans="1:12" ht="15.75" customHeight="1">
      <c r="A3" s="131" t="s">
        <v>51</v>
      </c>
      <c r="B3" s="130"/>
      <c r="C3" s="132"/>
      <c r="D3" s="130"/>
      <c r="E3" s="130"/>
      <c r="F3" s="130"/>
      <c r="G3" s="130"/>
    </row>
    <row r="4" spans="1:12" ht="15.75" customHeight="1">
      <c r="A4" s="204" t="e">
        <f>#REF!</f>
        <v>#REF!</v>
      </c>
      <c r="B4" s="204"/>
      <c r="C4" s="207"/>
      <c r="D4" s="226"/>
      <c r="E4" s="226"/>
      <c r="F4" s="226"/>
      <c r="G4" s="226"/>
      <c r="H4" s="226"/>
      <c r="I4" s="226"/>
      <c r="J4" s="226"/>
      <c r="K4" s="226"/>
    </row>
    <row r="5" spans="1:12" ht="15.75" customHeight="1">
      <c r="A5" s="205"/>
      <c r="B5" s="205"/>
      <c r="C5" s="206"/>
    </row>
    <row r="6" spans="1:12" ht="15.75" customHeight="1">
      <c r="A6" s="131" t="s">
        <v>6</v>
      </c>
      <c r="B6" s="130"/>
      <c r="G6" s="215" t="s">
        <v>35</v>
      </c>
      <c r="H6" s="214"/>
      <c r="I6" s="215" t="s">
        <v>26</v>
      </c>
      <c r="J6" s="214"/>
      <c r="K6" s="215" t="s">
        <v>12</v>
      </c>
    </row>
    <row r="7" spans="1:12" ht="15.75" customHeight="1">
      <c r="A7" s="208"/>
    </row>
    <row r="8" spans="1:12" ht="15.75" customHeight="1">
      <c r="A8" s="205" t="s">
        <v>57</v>
      </c>
      <c r="G8" s="217" t="e">
        <f>+#REF!</f>
        <v>#REF!</v>
      </c>
      <c r="H8" s="217"/>
      <c r="I8" s="217" t="e">
        <f>+#REF!+#REF!</f>
        <v>#REF!</v>
      </c>
      <c r="J8" s="217"/>
      <c r="K8" s="217" t="e">
        <f>SUM(G8:J8)</f>
        <v>#REF!</v>
      </c>
      <c r="L8" s="224"/>
    </row>
    <row r="9" spans="1:12" ht="15.75" customHeight="1">
      <c r="A9" s="205" t="s">
        <v>58</v>
      </c>
      <c r="G9" s="217" t="s">
        <v>31</v>
      </c>
      <c r="H9" s="217"/>
      <c r="I9" s="217" t="e">
        <f>+#REF!</f>
        <v>#REF!</v>
      </c>
      <c r="J9" s="217"/>
      <c r="K9" s="217" t="e">
        <f>SUM(G9:J9)</f>
        <v>#REF!</v>
      </c>
      <c r="L9" s="224"/>
    </row>
    <row r="10" spans="1:12" ht="15.75" customHeight="1">
      <c r="A10" s="208" t="s">
        <v>40</v>
      </c>
      <c r="G10" s="217" t="s">
        <v>31</v>
      </c>
      <c r="H10" s="217"/>
      <c r="I10" s="217" t="e">
        <f>+#REF!</f>
        <v>#REF!</v>
      </c>
      <c r="J10" s="217"/>
      <c r="K10" s="217" t="e">
        <f>SUM(G10:J10)</f>
        <v>#REF!</v>
      </c>
      <c r="L10" s="224"/>
    </row>
    <row r="11" spans="1:12" ht="15.75" customHeight="1">
      <c r="A11" s="208" t="s">
        <v>62</v>
      </c>
      <c r="G11" s="222" t="s">
        <v>31</v>
      </c>
      <c r="H11" s="217"/>
      <c r="I11" s="222" t="e">
        <f>+#REF!</f>
        <v>#REF!</v>
      </c>
      <c r="J11" s="217"/>
      <c r="K11" s="222" t="e">
        <f>SUM(G11:J11)</f>
        <v>#REF!</v>
      </c>
      <c r="L11" s="224"/>
    </row>
    <row r="12" spans="1:12" ht="15.75" customHeight="1">
      <c r="A12" s="229"/>
      <c r="G12" s="215"/>
      <c r="H12" s="215"/>
      <c r="I12" s="215"/>
      <c r="J12" s="215"/>
      <c r="K12" s="215"/>
    </row>
    <row r="13" spans="1:12" ht="15.75" customHeight="1" thickBot="1">
      <c r="A13" s="229" t="s">
        <v>27</v>
      </c>
      <c r="G13" s="238" t="e">
        <f>SUM(G8:G11)</f>
        <v>#REF!</v>
      </c>
      <c r="H13" s="215"/>
      <c r="I13" s="238" t="e">
        <f>SUM(I8:I11)</f>
        <v>#REF!</v>
      </c>
      <c r="J13" s="215"/>
      <c r="K13" s="238" t="e">
        <f>SUM(K8:K12)</f>
        <v>#REF!</v>
      </c>
      <c r="L13" s="220"/>
    </row>
    <row r="14" spans="1:12" ht="15.75" customHeight="1" thickTop="1">
      <c r="A14" s="229"/>
      <c r="G14" s="215"/>
      <c r="H14" s="215"/>
      <c r="I14" s="215"/>
      <c r="J14" s="215"/>
      <c r="K14" s="215"/>
    </row>
    <row r="15" spans="1:12" ht="15.75" customHeight="1">
      <c r="A15" s="131" t="s">
        <v>50</v>
      </c>
      <c r="G15" s="217"/>
      <c r="H15" s="215"/>
      <c r="I15" s="215"/>
      <c r="J15" s="215"/>
      <c r="K15" s="215"/>
    </row>
    <row r="16" spans="1:12" ht="15.75" customHeight="1">
      <c r="A16" s="218"/>
      <c r="G16" s="217"/>
      <c r="H16" s="215"/>
      <c r="I16" s="215"/>
      <c r="J16" s="215"/>
      <c r="K16" s="215"/>
    </row>
    <row r="17" spans="1:13" ht="15.75" customHeight="1">
      <c r="A17" s="208" t="s">
        <v>419</v>
      </c>
      <c r="G17" s="217" t="s">
        <v>31</v>
      </c>
      <c r="H17" s="217"/>
      <c r="I17" s="217" t="e">
        <f>+#REF!</f>
        <v>#REF!</v>
      </c>
      <c r="J17" s="217"/>
      <c r="K17" s="217" t="e">
        <f>SUM(I17:J17)</f>
        <v>#REF!</v>
      </c>
    </row>
    <row r="18" spans="1:13" ht="15.75" customHeight="1">
      <c r="A18" s="205" t="s">
        <v>90</v>
      </c>
      <c r="G18" s="217" t="s">
        <v>31</v>
      </c>
      <c r="H18" s="217"/>
      <c r="I18" s="217" t="e">
        <f>+#REF!</f>
        <v>#REF!</v>
      </c>
      <c r="J18" s="217"/>
      <c r="K18" s="217" t="e">
        <f>SUM(I18:J18)</f>
        <v>#REF!</v>
      </c>
    </row>
    <row r="19" spans="1:13" ht="15.75" customHeight="1">
      <c r="A19" s="205" t="s">
        <v>87</v>
      </c>
      <c r="G19" s="217" t="s">
        <v>31</v>
      </c>
      <c r="H19" s="217"/>
      <c r="I19" s="217" t="e">
        <f>+#REF!</f>
        <v>#REF!</v>
      </c>
      <c r="J19" s="217"/>
      <c r="K19" s="217" t="e">
        <f>SUM(I19:J19)</f>
        <v>#REF!</v>
      </c>
    </row>
    <row r="20" spans="1:13" ht="15.75" customHeight="1">
      <c r="A20" s="208" t="s">
        <v>4</v>
      </c>
      <c r="G20" s="217" t="s">
        <v>31</v>
      </c>
      <c r="H20" s="217"/>
      <c r="I20" s="217" t="e">
        <f>+#REF!</f>
        <v>#REF!</v>
      </c>
      <c r="J20" s="217"/>
      <c r="K20" s="217" t="e">
        <f>SUM(G20:J20)</f>
        <v>#REF!</v>
      </c>
    </row>
    <row r="21" spans="1:13" ht="15.75" customHeight="1">
      <c r="A21" s="205" t="s">
        <v>53</v>
      </c>
      <c r="G21" s="217" t="s">
        <v>31</v>
      </c>
      <c r="H21" s="217"/>
      <c r="I21" s="217" t="e">
        <f>+#REF!</f>
        <v>#REF!</v>
      </c>
      <c r="J21" s="217"/>
      <c r="K21" s="217" t="e">
        <f>SUM(G21:J21)</f>
        <v>#REF!</v>
      </c>
    </row>
    <row r="22" spans="1:13" ht="15.75" customHeight="1">
      <c r="A22" s="208" t="s">
        <v>25</v>
      </c>
      <c r="G22" s="217" t="e">
        <f>+#REF!-2590000</f>
        <v>#REF!</v>
      </c>
      <c r="H22" s="217"/>
      <c r="I22" s="217">
        <v>2590000</v>
      </c>
      <c r="J22" s="217"/>
      <c r="K22" s="217" t="e">
        <f>SUM(G22:J22)</f>
        <v>#REF!</v>
      </c>
    </row>
    <row r="23" spans="1:13" ht="15.75" customHeight="1">
      <c r="A23" s="205" t="s">
        <v>91</v>
      </c>
      <c r="B23" s="205"/>
      <c r="C23" s="216"/>
      <c r="D23" s="216"/>
      <c r="G23" s="222" t="s">
        <v>31</v>
      </c>
      <c r="I23" s="222" t="e">
        <f>+#REF!</f>
        <v>#REF!</v>
      </c>
      <c r="K23" s="225" t="e">
        <f>SUM(G23:I23)</f>
        <v>#REF!</v>
      </c>
    </row>
    <row r="24" spans="1:13" ht="15.75" customHeight="1">
      <c r="A24" s="208"/>
      <c r="G24" s="217"/>
      <c r="H24" s="217"/>
      <c r="I24" s="217"/>
      <c r="J24" s="217"/>
      <c r="K24" s="217"/>
    </row>
    <row r="25" spans="1:13" ht="15.75" customHeight="1">
      <c r="A25" s="229" t="s">
        <v>52</v>
      </c>
      <c r="G25" s="222" t="e">
        <f>SUM(G17:G23)</f>
        <v>#REF!</v>
      </c>
      <c r="H25" s="217"/>
      <c r="I25" s="222" t="e">
        <f>SUM(I17:I23)</f>
        <v>#REF!</v>
      </c>
      <c r="J25" s="217"/>
      <c r="K25" s="222" t="e">
        <f>SUM(K17:K24)</f>
        <v>#REF!</v>
      </c>
      <c r="L25" s="220"/>
    </row>
    <row r="26" spans="1:13" ht="15.75" customHeight="1">
      <c r="A26" s="208"/>
      <c r="G26" s="217"/>
      <c r="H26" s="217"/>
      <c r="I26" s="217"/>
      <c r="J26" s="217"/>
      <c r="K26" s="217"/>
    </row>
    <row r="27" spans="1:13" ht="15.75" customHeight="1">
      <c r="A27" s="229" t="s">
        <v>92</v>
      </c>
      <c r="G27" s="249" t="s">
        <v>31</v>
      </c>
      <c r="H27" s="217"/>
      <c r="I27" s="222" t="e">
        <f>+#REF!</f>
        <v>#REF!</v>
      </c>
      <c r="J27" s="217"/>
      <c r="K27" s="222" t="e">
        <f>SUM(G27:J27)</f>
        <v>#REF!</v>
      </c>
    </row>
    <row r="28" spans="1:13" ht="15.75" customHeight="1">
      <c r="A28" s="229"/>
      <c r="G28" s="217"/>
      <c r="H28" s="217"/>
      <c r="I28" s="217"/>
      <c r="J28" s="217"/>
      <c r="K28" s="217"/>
    </row>
    <row r="29" spans="1:13" ht="15.75" customHeight="1">
      <c r="A29" s="229" t="s">
        <v>93</v>
      </c>
      <c r="G29" s="242" t="e">
        <f>SUM(G25:G27)</f>
        <v>#REF!</v>
      </c>
      <c r="H29" s="215"/>
      <c r="I29" s="242" t="e">
        <f>I25+I27</f>
        <v>#REF!</v>
      </c>
      <c r="J29" s="215"/>
      <c r="K29" s="242" t="e">
        <f>K25+K27</f>
        <v>#REF!</v>
      </c>
      <c r="L29" s="220"/>
    </row>
    <row r="30" spans="1:13" ht="15.75" customHeight="1">
      <c r="A30" s="229"/>
      <c r="G30" s="217"/>
      <c r="H30" s="217"/>
      <c r="I30" s="217"/>
      <c r="J30" s="217"/>
      <c r="K30" s="217"/>
    </row>
    <row r="31" spans="1:13" ht="15.75" customHeight="1" thickBot="1">
      <c r="A31" s="229" t="s">
        <v>63</v>
      </c>
      <c r="B31" s="229"/>
      <c r="C31" s="229"/>
      <c r="D31" s="229"/>
      <c r="F31" s="229"/>
      <c r="G31" s="238" t="e">
        <f>G13-G29</f>
        <v>#REF!</v>
      </c>
      <c r="H31" s="215"/>
      <c r="I31" s="238" t="e">
        <f>I13-I29</f>
        <v>#REF!</v>
      </c>
      <c r="J31" s="215"/>
      <c r="K31" s="250">
        <v>0</v>
      </c>
      <c r="L31" s="220"/>
      <c r="M31" s="220"/>
    </row>
    <row r="32" spans="1:13" ht="15.75" customHeight="1" thickTop="1">
      <c r="A32" s="208"/>
      <c r="G32" s="217"/>
      <c r="H32" s="217"/>
      <c r="I32" s="217"/>
      <c r="J32" s="217"/>
      <c r="K32" s="217"/>
    </row>
    <row r="33" spans="1:12" ht="78" customHeight="1">
      <c r="A33" s="1014" t="s">
        <v>3</v>
      </c>
      <c r="B33" s="1014"/>
      <c r="C33" s="1014"/>
      <c r="D33" s="1014"/>
      <c r="E33" s="1014"/>
      <c r="G33" s="215"/>
      <c r="H33" s="215"/>
      <c r="I33" s="215"/>
      <c r="J33" s="215"/>
      <c r="K33" s="215"/>
    </row>
    <row r="34" spans="1:12" ht="11.25" customHeight="1">
      <c r="G34" s="215"/>
      <c r="H34" s="215"/>
      <c r="I34" s="131"/>
      <c r="J34" s="215"/>
      <c r="K34" s="215"/>
    </row>
    <row r="35" spans="1:12" s="226" customFormat="1" ht="7.5" customHeight="1">
      <c r="A35" s="251"/>
      <c r="G35" s="242"/>
      <c r="H35" s="242"/>
      <c r="I35" s="242"/>
      <c r="J35" s="242"/>
      <c r="K35" s="242"/>
    </row>
    <row r="36" spans="1:12" s="226" customFormat="1" ht="15.75" customHeight="1">
      <c r="A36" s="208"/>
      <c r="B36" s="208"/>
      <c r="C36" s="208"/>
      <c r="D36" s="208"/>
      <c r="E36" s="208"/>
      <c r="F36" s="208"/>
      <c r="G36" s="215"/>
      <c r="H36" s="215"/>
      <c r="I36" s="215"/>
      <c r="J36" s="215"/>
      <c r="K36" s="215"/>
      <c r="L36" s="208"/>
    </row>
    <row r="37" spans="1:12" ht="15.75" customHeight="1">
      <c r="A37" s="252"/>
      <c r="B37" s="229"/>
      <c r="G37" s="215"/>
      <c r="H37" s="215"/>
      <c r="I37" s="215"/>
      <c r="J37" s="215"/>
      <c r="K37" s="215"/>
    </row>
    <row r="38" spans="1:12" ht="15.75" customHeight="1">
      <c r="A38" s="252"/>
      <c r="B38" s="229"/>
      <c r="G38" s="215"/>
      <c r="H38" s="215"/>
      <c r="I38" s="215"/>
      <c r="J38" s="215"/>
      <c r="K38" s="215"/>
    </row>
    <row r="39" spans="1:12" ht="15.75" customHeight="1">
      <c r="A39" s="252"/>
      <c r="B39" s="229"/>
      <c r="G39" s="215"/>
      <c r="H39" s="215"/>
      <c r="I39" s="215"/>
      <c r="J39" s="215"/>
      <c r="K39" s="215"/>
    </row>
    <row r="40" spans="1:12" ht="15.75" customHeight="1">
      <c r="A40" s="252"/>
      <c r="B40" s="229"/>
      <c r="G40" s="215"/>
      <c r="H40" s="215"/>
      <c r="I40" s="215"/>
      <c r="J40" s="215"/>
      <c r="K40" s="215"/>
    </row>
    <row r="41" spans="1:12" ht="15.75" customHeight="1">
      <c r="A41" s="252"/>
      <c r="B41" s="229"/>
      <c r="G41" s="215"/>
      <c r="H41" s="215"/>
      <c r="I41" s="215"/>
      <c r="J41" s="215"/>
      <c r="K41" s="215"/>
    </row>
    <row r="42" spans="1:12" ht="15.75" customHeight="1">
      <c r="A42" s="252"/>
      <c r="B42" s="229"/>
    </row>
    <row r="43" spans="1:12" ht="15.75" customHeight="1">
      <c r="A43" s="252"/>
      <c r="B43" s="229"/>
    </row>
    <row r="44" spans="1:12" ht="15.75" customHeight="1">
      <c r="A44" s="252"/>
      <c r="B44" s="229"/>
    </row>
    <row r="45" spans="1:12" ht="15.75" customHeight="1">
      <c r="A45" s="252"/>
      <c r="B45" s="229"/>
    </row>
    <row r="46" spans="1:12" ht="15.75" customHeight="1">
      <c r="A46" s="208"/>
    </row>
    <row r="47" spans="1:12" ht="15.75" customHeight="1">
      <c r="A47" s="208"/>
    </row>
    <row r="48" spans="1:12" ht="15.75" customHeight="1">
      <c r="A48" s="208"/>
    </row>
    <row r="49" spans="1:11" ht="15.75" customHeight="1">
      <c r="A49" s="208"/>
    </row>
    <row r="50" spans="1:11" ht="15.75" customHeight="1">
      <c r="A50" s="208"/>
    </row>
    <row r="51" spans="1:11" ht="15.75" customHeight="1">
      <c r="A51" s="208"/>
    </row>
    <row r="52" spans="1:11" ht="15.75" customHeight="1">
      <c r="A52" s="208"/>
    </row>
    <row r="53" spans="1:11" ht="15.75" customHeight="1">
      <c r="A53" s="208"/>
    </row>
    <row r="54" spans="1:11" ht="15.75" customHeight="1">
      <c r="A54" s="208"/>
    </row>
    <row r="55" spans="1:11" ht="15.75" customHeight="1">
      <c r="A55" s="208"/>
    </row>
    <row r="56" spans="1:11" ht="15.75" customHeight="1">
      <c r="A56" s="208"/>
    </row>
    <row r="57" spans="1:11" ht="15.75" customHeight="1">
      <c r="D57" s="224"/>
      <c r="E57" s="224"/>
      <c r="F57" s="224"/>
      <c r="G57" s="224"/>
      <c r="H57" s="224"/>
      <c r="I57" s="224"/>
      <c r="J57" s="224"/>
      <c r="K57" s="224"/>
    </row>
    <row r="58" spans="1:11" ht="15.75" customHeight="1">
      <c r="D58" s="224"/>
      <c r="E58" s="224"/>
      <c r="F58" s="224"/>
      <c r="G58" s="224"/>
      <c r="H58" s="224"/>
      <c r="I58" s="224"/>
      <c r="J58" s="224"/>
      <c r="K58" s="224"/>
    </row>
    <row r="59" spans="1:11" ht="15.75" customHeight="1">
      <c r="D59" s="224"/>
      <c r="E59" s="224"/>
      <c r="F59" s="224"/>
      <c r="G59" s="224"/>
      <c r="H59" s="224"/>
      <c r="I59" s="224"/>
      <c r="J59" s="224"/>
      <c r="K59" s="224"/>
    </row>
    <row r="60" spans="1:11" ht="15.75" customHeight="1">
      <c r="D60" s="224"/>
      <c r="E60" s="224"/>
      <c r="F60" s="224"/>
      <c r="G60" s="224"/>
      <c r="H60" s="224"/>
      <c r="I60" s="224"/>
      <c r="J60" s="224"/>
      <c r="K60" s="224"/>
    </row>
    <row r="61" spans="1:11" ht="15.75" customHeight="1">
      <c r="D61" s="224"/>
      <c r="E61" s="224"/>
      <c r="F61" s="224"/>
      <c r="G61" s="224"/>
      <c r="H61" s="224"/>
      <c r="I61" s="224"/>
      <c r="J61" s="224"/>
      <c r="K61" s="224"/>
    </row>
    <row r="62" spans="1:11" ht="15.75" customHeight="1">
      <c r="D62" s="224"/>
      <c r="E62" s="224"/>
      <c r="F62" s="224"/>
      <c r="G62" s="224"/>
      <c r="H62" s="224"/>
      <c r="I62" s="224"/>
      <c r="J62" s="224"/>
      <c r="K62" s="224"/>
    </row>
    <row r="63" spans="1:11" ht="15.75" customHeight="1">
      <c r="D63" s="224"/>
      <c r="E63" s="224"/>
      <c r="F63" s="224"/>
      <c r="G63" s="224"/>
      <c r="H63" s="224"/>
      <c r="I63" s="224"/>
      <c r="J63" s="224"/>
      <c r="K63" s="224"/>
    </row>
    <row r="64" spans="1:11" ht="15.75" customHeight="1">
      <c r="D64" s="224"/>
      <c r="E64" s="224"/>
      <c r="F64" s="224"/>
      <c r="G64" s="224"/>
      <c r="H64" s="224"/>
      <c r="I64" s="224"/>
      <c r="J64" s="224"/>
      <c r="K64" s="224"/>
    </row>
    <row r="65" spans="4:11" ht="15.75" customHeight="1">
      <c r="D65" s="224"/>
      <c r="E65" s="224"/>
      <c r="F65" s="224"/>
      <c r="G65" s="224"/>
      <c r="H65" s="224"/>
      <c r="I65" s="224"/>
      <c r="J65" s="224"/>
      <c r="K65" s="224"/>
    </row>
    <row r="66" spans="4:11" ht="15.75" customHeight="1">
      <c r="D66" s="224"/>
      <c r="E66" s="224"/>
      <c r="F66" s="224"/>
      <c r="G66" s="224"/>
      <c r="H66" s="224"/>
      <c r="I66" s="224"/>
      <c r="J66" s="224"/>
      <c r="K66" s="224"/>
    </row>
    <row r="67" spans="4:11" ht="15.75" customHeight="1">
      <c r="D67" s="224"/>
      <c r="E67" s="224"/>
      <c r="F67" s="224"/>
      <c r="G67" s="224"/>
      <c r="H67" s="224"/>
      <c r="I67" s="224"/>
      <c r="J67" s="224"/>
      <c r="K67" s="224"/>
    </row>
    <row r="68" spans="4:11" ht="15.75" customHeight="1">
      <c r="D68" s="224"/>
      <c r="E68" s="224"/>
      <c r="F68" s="224"/>
      <c r="G68" s="224"/>
      <c r="H68" s="224"/>
      <c r="I68" s="224"/>
      <c r="J68" s="224"/>
      <c r="K68" s="224"/>
    </row>
    <row r="69" spans="4:11" ht="15.75" customHeight="1">
      <c r="D69" s="224"/>
      <c r="E69" s="224"/>
      <c r="F69" s="224"/>
      <c r="G69" s="224"/>
      <c r="H69" s="224"/>
      <c r="I69" s="224"/>
      <c r="J69" s="224"/>
      <c r="K69" s="224"/>
    </row>
    <row r="70" spans="4:11" ht="15.75" customHeight="1">
      <c r="D70" s="224"/>
      <c r="E70" s="224"/>
      <c r="F70" s="224"/>
      <c r="G70" s="224"/>
      <c r="H70" s="224"/>
      <c r="I70" s="224"/>
      <c r="J70" s="224"/>
      <c r="K70" s="224"/>
    </row>
    <row r="71" spans="4:11" ht="15.75" customHeight="1">
      <c r="D71" s="224"/>
      <c r="E71" s="224"/>
      <c r="F71" s="224"/>
      <c r="G71" s="224"/>
      <c r="H71" s="224"/>
      <c r="I71" s="224"/>
      <c r="J71" s="224"/>
      <c r="K71" s="224"/>
    </row>
    <row r="72" spans="4:11" ht="15.75" customHeight="1">
      <c r="D72" s="224"/>
      <c r="E72" s="224"/>
      <c r="F72" s="224"/>
      <c r="G72" s="224"/>
      <c r="H72" s="224"/>
      <c r="I72" s="224"/>
      <c r="J72" s="224"/>
      <c r="K72" s="224"/>
    </row>
    <row r="73" spans="4:11" ht="15.75" customHeight="1">
      <c r="D73" s="224"/>
      <c r="E73" s="224"/>
      <c r="F73" s="224"/>
      <c r="G73" s="224"/>
      <c r="H73" s="224"/>
      <c r="I73" s="224"/>
      <c r="J73" s="224"/>
      <c r="K73" s="224"/>
    </row>
    <row r="74" spans="4:11" ht="15.75" customHeight="1">
      <c r="D74" s="224"/>
      <c r="E74" s="224"/>
      <c r="F74" s="224"/>
      <c r="G74" s="224"/>
      <c r="H74" s="224"/>
      <c r="I74" s="224"/>
      <c r="J74" s="224"/>
      <c r="K74" s="224"/>
    </row>
    <row r="75" spans="4:11" ht="15.75" customHeight="1">
      <c r="D75" s="224"/>
      <c r="E75" s="224"/>
      <c r="F75" s="224"/>
      <c r="G75" s="224"/>
      <c r="H75" s="224"/>
      <c r="I75" s="224"/>
      <c r="J75" s="224"/>
      <c r="K75" s="224"/>
    </row>
    <row r="76" spans="4:11" ht="15.75" customHeight="1">
      <c r="D76" s="224"/>
      <c r="E76" s="224"/>
      <c r="F76" s="224"/>
      <c r="G76" s="224"/>
      <c r="H76" s="224"/>
      <c r="I76" s="224"/>
      <c r="J76" s="224"/>
      <c r="K76" s="224"/>
    </row>
    <row r="77" spans="4:11" ht="15.75" customHeight="1">
      <c r="D77" s="224"/>
      <c r="E77" s="224"/>
      <c r="F77" s="224"/>
      <c r="G77" s="224"/>
      <c r="H77" s="224"/>
      <c r="I77" s="224"/>
      <c r="J77" s="224"/>
      <c r="K77" s="224"/>
    </row>
    <row r="78" spans="4:11" ht="15.75" customHeight="1">
      <c r="D78" s="224"/>
      <c r="E78" s="224"/>
      <c r="F78" s="224"/>
      <c r="G78" s="224"/>
      <c r="H78" s="224"/>
      <c r="I78" s="224"/>
      <c r="J78" s="224"/>
      <c r="K78" s="224"/>
    </row>
    <row r="79" spans="4:11" ht="15.75" customHeight="1">
      <c r="D79" s="224"/>
      <c r="E79" s="224"/>
      <c r="F79" s="224"/>
      <c r="G79" s="224"/>
      <c r="H79" s="224"/>
      <c r="I79" s="224"/>
      <c r="J79" s="224"/>
      <c r="K79" s="224"/>
    </row>
    <row r="80" spans="4:11" ht="15.75" customHeight="1">
      <c r="D80" s="224"/>
      <c r="E80" s="224"/>
      <c r="F80" s="224"/>
      <c r="G80" s="224"/>
      <c r="H80" s="224"/>
      <c r="I80" s="224"/>
      <c r="J80" s="224"/>
      <c r="K80" s="224"/>
    </row>
    <row r="81" spans="4:11" ht="15.75" customHeight="1">
      <c r="D81" s="224"/>
      <c r="E81" s="224"/>
      <c r="F81" s="224"/>
      <c r="G81" s="224"/>
      <c r="H81" s="224"/>
      <c r="I81" s="224"/>
      <c r="J81" s="224"/>
      <c r="K81" s="224"/>
    </row>
    <row r="82" spans="4:11" ht="15.75" customHeight="1">
      <c r="D82" s="224"/>
      <c r="E82" s="224"/>
      <c r="F82" s="224"/>
      <c r="G82" s="224"/>
      <c r="H82" s="224"/>
      <c r="I82" s="224"/>
      <c r="J82" s="224"/>
      <c r="K82" s="224"/>
    </row>
    <row r="83" spans="4:11" ht="15.75" customHeight="1">
      <c r="D83" s="224"/>
      <c r="E83" s="224"/>
      <c r="F83" s="224"/>
      <c r="G83" s="224"/>
      <c r="H83" s="224"/>
      <c r="I83" s="224"/>
      <c r="J83" s="224"/>
      <c r="K83" s="224"/>
    </row>
    <row r="84" spans="4:11" ht="15.75" customHeight="1">
      <c r="D84" s="224"/>
      <c r="E84" s="224"/>
      <c r="F84" s="224"/>
      <c r="G84" s="224"/>
      <c r="H84" s="224"/>
      <c r="I84" s="224"/>
      <c r="J84" s="224"/>
      <c r="K84" s="224"/>
    </row>
    <row r="85" spans="4:11" ht="15.75" customHeight="1">
      <c r="D85" s="224"/>
      <c r="E85" s="224"/>
      <c r="F85" s="224"/>
      <c r="G85" s="224"/>
      <c r="H85" s="224"/>
      <c r="I85" s="224"/>
      <c r="J85" s="224"/>
      <c r="K85" s="224"/>
    </row>
    <row r="86" spans="4:11" ht="15.75" customHeight="1">
      <c r="D86" s="224"/>
      <c r="E86" s="224"/>
      <c r="F86" s="224"/>
      <c r="G86" s="224"/>
      <c r="H86" s="224"/>
      <c r="I86" s="224"/>
      <c r="J86" s="224"/>
      <c r="K86" s="224"/>
    </row>
    <row r="87" spans="4:11" ht="15.75" customHeight="1">
      <c r="D87" s="224"/>
      <c r="E87" s="224"/>
      <c r="F87" s="224"/>
      <c r="G87" s="224"/>
      <c r="H87" s="224"/>
      <c r="I87" s="224"/>
      <c r="J87" s="224"/>
      <c r="K87" s="224"/>
    </row>
    <row r="88" spans="4:11" ht="15.75" customHeight="1">
      <c r="D88" s="224"/>
      <c r="E88" s="224"/>
      <c r="F88" s="224"/>
      <c r="G88" s="224"/>
      <c r="H88" s="224"/>
      <c r="I88" s="224"/>
      <c r="J88" s="224"/>
      <c r="K88" s="224"/>
    </row>
    <row r="89" spans="4:11" ht="15.75" customHeight="1">
      <c r="D89" s="224"/>
      <c r="E89" s="224"/>
      <c r="F89" s="224"/>
      <c r="G89" s="224"/>
      <c r="H89" s="224"/>
      <c r="I89" s="224"/>
      <c r="J89" s="224"/>
      <c r="K89" s="224"/>
    </row>
    <row r="90" spans="4:11" ht="15.75" customHeight="1">
      <c r="D90" s="224"/>
      <c r="E90" s="224"/>
      <c r="F90" s="224"/>
      <c r="G90" s="224"/>
      <c r="H90" s="224"/>
      <c r="I90" s="224"/>
      <c r="J90" s="224"/>
      <c r="K90" s="224"/>
    </row>
    <row r="91" spans="4:11" ht="15.75" customHeight="1">
      <c r="D91" s="224"/>
      <c r="E91" s="224"/>
      <c r="F91" s="224"/>
      <c r="G91" s="224"/>
      <c r="H91" s="224"/>
      <c r="I91" s="224"/>
      <c r="J91" s="224"/>
      <c r="K91" s="224"/>
    </row>
    <row r="92" spans="4:11" ht="15.75" customHeight="1">
      <c r="D92" s="224"/>
      <c r="E92" s="224"/>
      <c r="F92" s="224"/>
      <c r="G92" s="224"/>
      <c r="H92" s="224"/>
      <c r="I92" s="224"/>
      <c r="J92" s="224"/>
      <c r="K92" s="224"/>
    </row>
    <row r="93" spans="4:11" ht="15.75" customHeight="1">
      <c r="D93" s="224"/>
      <c r="E93" s="224"/>
      <c r="F93" s="224"/>
      <c r="G93" s="224"/>
      <c r="H93" s="224"/>
      <c r="I93" s="224"/>
      <c r="J93" s="224"/>
      <c r="K93" s="224"/>
    </row>
    <row r="94" spans="4:11" ht="15.75" customHeight="1">
      <c r="D94" s="224"/>
      <c r="E94" s="224"/>
      <c r="F94" s="224"/>
      <c r="G94" s="224"/>
      <c r="H94" s="224"/>
      <c r="I94" s="224"/>
      <c r="J94" s="224"/>
      <c r="K94" s="224"/>
    </row>
    <row r="95" spans="4:11" ht="15.75" customHeight="1">
      <c r="D95" s="224"/>
      <c r="E95" s="224"/>
      <c r="F95" s="224"/>
      <c r="G95" s="224"/>
      <c r="H95" s="224"/>
      <c r="I95" s="224"/>
      <c r="J95" s="224"/>
      <c r="K95" s="224"/>
    </row>
    <row r="96" spans="4:11" ht="15.75" customHeight="1">
      <c r="D96" s="224"/>
      <c r="E96" s="224"/>
      <c r="F96" s="224"/>
      <c r="G96" s="224"/>
      <c r="H96" s="224"/>
      <c r="I96" s="224"/>
      <c r="J96" s="224"/>
      <c r="K96" s="224"/>
    </row>
    <row r="97" spans="4:11" ht="15.75" customHeight="1">
      <c r="D97" s="224"/>
      <c r="E97" s="224"/>
      <c r="F97" s="224"/>
      <c r="G97" s="224"/>
      <c r="H97" s="224"/>
      <c r="I97" s="224"/>
      <c r="J97" s="224"/>
      <c r="K97" s="224"/>
    </row>
    <row r="98" spans="4:11" ht="15.75" customHeight="1">
      <c r="D98" s="224"/>
      <c r="E98" s="224"/>
      <c r="F98" s="224"/>
      <c r="G98" s="224"/>
      <c r="H98" s="224"/>
      <c r="I98" s="224"/>
      <c r="J98" s="224"/>
      <c r="K98" s="224"/>
    </row>
    <row r="99" spans="4:11" ht="15.75" customHeight="1">
      <c r="D99" s="224"/>
      <c r="E99" s="224"/>
      <c r="F99" s="224"/>
      <c r="G99" s="224"/>
      <c r="H99" s="224"/>
      <c r="I99" s="224"/>
      <c r="J99" s="224"/>
      <c r="K99" s="224"/>
    </row>
    <row r="100" spans="4:11" ht="15.75" customHeight="1">
      <c r="D100" s="224"/>
      <c r="E100" s="224"/>
      <c r="F100" s="224"/>
      <c r="G100" s="224"/>
      <c r="H100" s="224"/>
      <c r="I100" s="224"/>
      <c r="J100" s="224"/>
      <c r="K100" s="224"/>
    </row>
    <row r="101" spans="4:11" ht="15.75" customHeight="1">
      <c r="D101" s="224"/>
      <c r="E101" s="224"/>
      <c r="F101" s="224"/>
      <c r="G101" s="224"/>
      <c r="H101" s="224"/>
      <c r="I101" s="224"/>
      <c r="J101" s="224"/>
      <c r="K101" s="224"/>
    </row>
    <row r="102" spans="4:11" ht="15.75" customHeight="1">
      <c r="D102" s="224"/>
      <c r="E102" s="224"/>
      <c r="F102" s="224"/>
      <c r="G102" s="224"/>
      <c r="H102" s="224"/>
      <c r="I102" s="224"/>
      <c r="J102" s="224"/>
      <c r="K102" s="224"/>
    </row>
    <row r="103" spans="4:11" ht="15.75" customHeight="1">
      <c r="D103" s="224"/>
      <c r="E103" s="224"/>
      <c r="F103" s="224"/>
      <c r="G103" s="224"/>
      <c r="H103" s="224"/>
      <c r="I103" s="224"/>
      <c r="J103" s="224"/>
      <c r="K103" s="224"/>
    </row>
    <row r="104" spans="4:11" ht="15.75" customHeight="1">
      <c r="D104" s="224"/>
      <c r="E104" s="224"/>
      <c r="F104" s="224"/>
      <c r="G104" s="224"/>
      <c r="H104" s="224"/>
      <c r="I104" s="224"/>
      <c r="J104" s="224"/>
      <c r="K104" s="224"/>
    </row>
    <row r="105" spans="4:11" ht="15.75" customHeight="1">
      <c r="D105" s="224"/>
      <c r="E105" s="224"/>
      <c r="F105" s="224"/>
      <c r="G105" s="224"/>
      <c r="H105" s="224"/>
      <c r="I105" s="224"/>
      <c r="J105" s="224"/>
      <c r="K105" s="224"/>
    </row>
    <row r="106" spans="4:11" ht="15.75" customHeight="1">
      <c r="D106" s="224"/>
      <c r="E106" s="224"/>
      <c r="F106" s="224"/>
      <c r="G106" s="224"/>
      <c r="H106" s="224"/>
      <c r="I106" s="224"/>
      <c r="J106" s="224"/>
      <c r="K106" s="224"/>
    </row>
    <row r="107" spans="4:11" ht="15.75" customHeight="1">
      <c r="D107" s="224"/>
      <c r="E107" s="224"/>
      <c r="F107" s="224"/>
      <c r="G107" s="224"/>
      <c r="H107" s="224"/>
      <c r="I107" s="224"/>
      <c r="J107" s="224"/>
      <c r="K107" s="224"/>
    </row>
    <row r="108" spans="4:11" ht="15.75" customHeight="1">
      <c r="D108" s="224"/>
      <c r="E108" s="224"/>
      <c r="F108" s="224"/>
      <c r="G108" s="224"/>
      <c r="H108" s="224"/>
      <c r="I108" s="224"/>
      <c r="J108" s="224"/>
      <c r="K108" s="224"/>
    </row>
    <row r="109" spans="4:11" ht="15.75" customHeight="1">
      <c r="D109" s="224"/>
      <c r="E109" s="224"/>
      <c r="F109" s="224"/>
      <c r="G109" s="224"/>
      <c r="H109" s="224"/>
      <c r="I109" s="224"/>
      <c r="J109" s="224"/>
      <c r="K109" s="224"/>
    </row>
    <row r="110" spans="4:11" ht="15.75" customHeight="1">
      <c r="D110" s="224"/>
      <c r="E110" s="224"/>
      <c r="F110" s="224"/>
      <c r="G110" s="224"/>
      <c r="H110" s="224"/>
      <c r="I110" s="224"/>
      <c r="J110" s="224"/>
      <c r="K110" s="224"/>
    </row>
    <row r="111" spans="4:11" ht="15.75" customHeight="1">
      <c r="D111" s="224"/>
      <c r="E111" s="224"/>
      <c r="F111" s="224"/>
      <c r="G111" s="224"/>
      <c r="H111" s="224"/>
      <c r="I111" s="224"/>
      <c r="J111" s="224"/>
      <c r="K111" s="224"/>
    </row>
    <row r="112" spans="4:11" ht="15.75" customHeight="1">
      <c r="D112" s="224"/>
      <c r="E112" s="224"/>
      <c r="F112" s="224"/>
      <c r="G112" s="224"/>
      <c r="H112" s="224"/>
      <c r="I112" s="224"/>
      <c r="J112" s="224"/>
      <c r="K112" s="224"/>
    </row>
    <row r="113" spans="4:11" ht="15.75" customHeight="1">
      <c r="D113" s="224"/>
      <c r="E113" s="224"/>
      <c r="F113" s="224"/>
      <c r="G113" s="224"/>
      <c r="H113" s="224"/>
      <c r="I113" s="224"/>
      <c r="J113" s="224"/>
      <c r="K113" s="224"/>
    </row>
    <row r="114" spans="4:11" ht="15.75" customHeight="1">
      <c r="D114" s="224"/>
      <c r="E114" s="224"/>
      <c r="F114" s="224"/>
      <c r="G114" s="224"/>
      <c r="H114" s="224"/>
      <c r="I114" s="224"/>
      <c r="J114" s="224"/>
      <c r="K114" s="224"/>
    </row>
    <row r="115" spans="4:11" ht="15.75" customHeight="1">
      <c r="D115" s="224"/>
      <c r="E115" s="224"/>
      <c r="F115" s="224"/>
      <c r="G115" s="224"/>
      <c r="H115" s="224"/>
      <c r="I115" s="224"/>
      <c r="J115" s="224"/>
      <c r="K115" s="224"/>
    </row>
    <row r="116" spans="4:11" ht="15.75" customHeight="1">
      <c r="D116" s="224"/>
      <c r="E116" s="224"/>
      <c r="F116" s="224"/>
      <c r="G116" s="224"/>
      <c r="H116" s="224"/>
      <c r="I116" s="224"/>
      <c r="J116" s="224"/>
      <c r="K116" s="224"/>
    </row>
    <row r="117" spans="4:11" ht="15.75" customHeight="1">
      <c r="D117" s="224"/>
      <c r="E117" s="224"/>
      <c r="F117" s="224"/>
      <c r="G117" s="224"/>
      <c r="H117" s="224"/>
      <c r="I117" s="224"/>
      <c r="J117" s="224"/>
      <c r="K117" s="224"/>
    </row>
    <row r="118" spans="4:11" ht="15.75" customHeight="1">
      <c r="D118" s="224"/>
      <c r="E118" s="224"/>
      <c r="F118" s="224"/>
      <c r="G118" s="224"/>
      <c r="H118" s="224"/>
      <c r="I118" s="224"/>
      <c r="J118" s="224"/>
      <c r="K118" s="224"/>
    </row>
    <row r="119" spans="4:11" ht="15.75" customHeight="1">
      <c r="D119" s="224"/>
      <c r="E119" s="224"/>
      <c r="F119" s="224"/>
      <c r="G119" s="224"/>
      <c r="H119" s="224"/>
      <c r="I119" s="224"/>
      <c r="J119" s="224"/>
      <c r="K119" s="224"/>
    </row>
    <row r="120" spans="4:11" ht="15.75" customHeight="1">
      <c r="D120" s="224"/>
      <c r="E120" s="224"/>
      <c r="F120" s="224"/>
      <c r="G120" s="224"/>
      <c r="H120" s="224"/>
      <c r="I120" s="224"/>
      <c r="J120" s="224"/>
      <c r="K120" s="224"/>
    </row>
    <row r="121" spans="4:11" ht="15.75" customHeight="1">
      <c r="D121" s="224"/>
      <c r="E121" s="224"/>
      <c r="F121" s="224"/>
      <c r="G121" s="224"/>
      <c r="H121" s="224"/>
      <c r="I121" s="224"/>
      <c r="J121" s="224"/>
      <c r="K121" s="224"/>
    </row>
    <row r="122" spans="4:11" ht="15.75" customHeight="1">
      <c r="D122" s="224"/>
      <c r="E122" s="224"/>
      <c r="F122" s="224"/>
      <c r="G122" s="224"/>
      <c r="H122" s="224"/>
      <c r="I122" s="224"/>
      <c r="J122" s="224"/>
      <c r="K122" s="224"/>
    </row>
    <row r="123" spans="4:11" ht="15.75" customHeight="1">
      <c r="D123" s="224"/>
      <c r="E123" s="224"/>
      <c r="F123" s="224"/>
      <c r="G123" s="224"/>
      <c r="H123" s="224"/>
      <c r="I123" s="224"/>
      <c r="J123" s="224"/>
      <c r="K123" s="224"/>
    </row>
    <row r="124" spans="4:11" ht="15.75" customHeight="1">
      <c r="D124" s="224"/>
      <c r="E124" s="224"/>
      <c r="F124" s="224"/>
      <c r="G124" s="224"/>
      <c r="H124" s="224"/>
      <c r="I124" s="224"/>
      <c r="J124" s="224"/>
      <c r="K124" s="224"/>
    </row>
    <row r="125" spans="4:11" ht="15.75" customHeight="1">
      <c r="D125" s="224"/>
      <c r="E125" s="224"/>
      <c r="F125" s="224"/>
      <c r="G125" s="224"/>
      <c r="H125" s="224"/>
      <c r="I125" s="224"/>
      <c r="J125" s="224"/>
      <c r="K125" s="224"/>
    </row>
    <row r="126" spans="4:11" ht="15.75" customHeight="1">
      <c r="D126" s="224"/>
      <c r="E126" s="224"/>
      <c r="F126" s="224"/>
      <c r="G126" s="224"/>
      <c r="H126" s="224"/>
      <c r="I126" s="224"/>
      <c r="J126" s="224"/>
      <c r="K126" s="224"/>
    </row>
    <row r="127" spans="4:11" ht="15.75" customHeight="1">
      <c r="D127" s="224"/>
      <c r="E127" s="224"/>
      <c r="F127" s="224"/>
      <c r="G127" s="224"/>
      <c r="H127" s="224"/>
      <c r="I127" s="224"/>
      <c r="J127" s="224"/>
      <c r="K127" s="224"/>
    </row>
    <row r="128" spans="4:11" ht="15.75" customHeight="1">
      <c r="D128" s="224"/>
      <c r="E128" s="224"/>
      <c r="F128" s="224"/>
      <c r="G128" s="224"/>
      <c r="H128" s="224"/>
      <c r="I128" s="224"/>
      <c r="J128" s="224"/>
      <c r="K128" s="224"/>
    </row>
    <row r="129" spans="4:11" ht="15.75" customHeight="1">
      <c r="D129" s="224"/>
      <c r="E129" s="224"/>
      <c r="F129" s="224"/>
      <c r="G129" s="224"/>
      <c r="H129" s="224"/>
      <c r="I129" s="224"/>
      <c r="J129" s="224"/>
      <c r="K129" s="224"/>
    </row>
    <row r="130" spans="4:11" ht="15.75" customHeight="1">
      <c r="D130" s="224"/>
      <c r="E130" s="224"/>
      <c r="F130" s="224"/>
      <c r="G130" s="224"/>
      <c r="H130" s="224"/>
      <c r="I130" s="224"/>
      <c r="J130" s="224"/>
      <c r="K130" s="224"/>
    </row>
    <row r="131" spans="4:11" ht="15.75" customHeight="1">
      <c r="D131" s="224"/>
      <c r="E131" s="224"/>
      <c r="F131" s="224"/>
      <c r="G131" s="224"/>
      <c r="H131" s="224"/>
      <c r="I131" s="224"/>
      <c r="J131" s="224"/>
      <c r="K131" s="224"/>
    </row>
    <row r="132" spans="4:11" ht="15.75" customHeight="1">
      <c r="D132" s="224"/>
      <c r="E132" s="224"/>
      <c r="F132" s="224"/>
      <c r="G132" s="224"/>
      <c r="H132" s="224"/>
      <c r="I132" s="224"/>
      <c r="J132" s="224"/>
      <c r="K132" s="224"/>
    </row>
    <row r="133" spans="4:11" ht="15.75" customHeight="1">
      <c r="D133" s="224"/>
      <c r="E133" s="224"/>
      <c r="F133" s="224"/>
      <c r="G133" s="224"/>
      <c r="H133" s="224"/>
      <c r="I133" s="224"/>
      <c r="J133" s="224"/>
      <c r="K133" s="224"/>
    </row>
    <row r="134" spans="4:11" ht="15.75" customHeight="1">
      <c r="D134" s="224"/>
      <c r="E134" s="224"/>
      <c r="F134" s="224"/>
      <c r="G134" s="224"/>
      <c r="H134" s="224"/>
      <c r="I134" s="224"/>
      <c r="J134" s="224"/>
      <c r="K134" s="224"/>
    </row>
    <row r="135" spans="4:11" ht="15.75" customHeight="1">
      <c r="D135" s="224"/>
      <c r="E135" s="224"/>
      <c r="F135" s="224"/>
      <c r="G135" s="224"/>
      <c r="H135" s="224"/>
      <c r="I135" s="224"/>
      <c r="J135" s="224"/>
      <c r="K135" s="224"/>
    </row>
    <row r="136" spans="4:11" ht="15.75" customHeight="1">
      <c r="D136" s="224"/>
      <c r="E136" s="224"/>
      <c r="F136" s="224"/>
      <c r="G136" s="224"/>
      <c r="H136" s="224"/>
      <c r="I136" s="224"/>
      <c r="J136" s="224"/>
      <c r="K136" s="224"/>
    </row>
    <row r="137" spans="4:11" ht="15.75" customHeight="1">
      <c r="D137" s="224"/>
      <c r="E137" s="224"/>
      <c r="F137" s="224"/>
      <c r="G137" s="224"/>
      <c r="H137" s="224"/>
      <c r="I137" s="224"/>
      <c r="J137" s="224"/>
      <c r="K137" s="224"/>
    </row>
    <row r="138" spans="4:11" ht="15.75" customHeight="1">
      <c r="D138" s="224"/>
      <c r="E138" s="224"/>
      <c r="F138" s="224"/>
      <c r="G138" s="224"/>
      <c r="H138" s="224"/>
      <c r="I138" s="224"/>
      <c r="J138" s="224"/>
      <c r="K138" s="224"/>
    </row>
    <row r="139" spans="4:11" ht="15.75" customHeight="1">
      <c r="D139" s="224"/>
      <c r="E139" s="224"/>
      <c r="F139" s="224"/>
      <c r="G139" s="224"/>
      <c r="H139" s="224"/>
      <c r="I139" s="224"/>
      <c r="J139" s="224"/>
      <c r="K139" s="224"/>
    </row>
    <row r="140" spans="4:11" ht="15.75" customHeight="1">
      <c r="D140" s="224"/>
      <c r="E140" s="224"/>
      <c r="F140" s="224"/>
      <c r="G140" s="224"/>
      <c r="H140" s="224"/>
      <c r="I140" s="224"/>
      <c r="J140" s="224"/>
      <c r="K140" s="224"/>
    </row>
    <row r="141" spans="4:11" ht="15.75" customHeight="1">
      <c r="D141" s="224"/>
      <c r="E141" s="224"/>
      <c r="F141" s="224"/>
      <c r="G141" s="224"/>
      <c r="H141" s="224"/>
      <c r="I141" s="224"/>
      <c r="J141" s="224"/>
      <c r="K141" s="224"/>
    </row>
    <row r="142" spans="4:11" ht="15.75" customHeight="1">
      <c r="D142" s="224"/>
      <c r="E142" s="224"/>
      <c r="F142" s="224"/>
      <c r="G142" s="224"/>
      <c r="H142" s="224"/>
      <c r="I142" s="224"/>
      <c r="J142" s="224"/>
      <c r="K142" s="224"/>
    </row>
    <row r="143" spans="4:11" ht="15.75" customHeight="1">
      <c r="D143" s="224"/>
      <c r="E143" s="224"/>
      <c r="F143" s="224"/>
      <c r="G143" s="224"/>
      <c r="H143" s="224"/>
      <c r="I143" s="224"/>
      <c r="J143" s="224"/>
      <c r="K143" s="224"/>
    </row>
    <row r="144" spans="4:11" ht="15.75" customHeight="1">
      <c r="D144" s="224"/>
      <c r="E144" s="224"/>
      <c r="F144" s="224"/>
      <c r="G144" s="224"/>
      <c r="H144" s="224"/>
      <c r="I144" s="224"/>
      <c r="J144" s="224"/>
      <c r="K144" s="224"/>
    </row>
    <row r="145" spans="4:11" ht="15.75" customHeight="1">
      <c r="D145" s="224"/>
      <c r="E145" s="224"/>
      <c r="F145" s="224"/>
      <c r="G145" s="224"/>
      <c r="H145" s="224"/>
      <c r="I145" s="224"/>
      <c r="J145" s="224"/>
      <c r="K145" s="224"/>
    </row>
    <row r="146" spans="4:11" ht="15.75" customHeight="1">
      <c r="D146" s="224"/>
      <c r="E146" s="224"/>
      <c r="F146" s="224"/>
      <c r="G146" s="224"/>
      <c r="H146" s="224"/>
      <c r="I146" s="224"/>
      <c r="J146" s="224"/>
      <c r="K146" s="224"/>
    </row>
    <row r="147" spans="4:11" ht="15.75" customHeight="1">
      <c r="D147" s="224"/>
      <c r="E147" s="224"/>
      <c r="F147" s="224"/>
      <c r="G147" s="224"/>
      <c r="H147" s="224"/>
      <c r="I147" s="224"/>
      <c r="J147" s="224"/>
      <c r="K147" s="224"/>
    </row>
    <row r="148" spans="4:11" ht="15.75" customHeight="1">
      <c r="D148" s="224"/>
      <c r="E148" s="224"/>
      <c r="F148" s="224"/>
      <c r="G148" s="224"/>
      <c r="H148" s="224"/>
      <c r="I148" s="224"/>
      <c r="J148" s="224"/>
      <c r="K148" s="224"/>
    </row>
    <row r="149" spans="4:11" ht="15.75" customHeight="1">
      <c r="D149" s="224"/>
      <c r="E149" s="224"/>
      <c r="F149" s="224"/>
      <c r="G149" s="224"/>
      <c r="H149" s="224"/>
      <c r="I149" s="224"/>
      <c r="J149" s="224"/>
      <c r="K149" s="224"/>
    </row>
    <row r="150" spans="4:11" ht="15.75" customHeight="1">
      <c r="D150" s="224"/>
      <c r="E150" s="224"/>
      <c r="F150" s="224"/>
      <c r="G150" s="224"/>
      <c r="H150" s="224"/>
      <c r="I150" s="224"/>
      <c r="J150" s="224"/>
      <c r="K150" s="224"/>
    </row>
    <row r="151" spans="4:11" ht="15.75" customHeight="1">
      <c r="D151" s="224"/>
      <c r="E151" s="224"/>
      <c r="F151" s="224"/>
      <c r="G151" s="224"/>
      <c r="H151" s="224"/>
      <c r="I151" s="224"/>
      <c r="J151" s="224"/>
      <c r="K151" s="224"/>
    </row>
    <row r="152" spans="4:11" ht="15.75" customHeight="1">
      <c r="D152" s="224"/>
      <c r="E152" s="224"/>
      <c r="F152" s="224"/>
      <c r="G152" s="224"/>
      <c r="H152" s="224"/>
      <c r="I152" s="224"/>
      <c r="J152" s="224"/>
      <c r="K152" s="224"/>
    </row>
    <row r="153" spans="4:11" ht="15.75" customHeight="1">
      <c r="D153" s="224"/>
      <c r="E153" s="224"/>
      <c r="F153" s="224"/>
      <c r="G153" s="224"/>
      <c r="H153" s="224"/>
      <c r="I153" s="224"/>
      <c r="J153" s="224"/>
      <c r="K153" s="224"/>
    </row>
    <row r="154" spans="4:11" ht="15.75" customHeight="1">
      <c r="D154" s="224"/>
      <c r="E154" s="224"/>
      <c r="F154" s="224"/>
      <c r="G154" s="224"/>
      <c r="H154" s="224"/>
      <c r="I154" s="224"/>
      <c r="J154" s="224"/>
      <c r="K154" s="224"/>
    </row>
    <row r="155" spans="4:11" ht="15.75" customHeight="1">
      <c r="D155" s="224"/>
      <c r="E155" s="224"/>
      <c r="F155" s="224"/>
      <c r="G155" s="224"/>
      <c r="H155" s="224"/>
      <c r="I155" s="224"/>
      <c r="J155" s="224"/>
      <c r="K155" s="224"/>
    </row>
    <row r="156" spans="4:11" ht="15.75" customHeight="1">
      <c r="D156" s="224"/>
      <c r="E156" s="224"/>
      <c r="F156" s="224"/>
      <c r="G156" s="224"/>
      <c r="H156" s="224"/>
      <c r="I156" s="224"/>
      <c r="J156" s="224"/>
      <c r="K156" s="224"/>
    </row>
    <row r="157" spans="4:11" ht="15.75" customHeight="1">
      <c r="D157" s="224"/>
      <c r="E157" s="224"/>
      <c r="F157" s="224"/>
      <c r="G157" s="224"/>
      <c r="H157" s="224"/>
      <c r="I157" s="224"/>
      <c r="J157" s="224"/>
      <c r="K157" s="224"/>
    </row>
    <row r="158" spans="4:11" ht="15.75" customHeight="1">
      <c r="D158" s="224"/>
      <c r="E158" s="224"/>
      <c r="F158" s="224"/>
      <c r="G158" s="224"/>
      <c r="H158" s="224"/>
      <c r="I158" s="224"/>
      <c r="J158" s="224"/>
      <c r="K158" s="224"/>
    </row>
    <row r="159" spans="4:11" ht="15.75" customHeight="1">
      <c r="D159" s="224"/>
      <c r="E159" s="224"/>
      <c r="F159" s="224"/>
      <c r="G159" s="224"/>
      <c r="H159" s="224"/>
      <c r="I159" s="224"/>
      <c r="J159" s="224"/>
      <c r="K159" s="224"/>
    </row>
    <row r="160" spans="4:11" ht="15.75" customHeight="1">
      <c r="D160" s="224"/>
      <c r="E160" s="224"/>
      <c r="F160" s="224"/>
      <c r="G160" s="224"/>
      <c r="H160" s="224"/>
      <c r="I160" s="224"/>
      <c r="J160" s="224"/>
      <c r="K160" s="224"/>
    </row>
    <row r="161" spans="4:11" ht="15.75" customHeight="1">
      <c r="D161" s="224"/>
      <c r="E161" s="224"/>
      <c r="F161" s="224"/>
      <c r="G161" s="224"/>
      <c r="H161" s="224"/>
      <c r="I161" s="224"/>
      <c r="J161" s="224"/>
      <c r="K161" s="224"/>
    </row>
    <row r="162" spans="4:11" ht="15.75" customHeight="1">
      <c r="D162" s="224"/>
      <c r="E162" s="224"/>
      <c r="F162" s="224"/>
      <c r="G162" s="224"/>
      <c r="H162" s="224"/>
      <c r="I162" s="224"/>
      <c r="J162" s="224"/>
      <c r="K162" s="224"/>
    </row>
    <row r="163" spans="4:11" ht="15.75" customHeight="1">
      <c r="D163" s="224"/>
      <c r="E163" s="224"/>
      <c r="F163" s="224"/>
      <c r="G163" s="224"/>
      <c r="H163" s="224"/>
      <c r="I163" s="224"/>
      <c r="J163" s="224"/>
      <c r="K163" s="224"/>
    </row>
    <row r="164" spans="4:11" ht="15.75" customHeight="1">
      <c r="D164" s="224"/>
      <c r="E164" s="224"/>
      <c r="F164" s="224"/>
      <c r="G164" s="224"/>
      <c r="H164" s="224"/>
      <c r="I164" s="224"/>
      <c r="J164" s="224"/>
      <c r="K164" s="224"/>
    </row>
    <row r="165" spans="4:11" ht="15.75" customHeight="1">
      <c r="D165" s="224"/>
      <c r="E165" s="224"/>
      <c r="F165" s="224"/>
      <c r="G165" s="224"/>
      <c r="H165" s="224"/>
      <c r="I165" s="224"/>
      <c r="J165" s="224"/>
      <c r="K165" s="224"/>
    </row>
    <row r="166" spans="4:11" ht="15.75" customHeight="1">
      <c r="D166" s="224"/>
      <c r="E166" s="224"/>
      <c r="F166" s="224"/>
      <c r="G166" s="224"/>
      <c r="H166" s="224"/>
      <c r="I166" s="224"/>
      <c r="J166" s="224"/>
      <c r="K166" s="224"/>
    </row>
    <row r="167" spans="4:11" ht="15.75" customHeight="1">
      <c r="D167" s="224"/>
      <c r="E167" s="224"/>
      <c r="F167" s="224"/>
      <c r="G167" s="224"/>
      <c r="H167" s="224"/>
      <c r="I167" s="224"/>
      <c r="J167" s="224"/>
      <c r="K167" s="224"/>
    </row>
    <row r="168" spans="4:11" ht="15.75" customHeight="1">
      <c r="D168" s="224"/>
      <c r="E168" s="224"/>
      <c r="F168" s="224"/>
      <c r="G168" s="224"/>
      <c r="H168" s="224"/>
      <c r="I168" s="224"/>
      <c r="J168" s="224"/>
      <c r="K168" s="224"/>
    </row>
    <row r="169" spans="4:11" ht="15.75" customHeight="1">
      <c r="D169" s="224"/>
      <c r="E169" s="224"/>
      <c r="F169" s="224"/>
      <c r="G169" s="224"/>
      <c r="H169" s="224"/>
      <c r="I169" s="224"/>
      <c r="J169" s="224"/>
      <c r="K169" s="224"/>
    </row>
    <row r="170" spans="4:11" ht="15.75" customHeight="1">
      <c r="D170" s="224"/>
      <c r="E170" s="224"/>
      <c r="F170" s="224"/>
      <c r="G170" s="224"/>
      <c r="H170" s="224"/>
      <c r="I170" s="224"/>
      <c r="J170" s="224"/>
      <c r="K170" s="224"/>
    </row>
    <row r="171" spans="4:11" ht="15.75" customHeight="1">
      <c r="D171" s="224"/>
      <c r="E171" s="224"/>
      <c r="F171" s="224"/>
      <c r="G171" s="224"/>
      <c r="H171" s="224"/>
      <c r="I171" s="224"/>
      <c r="J171" s="224"/>
      <c r="K171" s="224"/>
    </row>
    <row r="172" spans="4:11" ht="15.75" customHeight="1">
      <c r="D172" s="224"/>
      <c r="E172" s="224"/>
      <c r="F172" s="224"/>
      <c r="G172" s="224"/>
      <c r="H172" s="224"/>
      <c r="I172" s="224"/>
      <c r="J172" s="224"/>
      <c r="K172" s="224"/>
    </row>
    <row r="173" spans="4:11" ht="15.75" customHeight="1">
      <c r="D173" s="224"/>
      <c r="E173" s="224"/>
      <c r="F173" s="224"/>
      <c r="G173" s="224"/>
      <c r="H173" s="224"/>
      <c r="I173" s="224"/>
      <c r="J173" s="224"/>
      <c r="K173" s="224"/>
    </row>
    <row r="174" spans="4:11" ht="15.75" customHeight="1">
      <c r="D174" s="224"/>
      <c r="E174" s="224"/>
      <c r="F174" s="224"/>
      <c r="G174" s="224"/>
      <c r="H174" s="224"/>
      <c r="I174" s="224"/>
      <c r="J174" s="224"/>
      <c r="K174" s="224"/>
    </row>
    <row r="175" spans="4:11" ht="15.75" customHeight="1">
      <c r="D175" s="224"/>
      <c r="E175" s="224"/>
      <c r="F175" s="224"/>
      <c r="G175" s="224"/>
      <c r="H175" s="224"/>
      <c r="I175" s="224"/>
      <c r="J175" s="224"/>
      <c r="K175" s="224"/>
    </row>
    <row r="176" spans="4:11" ht="15.75" customHeight="1">
      <c r="D176" s="224"/>
      <c r="E176" s="224"/>
      <c r="F176" s="224"/>
      <c r="G176" s="224"/>
      <c r="H176" s="224"/>
      <c r="I176" s="224"/>
      <c r="J176" s="224"/>
      <c r="K176" s="224"/>
    </row>
    <row r="177" spans="4:11" ht="15.75" customHeight="1">
      <c r="D177" s="224"/>
      <c r="E177" s="224"/>
      <c r="F177" s="224"/>
      <c r="G177" s="224"/>
      <c r="H177" s="224"/>
      <c r="I177" s="224"/>
      <c r="J177" s="224"/>
      <c r="K177" s="224"/>
    </row>
    <row r="178" spans="4:11" ht="15.75" customHeight="1">
      <c r="D178" s="224"/>
      <c r="E178" s="224"/>
      <c r="F178" s="224"/>
      <c r="G178" s="224"/>
      <c r="H178" s="224"/>
      <c r="I178" s="224"/>
      <c r="J178" s="224"/>
      <c r="K178" s="224"/>
    </row>
    <row r="179" spans="4:11" ht="15.75" customHeight="1">
      <c r="D179" s="224"/>
      <c r="E179" s="224"/>
      <c r="F179" s="224"/>
      <c r="G179" s="224"/>
      <c r="H179" s="224"/>
      <c r="I179" s="224"/>
      <c r="J179" s="224"/>
      <c r="K179" s="224"/>
    </row>
    <row r="180" spans="4:11" ht="15.75" customHeight="1">
      <c r="D180" s="224"/>
      <c r="E180" s="224"/>
      <c r="F180" s="224"/>
      <c r="G180" s="224"/>
      <c r="H180" s="224"/>
      <c r="I180" s="224"/>
      <c r="J180" s="224"/>
      <c r="K180" s="224"/>
    </row>
    <row r="181" spans="4:11" ht="15.75" customHeight="1">
      <c r="D181" s="224"/>
      <c r="E181" s="224"/>
      <c r="F181" s="224"/>
      <c r="G181" s="224"/>
      <c r="H181" s="224"/>
      <c r="I181" s="224"/>
      <c r="J181" s="224"/>
      <c r="K181" s="224"/>
    </row>
    <row r="182" spans="4:11" ht="15.75" customHeight="1">
      <c r="D182" s="224"/>
      <c r="E182" s="224"/>
      <c r="F182" s="224"/>
      <c r="G182" s="224"/>
      <c r="H182" s="224"/>
      <c r="I182" s="224"/>
      <c r="J182" s="224"/>
      <c r="K182" s="224"/>
    </row>
    <row r="183" spans="4:11" ht="15.75" customHeight="1">
      <c r="D183" s="224"/>
      <c r="E183" s="224"/>
      <c r="F183" s="224"/>
      <c r="G183" s="224"/>
      <c r="H183" s="224"/>
      <c r="I183" s="224"/>
      <c r="J183" s="224"/>
      <c r="K183" s="224"/>
    </row>
    <row r="184" spans="4:11" ht="15.75" customHeight="1">
      <c r="D184" s="224"/>
      <c r="E184" s="224"/>
      <c r="F184" s="224"/>
      <c r="G184" s="224"/>
      <c r="H184" s="224"/>
      <c r="I184" s="224"/>
      <c r="J184" s="224"/>
      <c r="K184" s="224"/>
    </row>
    <row r="185" spans="4:11" ht="15.75" customHeight="1">
      <c r="D185" s="224"/>
      <c r="E185" s="224"/>
      <c r="F185" s="224"/>
      <c r="G185" s="224"/>
      <c r="H185" s="224"/>
      <c r="I185" s="224"/>
      <c r="J185" s="224"/>
      <c r="K185" s="224"/>
    </row>
    <row r="186" spans="4:11" ht="15.75" customHeight="1">
      <c r="D186" s="224"/>
      <c r="E186" s="224"/>
      <c r="F186" s="224"/>
      <c r="G186" s="224"/>
      <c r="H186" s="224"/>
      <c r="I186" s="224"/>
      <c r="J186" s="224"/>
      <c r="K186" s="224"/>
    </row>
    <row r="187" spans="4:11" ht="15.75" customHeight="1">
      <c r="D187" s="224"/>
      <c r="E187" s="224"/>
      <c r="F187" s="224"/>
      <c r="G187" s="224"/>
      <c r="H187" s="224"/>
      <c r="I187" s="224"/>
      <c r="J187" s="224"/>
      <c r="K187" s="224"/>
    </row>
    <row r="188" spans="4:11" ht="15.75" customHeight="1">
      <c r="D188" s="224"/>
      <c r="E188" s="224"/>
      <c r="F188" s="224"/>
      <c r="G188" s="224"/>
      <c r="H188" s="224"/>
      <c r="I188" s="224"/>
      <c r="J188" s="224"/>
      <c r="K188" s="224"/>
    </row>
    <row r="189" spans="4:11" ht="15.75" customHeight="1">
      <c r="D189" s="224"/>
      <c r="E189" s="224"/>
      <c r="F189" s="224"/>
      <c r="G189" s="224"/>
      <c r="H189" s="224"/>
      <c r="I189" s="224"/>
      <c r="J189" s="224"/>
      <c r="K189" s="224"/>
    </row>
    <row r="190" spans="4:11" ht="15.75" customHeight="1">
      <c r="D190" s="224"/>
      <c r="E190" s="224"/>
      <c r="F190" s="224"/>
      <c r="G190" s="224"/>
      <c r="H190" s="224"/>
      <c r="I190" s="224"/>
      <c r="J190" s="224"/>
      <c r="K190" s="224"/>
    </row>
    <row r="191" spans="4:11" ht="15.75" customHeight="1">
      <c r="D191" s="224"/>
      <c r="E191" s="224"/>
      <c r="F191" s="224"/>
      <c r="G191" s="224"/>
      <c r="H191" s="224"/>
      <c r="I191" s="224"/>
      <c r="J191" s="224"/>
      <c r="K191" s="224"/>
    </row>
    <row r="192" spans="4:11" ht="15.75" customHeight="1">
      <c r="D192" s="224"/>
      <c r="E192" s="224"/>
      <c r="F192" s="224"/>
      <c r="G192" s="224"/>
      <c r="H192" s="224"/>
      <c r="I192" s="224"/>
      <c r="J192" s="224"/>
      <c r="K192" s="224"/>
    </row>
    <row r="193" spans="4:11" ht="15.75" customHeight="1">
      <c r="D193" s="224"/>
      <c r="E193" s="224"/>
      <c r="F193" s="224"/>
      <c r="G193" s="224"/>
      <c r="H193" s="224"/>
      <c r="I193" s="224"/>
      <c r="J193" s="224"/>
      <c r="K193" s="224"/>
    </row>
    <row r="194" spans="4:11" ht="15.75" customHeight="1">
      <c r="D194" s="224"/>
      <c r="E194" s="224"/>
      <c r="F194" s="224"/>
      <c r="G194" s="224"/>
      <c r="H194" s="224"/>
      <c r="I194" s="224"/>
      <c r="J194" s="224"/>
      <c r="K194" s="224"/>
    </row>
    <row r="195" spans="4:11" ht="15.75" customHeight="1">
      <c r="D195" s="224"/>
      <c r="E195" s="224"/>
      <c r="F195" s="224"/>
      <c r="G195" s="224"/>
      <c r="H195" s="224"/>
      <c r="I195" s="224"/>
      <c r="J195" s="224"/>
      <c r="K195" s="224"/>
    </row>
    <row r="196" spans="4:11" ht="15.75" customHeight="1">
      <c r="D196" s="224"/>
      <c r="E196" s="224"/>
      <c r="F196" s="224"/>
      <c r="G196" s="224"/>
      <c r="H196" s="224"/>
      <c r="I196" s="224"/>
      <c r="J196" s="224"/>
      <c r="K196" s="224"/>
    </row>
    <row r="197" spans="4:11" ht="15.75" customHeight="1">
      <c r="D197" s="224"/>
      <c r="E197" s="224"/>
      <c r="F197" s="224"/>
      <c r="G197" s="224"/>
      <c r="H197" s="224"/>
      <c r="I197" s="224"/>
      <c r="J197" s="224"/>
      <c r="K197" s="224"/>
    </row>
    <row r="198" spans="4:11" ht="15.75" customHeight="1">
      <c r="D198" s="224"/>
      <c r="E198" s="224"/>
      <c r="F198" s="224"/>
      <c r="G198" s="224"/>
      <c r="H198" s="224"/>
      <c r="I198" s="224"/>
      <c r="J198" s="224"/>
      <c r="K198" s="224"/>
    </row>
    <row r="199" spans="4:11" ht="15.75" customHeight="1">
      <c r="D199" s="224"/>
      <c r="E199" s="224"/>
      <c r="F199" s="224"/>
      <c r="G199" s="224"/>
      <c r="H199" s="224"/>
      <c r="I199" s="224"/>
      <c r="J199" s="224"/>
      <c r="K199" s="224"/>
    </row>
    <row r="200" spans="4:11" ht="15.75" customHeight="1">
      <c r="D200" s="224"/>
      <c r="E200" s="224"/>
      <c r="F200" s="224"/>
      <c r="G200" s="224"/>
      <c r="H200" s="224"/>
      <c r="I200" s="224"/>
      <c r="J200" s="224"/>
      <c r="K200" s="224"/>
    </row>
    <row r="201" spans="4:11" ht="15.75" customHeight="1">
      <c r="D201" s="224"/>
      <c r="E201" s="224"/>
      <c r="F201" s="224"/>
      <c r="G201" s="224"/>
      <c r="H201" s="224"/>
      <c r="I201" s="224"/>
      <c r="J201" s="224"/>
      <c r="K201" s="224"/>
    </row>
    <row r="202" spans="4:11" ht="15.75" customHeight="1">
      <c r="D202" s="224"/>
      <c r="E202" s="224"/>
      <c r="F202" s="224"/>
      <c r="G202" s="224"/>
      <c r="H202" s="224"/>
      <c r="I202" s="224"/>
      <c r="J202" s="224"/>
      <c r="K202" s="224"/>
    </row>
    <row r="203" spans="4:11" ht="15.75" customHeight="1">
      <c r="D203" s="224"/>
      <c r="E203" s="224"/>
      <c r="F203" s="224"/>
      <c r="G203" s="224"/>
      <c r="H203" s="224"/>
      <c r="I203" s="224"/>
      <c r="J203" s="224"/>
      <c r="K203" s="224"/>
    </row>
    <row r="204" spans="4:11" ht="15.75" customHeight="1">
      <c r="D204" s="224"/>
      <c r="E204" s="224"/>
      <c r="F204" s="224"/>
      <c r="G204" s="224"/>
      <c r="H204" s="224"/>
      <c r="I204" s="224"/>
      <c r="J204" s="224"/>
      <c r="K204" s="224"/>
    </row>
    <row r="205" spans="4:11" ht="15.75" customHeight="1">
      <c r="D205" s="224"/>
      <c r="E205" s="224"/>
      <c r="F205" s="224"/>
      <c r="G205" s="224"/>
      <c r="H205" s="224"/>
      <c r="I205" s="224"/>
      <c r="J205" s="224"/>
      <c r="K205" s="224"/>
    </row>
    <row r="206" spans="4:11" ht="15.75" customHeight="1">
      <c r="D206" s="224"/>
      <c r="E206" s="224"/>
      <c r="F206" s="224"/>
      <c r="G206" s="224"/>
      <c r="H206" s="224"/>
      <c r="I206" s="224"/>
      <c r="J206" s="224"/>
      <c r="K206" s="224"/>
    </row>
    <row r="207" spans="4:11" ht="15.75" customHeight="1">
      <c r="D207" s="224"/>
      <c r="E207" s="224"/>
      <c r="F207" s="224"/>
      <c r="G207" s="224"/>
      <c r="H207" s="224"/>
      <c r="I207" s="224"/>
      <c r="J207" s="224"/>
      <c r="K207" s="224"/>
    </row>
    <row r="208" spans="4:11" ht="15.75" customHeight="1">
      <c r="D208" s="224"/>
      <c r="E208" s="224"/>
      <c r="F208" s="224"/>
      <c r="G208" s="224"/>
      <c r="H208" s="224"/>
      <c r="I208" s="224"/>
      <c r="J208" s="224"/>
      <c r="K208" s="224"/>
    </row>
    <row r="209" spans="4:11" ht="15.75" customHeight="1">
      <c r="D209" s="224"/>
      <c r="E209" s="224"/>
      <c r="F209" s="224"/>
      <c r="G209" s="224"/>
      <c r="H209" s="224"/>
      <c r="I209" s="224"/>
      <c r="J209" s="224"/>
      <c r="K209" s="224"/>
    </row>
    <row r="210" spans="4:11" ht="15.75" customHeight="1">
      <c r="D210" s="224"/>
      <c r="E210" s="224"/>
      <c r="F210" s="224"/>
      <c r="G210" s="224"/>
      <c r="H210" s="224"/>
      <c r="I210" s="224"/>
      <c r="J210" s="224"/>
      <c r="K210" s="224"/>
    </row>
    <row r="211" spans="4:11" ht="15.75" customHeight="1">
      <c r="D211" s="224"/>
      <c r="E211" s="224"/>
      <c r="F211" s="224"/>
      <c r="G211" s="224"/>
      <c r="H211" s="224"/>
      <c r="I211" s="224"/>
      <c r="J211" s="224"/>
      <c r="K211" s="224"/>
    </row>
    <row r="212" spans="4:11" ht="15.75" customHeight="1">
      <c r="D212" s="224"/>
      <c r="E212" s="224"/>
      <c r="F212" s="224"/>
      <c r="G212" s="224"/>
      <c r="H212" s="224"/>
      <c r="I212" s="224"/>
      <c r="J212" s="224"/>
      <c r="K212" s="224"/>
    </row>
    <row r="213" spans="4:11" ht="15.75" customHeight="1">
      <c r="D213" s="224"/>
      <c r="E213" s="224"/>
      <c r="F213" s="224"/>
      <c r="G213" s="224"/>
      <c r="H213" s="224"/>
      <c r="I213" s="224"/>
      <c r="J213" s="224"/>
      <c r="K213" s="224"/>
    </row>
    <row r="214" spans="4:11" ht="15.75" customHeight="1">
      <c r="D214" s="224"/>
      <c r="E214" s="224"/>
      <c r="F214" s="224"/>
      <c r="G214" s="224"/>
      <c r="H214" s="224"/>
      <c r="I214" s="224"/>
      <c r="J214" s="224"/>
      <c r="K214" s="224"/>
    </row>
    <row r="215" spans="4:11" ht="15.75" customHeight="1">
      <c r="D215" s="224"/>
      <c r="E215" s="224"/>
      <c r="F215" s="224"/>
      <c r="G215" s="224"/>
      <c r="H215" s="224"/>
      <c r="I215" s="224"/>
      <c r="J215" s="224"/>
      <c r="K215" s="224"/>
    </row>
    <row r="216" spans="4:11" ht="15.75" customHeight="1">
      <c r="D216" s="224"/>
      <c r="E216" s="224"/>
      <c r="F216" s="224"/>
      <c r="G216" s="224"/>
      <c r="H216" s="224"/>
      <c r="I216" s="224"/>
      <c r="J216" s="224"/>
      <c r="K216" s="224"/>
    </row>
    <row r="217" spans="4:11" ht="15.75" customHeight="1">
      <c r="D217" s="224"/>
      <c r="E217" s="224"/>
      <c r="F217" s="224"/>
      <c r="G217" s="224"/>
      <c r="H217" s="224"/>
      <c r="I217" s="224"/>
      <c r="J217" s="224"/>
      <c r="K217" s="224"/>
    </row>
    <row r="218" spans="4:11" ht="15.75" customHeight="1">
      <c r="D218" s="224"/>
      <c r="E218" s="224"/>
      <c r="F218" s="224"/>
      <c r="G218" s="224"/>
      <c r="H218" s="224"/>
      <c r="I218" s="224"/>
      <c r="J218" s="224"/>
      <c r="K218" s="224"/>
    </row>
    <row r="219" spans="4:11" ht="15.75" customHeight="1">
      <c r="D219" s="224"/>
      <c r="E219" s="224"/>
      <c r="F219" s="224"/>
      <c r="G219" s="224"/>
      <c r="H219" s="224"/>
      <c r="I219" s="224"/>
      <c r="J219" s="224"/>
      <c r="K219" s="224"/>
    </row>
    <row r="220" spans="4:11" ht="15.75" customHeight="1">
      <c r="D220" s="224"/>
      <c r="E220" s="224"/>
      <c r="F220" s="224"/>
      <c r="G220" s="224"/>
      <c r="H220" s="224"/>
      <c r="I220" s="224"/>
      <c r="J220" s="224"/>
      <c r="K220" s="224"/>
    </row>
    <row r="221" spans="4:11" ht="15.75" customHeight="1">
      <c r="D221" s="224"/>
      <c r="E221" s="224"/>
      <c r="F221" s="224"/>
      <c r="G221" s="224"/>
      <c r="H221" s="224"/>
      <c r="I221" s="224"/>
      <c r="J221" s="224"/>
      <c r="K221" s="224"/>
    </row>
    <row r="222" spans="4:11" ht="15.75" customHeight="1">
      <c r="D222" s="224"/>
      <c r="E222" s="224"/>
      <c r="F222" s="224"/>
      <c r="G222" s="224"/>
      <c r="H222" s="224"/>
      <c r="I222" s="224"/>
      <c r="J222" s="224"/>
      <c r="K222" s="224"/>
    </row>
    <row r="223" spans="4:11" ht="15.75" customHeight="1">
      <c r="D223" s="224"/>
      <c r="E223" s="224"/>
      <c r="F223" s="224"/>
      <c r="G223" s="224"/>
      <c r="H223" s="224"/>
      <c r="I223" s="224"/>
      <c r="J223" s="224"/>
      <c r="K223" s="224"/>
    </row>
    <row r="224" spans="4:11" ht="15.75" customHeight="1">
      <c r="D224" s="224"/>
      <c r="E224" s="224"/>
      <c r="F224" s="224"/>
      <c r="G224" s="224"/>
      <c r="H224" s="224"/>
      <c r="I224" s="224"/>
      <c r="J224" s="224"/>
      <c r="K224" s="224"/>
    </row>
    <row r="225" spans="4:11" ht="15.75" customHeight="1">
      <c r="D225" s="224"/>
      <c r="E225" s="224"/>
      <c r="F225" s="224"/>
      <c r="G225" s="224"/>
      <c r="H225" s="224"/>
      <c r="I225" s="224"/>
      <c r="J225" s="224"/>
      <c r="K225" s="224"/>
    </row>
    <row r="226" spans="4:11" ht="15.75" customHeight="1">
      <c r="D226" s="224"/>
      <c r="E226" s="224"/>
      <c r="F226" s="224"/>
      <c r="G226" s="224"/>
      <c r="H226" s="224"/>
      <c r="I226" s="224"/>
      <c r="J226" s="224"/>
      <c r="K226" s="224"/>
    </row>
    <row r="227" spans="4:11" ht="15.75" customHeight="1">
      <c r="D227" s="224"/>
      <c r="E227" s="224"/>
      <c r="F227" s="224"/>
      <c r="G227" s="224"/>
      <c r="H227" s="224"/>
      <c r="I227" s="224"/>
      <c r="J227" s="224"/>
      <c r="K227" s="224"/>
    </row>
    <row r="228" spans="4:11" ht="15.75" customHeight="1">
      <c r="D228" s="224"/>
      <c r="E228" s="224"/>
      <c r="F228" s="224"/>
      <c r="G228" s="224"/>
      <c r="H228" s="224"/>
      <c r="I228" s="224"/>
      <c r="J228" s="224"/>
      <c r="K228" s="224"/>
    </row>
    <row r="229" spans="4:11" ht="15.75" customHeight="1">
      <c r="D229" s="224"/>
      <c r="E229" s="224"/>
      <c r="F229" s="224"/>
      <c r="G229" s="224"/>
      <c r="H229" s="224"/>
      <c r="I229" s="224"/>
      <c r="J229" s="224"/>
      <c r="K229" s="224"/>
    </row>
    <row r="230" spans="4:11" ht="15.75" customHeight="1">
      <c r="D230" s="224"/>
      <c r="E230" s="224"/>
      <c r="F230" s="224"/>
      <c r="G230" s="224"/>
      <c r="H230" s="224"/>
      <c r="I230" s="224"/>
      <c r="J230" s="224"/>
      <c r="K230" s="224"/>
    </row>
    <row r="231" spans="4:11" ht="15.75" customHeight="1">
      <c r="D231" s="224"/>
      <c r="E231" s="224"/>
      <c r="F231" s="224"/>
      <c r="G231" s="224"/>
      <c r="H231" s="224"/>
      <c r="I231" s="224"/>
      <c r="J231" s="224"/>
      <c r="K231" s="224"/>
    </row>
    <row r="232" spans="4:11" ht="15.75" customHeight="1">
      <c r="D232" s="224"/>
      <c r="E232" s="224"/>
      <c r="F232" s="224"/>
      <c r="G232" s="224"/>
      <c r="H232" s="224"/>
      <c r="I232" s="224"/>
      <c r="J232" s="224"/>
      <c r="K232" s="224"/>
    </row>
    <row r="233" spans="4:11" ht="15.75" customHeight="1">
      <c r="D233" s="224"/>
      <c r="E233" s="224"/>
      <c r="F233" s="224"/>
      <c r="G233" s="224"/>
      <c r="H233" s="224"/>
      <c r="I233" s="224"/>
      <c r="J233" s="224"/>
      <c r="K233" s="224"/>
    </row>
    <row r="234" spans="4:11" ht="15.75" customHeight="1">
      <c r="D234" s="224"/>
      <c r="E234" s="224"/>
      <c r="F234" s="224"/>
      <c r="G234" s="224"/>
      <c r="H234" s="224"/>
      <c r="I234" s="224"/>
      <c r="J234" s="224"/>
      <c r="K234" s="224"/>
    </row>
    <row r="235" spans="4:11" ht="15.75" customHeight="1">
      <c r="D235" s="224"/>
      <c r="E235" s="224"/>
      <c r="F235" s="224"/>
      <c r="G235" s="224"/>
      <c r="H235" s="224"/>
      <c r="I235" s="224"/>
      <c r="J235" s="224"/>
      <c r="K235" s="224"/>
    </row>
    <row r="236" spans="4:11" ht="15.75" customHeight="1">
      <c r="D236" s="224"/>
      <c r="E236" s="224"/>
      <c r="F236" s="224"/>
      <c r="G236" s="224"/>
      <c r="H236" s="224"/>
      <c r="I236" s="224"/>
      <c r="J236" s="224"/>
      <c r="K236" s="224"/>
    </row>
    <row r="237" spans="4:11" ht="15.75" customHeight="1">
      <c r="D237" s="224"/>
      <c r="E237" s="224"/>
      <c r="F237" s="224"/>
      <c r="G237" s="224"/>
      <c r="H237" s="224"/>
      <c r="I237" s="224"/>
      <c r="J237" s="224"/>
      <c r="K237" s="224"/>
    </row>
    <row r="238" spans="4:11" ht="15.75" customHeight="1">
      <c r="D238" s="224"/>
      <c r="E238" s="224"/>
      <c r="F238" s="224"/>
      <c r="G238" s="224"/>
      <c r="H238" s="224"/>
      <c r="I238" s="224"/>
      <c r="J238" s="224"/>
      <c r="K238" s="224"/>
    </row>
    <row r="239" spans="4:11" ht="15.75" customHeight="1">
      <c r="D239" s="224"/>
      <c r="E239" s="224"/>
      <c r="F239" s="224"/>
      <c r="G239" s="224"/>
      <c r="H239" s="224"/>
      <c r="I239" s="224"/>
      <c r="J239" s="224"/>
      <c r="K239" s="224"/>
    </row>
    <row r="240" spans="4:11" ht="15.75" customHeight="1">
      <c r="D240" s="224"/>
      <c r="E240" s="224"/>
      <c r="F240" s="224"/>
      <c r="G240" s="224"/>
      <c r="H240" s="224"/>
      <c r="I240" s="224"/>
      <c r="J240" s="224"/>
      <c r="K240" s="224"/>
    </row>
    <row r="241" spans="4:11" ht="15.75" customHeight="1">
      <c r="D241" s="224"/>
      <c r="E241" s="224"/>
      <c r="F241" s="224"/>
      <c r="G241" s="224"/>
      <c r="H241" s="224"/>
      <c r="I241" s="224"/>
      <c r="J241" s="224"/>
      <c r="K241" s="224"/>
    </row>
    <row r="242" spans="4:11" ht="15.75" customHeight="1">
      <c r="D242" s="224"/>
      <c r="E242" s="224"/>
      <c r="F242" s="224"/>
      <c r="G242" s="224"/>
      <c r="H242" s="224"/>
      <c r="I242" s="224"/>
      <c r="J242" s="224"/>
      <c r="K242" s="224"/>
    </row>
    <row r="243" spans="4:11" ht="15.75" customHeight="1">
      <c r="D243" s="224"/>
      <c r="E243" s="224"/>
      <c r="F243" s="224"/>
      <c r="G243" s="224"/>
      <c r="H243" s="224"/>
      <c r="I243" s="224"/>
      <c r="J243" s="224"/>
      <c r="K243" s="224"/>
    </row>
    <row r="244" spans="4:11" ht="15.75" customHeight="1">
      <c r="D244" s="224"/>
      <c r="E244" s="224"/>
      <c r="F244" s="224"/>
      <c r="G244" s="224"/>
      <c r="H244" s="224"/>
      <c r="I244" s="224"/>
      <c r="J244" s="224"/>
      <c r="K244" s="224"/>
    </row>
    <row r="245" spans="4:11" ht="15.75" customHeight="1">
      <c r="D245" s="224"/>
      <c r="E245" s="224"/>
      <c r="F245" s="224"/>
      <c r="G245" s="224"/>
      <c r="H245" s="224"/>
      <c r="I245" s="224"/>
      <c r="J245" s="224"/>
      <c r="K245" s="224"/>
    </row>
    <row r="246" spans="4:11" ht="15.75" customHeight="1">
      <c r="D246" s="224"/>
      <c r="E246" s="224"/>
      <c r="F246" s="224"/>
      <c r="G246" s="224"/>
      <c r="H246" s="224"/>
      <c r="I246" s="224"/>
      <c r="J246" s="224"/>
      <c r="K246" s="224"/>
    </row>
    <row r="247" spans="4:11" ht="15.75" customHeight="1">
      <c r="D247" s="224"/>
      <c r="E247" s="224"/>
      <c r="F247" s="224"/>
      <c r="G247" s="224"/>
      <c r="H247" s="224"/>
      <c r="I247" s="224"/>
      <c r="J247" s="224"/>
      <c r="K247" s="224"/>
    </row>
    <row r="248" spans="4:11" ht="15.75" customHeight="1">
      <c r="D248" s="224"/>
      <c r="E248" s="224"/>
      <c r="F248" s="224"/>
      <c r="G248" s="224"/>
      <c r="H248" s="224"/>
      <c r="I248" s="224"/>
      <c r="J248" s="224"/>
      <c r="K248" s="224"/>
    </row>
    <row r="249" spans="4:11" ht="15.75" customHeight="1">
      <c r="D249" s="224"/>
      <c r="E249" s="224"/>
      <c r="F249" s="224"/>
      <c r="G249" s="224"/>
      <c r="H249" s="224"/>
      <c r="I249" s="224"/>
      <c r="J249" s="224"/>
      <c r="K249" s="224"/>
    </row>
    <row r="250" spans="4:11" ht="15.75" customHeight="1">
      <c r="D250" s="224"/>
      <c r="E250" s="224"/>
      <c r="F250" s="224"/>
      <c r="G250" s="224"/>
      <c r="H250" s="224"/>
      <c r="I250" s="224"/>
      <c r="J250" s="224"/>
      <c r="K250" s="224"/>
    </row>
    <row r="251" spans="4:11" ht="15.75" customHeight="1">
      <c r="D251" s="224"/>
      <c r="E251" s="224"/>
      <c r="F251" s="224"/>
      <c r="G251" s="224"/>
      <c r="H251" s="224"/>
      <c r="I251" s="224"/>
      <c r="J251" s="224"/>
      <c r="K251" s="224"/>
    </row>
    <row r="252" spans="4:11" ht="15.75" customHeight="1">
      <c r="D252" s="224"/>
      <c r="E252" s="224"/>
      <c r="F252" s="224"/>
      <c r="G252" s="224"/>
      <c r="H252" s="224"/>
      <c r="I252" s="224"/>
      <c r="J252" s="224"/>
      <c r="K252" s="224"/>
    </row>
    <row r="253" spans="4:11" ht="15.75" customHeight="1">
      <c r="D253" s="224"/>
      <c r="E253" s="224"/>
      <c r="F253" s="224"/>
      <c r="G253" s="224"/>
      <c r="H253" s="224"/>
      <c r="I253" s="224"/>
      <c r="J253" s="224"/>
      <c r="K253" s="224"/>
    </row>
    <row r="254" spans="4:11" ht="15.75" customHeight="1">
      <c r="D254" s="224"/>
      <c r="E254" s="224"/>
      <c r="F254" s="224"/>
      <c r="G254" s="224"/>
      <c r="H254" s="224"/>
      <c r="I254" s="224"/>
      <c r="J254" s="224"/>
      <c r="K254" s="224"/>
    </row>
    <row r="255" spans="4:11" ht="15.75" customHeight="1">
      <c r="D255" s="224"/>
      <c r="E255" s="224"/>
      <c r="F255" s="224"/>
      <c r="G255" s="224"/>
      <c r="H255" s="224"/>
      <c r="I255" s="224"/>
      <c r="J255" s="224"/>
      <c r="K255" s="224"/>
    </row>
    <row r="256" spans="4:11" ht="15.75" customHeight="1">
      <c r="D256" s="224"/>
      <c r="E256" s="224"/>
      <c r="F256" s="224"/>
      <c r="G256" s="224"/>
      <c r="H256" s="224"/>
      <c r="I256" s="224"/>
      <c r="J256" s="224"/>
      <c r="K256" s="224"/>
    </row>
    <row r="257" spans="4:11" ht="15.75" customHeight="1">
      <c r="D257" s="224"/>
      <c r="E257" s="224"/>
      <c r="F257" s="224"/>
      <c r="G257" s="224"/>
      <c r="H257" s="224"/>
      <c r="I257" s="224"/>
      <c r="J257" s="224"/>
      <c r="K257" s="224"/>
    </row>
    <row r="258" spans="4:11" ht="15.75" customHeight="1">
      <c r="D258" s="224"/>
      <c r="E258" s="224"/>
      <c r="F258" s="224"/>
      <c r="G258" s="224"/>
      <c r="H258" s="224"/>
      <c r="I258" s="224"/>
      <c r="J258" s="224"/>
      <c r="K258" s="224"/>
    </row>
    <row r="259" spans="4:11" ht="15.75" customHeight="1">
      <c r="D259" s="224"/>
      <c r="E259" s="224"/>
      <c r="F259" s="224"/>
      <c r="G259" s="224"/>
      <c r="H259" s="224"/>
      <c r="I259" s="224"/>
      <c r="J259" s="224"/>
      <c r="K259" s="224"/>
    </row>
    <row r="260" spans="4:11" ht="15.75" customHeight="1">
      <c r="D260" s="224"/>
      <c r="E260" s="224"/>
      <c r="F260" s="224"/>
      <c r="G260" s="224"/>
      <c r="H260" s="224"/>
      <c r="I260" s="224"/>
      <c r="J260" s="224"/>
      <c r="K260" s="224"/>
    </row>
    <row r="261" spans="4:11" ht="15.75" customHeight="1">
      <c r="D261" s="224"/>
      <c r="E261" s="224"/>
      <c r="F261" s="224"/>
      <c r="G261" s="224"/>
      <c r="H261" s="224"/>
      <c r="I261" s="224"/>
      <c r="J261" s="224"/>
      <c r="K261" s="224"/>
    </row>
    <row r="262" spans="4:11" ht="15.75" customHeight="1">
      <c r="D262" s="224"/>
      <c r="E262" s="224"/>
      <c r="F262" s="224"/>
      <c r="G262" s="224"/>
      <c r="H262" s="224"/>
      <c r="I262" s="224"/>
      <c r="J262" s="224"/>
      <c r="K262" s="224"/>
    </row>
    <row r="263" spans="4:11" ht="15.75" customHeight="1">
      <c r="D263" s="224"/>
      <c r="E263" s="224"/>
      <c r="F263" s="224"/>
      <c r="G263" s="224"/>
      <c r="H263" s="224"/>
      <c r="I263" s="224"/>
      <c r="J263" s="224"/>
      <c r="K263" s="224"/>
    </row>
    <row r="264" spans="4:11" ht="15.75" customHeight="1">
      <c r="D264" s="224"/>
      <c r="E264" s="224"/>
      <c r="F264" s="224"/>
      <c r="G264" s="224"/>
      <c r="H264" s="224"/>
      <c r="I264" s="224"/>
      <c r="J264" s="224"/>
      <c r="K264" s="224"/>
    </row>
    <row r="265" spans="4:11" ht="15.75" customHeight="1">
      <c r="D265" s="224"/>
      <c r="E265" s="224"/>
      <c r="F265" s="224"/>
      <c r="G265" s="224"/>
      <c r="H265" s="224"/>
      <c r="I265" s="224"/>
      <c r="J265" s="224"/>
      <c r="K265" s="224"/>
    </row>
    <row r="266" spans="4:11" ht="15.75" customHeight="1">
      <c r="D266" s="224"/>
      <c r="E266" s="224"/>
      <c r="F266" s="224"/>
      <c r="G266" s="224"/>
      <c r="H266" s="224"/>
      <c r="I266" s="224"/>
      <c r="J266" s="224"/>
      <c r="K266" s="224"/>
    </row>
    <row r="267" spans="4:11" ht="15.75" customHeight="1">
      <c r="D267" s="224"/>
      <c r="E267" s="224"/>
      <c r="F267" s="224"/>
      <c r="G267" s="224"/>
      <c r="H267" s="224"/>
      <c r="I267" s="224"/>
      <c r="J267" s="224"/>
      <c r="K267" s="224"/>
    </row>
    <row r="268" spans="4:11" ht="15.75" customHeight="1">
      <c r="D268" s="224"/>
      <c r="E268" s="224"/>
      <c r="F268" s="224"/>
      <c r="G268" s="224"/>
      <c r="H268" s="224"/>
      <c r="I268" s="224"/>
      <c r="J268" s="224"/>
      <c r="K268" s="224"/>
    </row>
    <row r="269" spans="4:11" ht="15.75" customHeight="1">
      <c r="D269" s="224"/>
      <c r="E269" s="224"/>
      <c r="F269" s="224"/>
      <c r="G269" s="224"/>
      <c r="H269" s="224"/>
      <c r="I269" s="224"/>
      <c r="J269" s="224"/>
      <c r="K269" s="224"/>
    </row>
    <row r="270" spans="4:11" ht="15.75" customHeight="1">
      <c r="D270" s="224"/>
      <c r="E270" s="224"/>
      <c r="F270" s="224"/>
      <c r="G270" s="224"/>
      <c r="H270" s="224"/>
      <c r="I270" s="224"/>
      <c r="J270" s="224"/>
      <c r="K270" s="224"/>
    </row>
    <row r="271" spans="4:11" ht="15.75" customHeight="1">
      <c r="D271" s="224"/>
      <c r="E271" s="224"/>
      <c r="F271" s="224"/>
      <c r="G271" s="224"/>
      <c r="H271" s="224"/>
      <c r="I271" s="224"/>
      <c r="J271" s="224"/>
      <c r="K271" s="224"/>
    </row>
    <row r="272" spans="4:11" ht="15.75" customHeight="1">
      <c r="D272" s="224"/>
      <c r="E272" s="224"/>
      <c r="F272" s="224"/>
      <c r="G272" s="224"/>
      <c r="H272" s="224"/>
      <c r="I272" s="224"/>
      <c r="J272" s="224"/>
      <c r="K272" s="224"/>
    </row>
    <row r="273" spans="4:11" ht="15.75" customHeight="1">
      <c r="D273" s="224"/>
      <c r="E273" s="224"/>
      <c r="F273" s="224"/>
      <c r="G273" s="224"/>
      <c r="H273" s="224"/>
      <c r="I273" s="224"/>
      <c r="J273" s="224"/>
      <c r="K273" s="224"/>
    </row>
    <row r="274" spans="4:11" ht="15.75" customHeight="1">
      <c r="D274" s="224"/>
      <c r="E274" s="224"/>
      <c r="F274" s="224"/>
      <c r="G274" s="224"/>
      <c r="H274" s="224"/>
      <c r="I274" s="224"/>
      <c r="J274" s="224"/>
      <c r="K274" s="224"/>
    </row>
    <row r="275" spans="4:11" ht="15.75" customHeight="1">
      <c r="D275" s="224"/>
      <c r="E275" s="224"/>
      <c r="F275" s="224"/>
      <c r="G275" s="224"/>
      <c r="H275" s="224"/>
      <c r="I275" s="224"/>
      <c r="J275" s="224"/>
      <c r="K275" s="224"/>
    </row>
    <row r="276" spans="4:11" ht="15.75" customHeight="1">
      <c r="D276" s="224"/>
      <c r="E276" s="224"/>
      <c r="F276" s="224"/>
      <c r="G276" s="224"/>
      <c r="H276" s="224"/>
      <c r="I276" s="224"/>
      <c r="J276" s="224"/>
      <c r="K276" s="224"/>
    </row>
    <row r="277" spans="4:11" ht="15.75" customHeight="1">
      <c r="D277" s="224"/>
      <c r="E277" s="224"/>
      <c r="F277" s="224"/>
      <c r="G277" s="224"/>
      <c r="H277" s="224"/>
      <c r="I277" s="224"/>
      <c r="J277" s="224"/>
      <c r="K277" s="224"/>
    </row>
    <row r="278" spans="4:11" ht="15.75" customHeight="1">
      <c r="D278" s="224"/>
      <c r="E278" s="224"/>
      <c r="F278" s="224"/>
      <c r="G278" s="224"/>
      <c r="H278" s="224"/>
      <c r="I278" s="224"/>
      <c r="J278" s="224"/>
      <c r="K278" s="224"/>
    </row>
    <row r="279" spans="4:11" ht="15.75" customHeight="1">
      <c r="D279" s="224"/>
      <c r="E279" s="224"/>
      <c r="F279" s="224"/>
      <c r="G279" s="224"/>
      <c r="H279" s="224"/>
      <c r="I279" s="224"/>
      <c r="J279" s="224"/>
      <c r="K279" s="224"/>
    </row>
    <row r="280" spans="4:11" ht="15.75" customHeight="1">
      <c r="D280" s="224"/>
      <c r="E280" s="224"/>
      <c r="F280" s="224"/>
      <c r="G280" s="224"/>
      <c r="H280" s="224"/>
      <c r="I280" s="224"/>
      <c r="J280" s="224"/>
      <c r="K280" s="224"/>
    </row>
    <row r="281" spans="4:11" ht="15.75" customHeight="1">
      <c r="D281" s="224"/>
      <c r="E281" s="224"/>
      <c r="F281" s="224"/>
      <c r="G281" s="224"/>
      <c r="H281" s="224"/>
      <c r="I281" s="224"/>
      <c r="J281" s="224"/>
      <c r="K281" s="224"/>
    </row>
    <row r="282" spans="4:11" ht="15.75" customHeight="1">
      <c r="D282" s="224"/>
      <c r="E282" s="224"/>
      <c r="F282" s="224"/>
      <c r="G282" s="224"/>
      <c r="H282" s="224"/>
      <c r="I282" s="224"/>
      <c r="J282" s="224"/>
      <c r="K282" s="224"/>
    </row>
    <row r="283" spans="4:11" ht="15.75" customHeight="1">
      <c r="D283" s="224"/>
      <c r="E283" s="224"/>
      <c r="F283" s="224"/>
      <c r="G283" s="224"/>
      <c r="H283" s="224"/>
      <c r="I283" s="224"/>
      <c r="J283" s="224"/>
      <c r="K283" s="224"/>
    </row>
    <row r="284" spans="4:11" ht="15.75" customHeight="1">
      <c r="D284" s="224"/>
      <c r="E284" s="224"/>
      <c r="F284" s="224"/>
      <c r="G284" s="224"/>
      <c r="H284" s="224"/>
      <c r="I284" s="224"/>
      <c r="J284" s="224"/>
      <c r="K284" s="224"/>
    </row>
    <row r="285" spans="4:11" ht="15.75" customHeight="1">
      <c r="D285" s="224"/>
      <c r="E285" s="224"/>
      <c r="F285" s="224"/>
      <c r="G285" s="224"/>
      <c r="H285" s="224"/>
      <c r="I285" s="224"/>
      <c r="J285" s="224"/>
      <c r="K285" s="224"/>
    </row>
    <row r="286" spans="4:11" ht="15.75" customHeight="1">
      <c r="D286" s="224"/>
      <c r="E286" s="224"/>
      <c r="F286" s="224"/>
      <c r="G286" s="224"/>
      <c r="H286" s="224"/>
      <c r="I286" s="224"/>
      <c r="J286" s="224"/>
      <c r="K286" s="224"/>
    </row>
    <row r="287" spans="4:11" ht="15.75" customHeight="1">
      <c r="D287" s="224"/>
      <c r="E287" s="224"/>
      <c r="F287" s="224"/>
      <c r="G287" s="224"/>
      <c r="H287" s="224"/>
      <c r="I287" s="224"/>
      <c r="J287" s="224"/>
      <c r="K287" s="224"/>
    </row>
    <row r="288" spans="4:11" ht="15.75" customHeight="1">
      <c r="D288" s="224"/>
      <c r="E288" s="224"/>
      <c r="F288" s="224"/>
      <c r="G288" s="224"/>
      <c r="H288" s="224"/>
      <c r="I288" s="224"/>
      <c r="J288" s="224"/>
      <c r="K288" s="224"/>
    </row>
    <row r="289" spans="4:11" ht="15.75" customHeight="1">
      <c r="D289" s="224"/>
      <c r="E289" s="224"/>
      <c r="F289" s="224"/>
      <c r="G289" s="224"/>
      <c r="H289" s="224"/>
      <c r="I289" s="224"/>
      <c r="J289" s="224"/>
      <c r="K289" s="224"/>
    </row>
    <row r="290" spans="4:11" ht="15.75" customHeight="1">
      <c r="D290" s="224"/>
      <c r="E290" s="224"/>
      <c r="F290" s="224"/>
      <c r="G290" s="224"/>
      <c r="H290" s="224"/>
      <c r="I290" s="224"/>
      <c r="J290" s="224"/>
      <c r="K290" s="224"/>
    </row>
    <row r="291" spans="4:11" ht="15.75" customHeight="1">
      <c r="D291" s="224"/>
      <c r="E291" s="224"/>
      <c r="F291" s="224"/>
      <c r="G291" s="224"/>
      <c r="H291" s="224"/>
      <c r="I291" s="224"/>
      <c r="J291" s="224"/>
      <c r="K291" s="224"/>
    </row>
    <row r="292" spans="4:11" ht="15.75" customHeight="1">
      <c r="D292" s="224"/>
      <c r="E292" s="224"/>
      <c r="F292" s="224"/>
      <c r="G292" s="224"/>
      <c r="H292" s="224"/>
      <c r="I292" s="224"/>
      <c r="J292" s="224"/>
      <c r="K292" s="224"/>
    </row>
    <row r="293" spans="4:11" ht="15.75" customHeight="1">
      <c r="D293" s="224"/>
      <c r="E293" s="224"/>
      <c r="F293" s="224"/>
      <c r="G293" s="224"/>
      <c r="H293" s="224"/>
      <c r="I293" s="224"/>
      <c r="J293" s="224"/>
      <c r="K293" s="224"/>
    </row>
    <row r="294" spans="4:11" ht="15.75" customHeight="1">
      <c r="D294" s="224"/>
      <c r="E294" s="224"/>
      <c r="F294" s="224"/>
      <c r="G294" s="224"/>
      <c r="H294" s="224"/>
      <c r="I294" s="224"/>
      <c r="J294" s="224"/>
      <c r="K294" s="224"/>
    </row>
    <row r="295" spans="4:11" ht="15.75" customHeight="1">
      <c r="D295" s="224"/>
      <c r="E295" s="224"/>
      <c r="F295" s="224"/>
      <c r="G295" s="224"/>
      <c r="H295" s="224"/>
      <c r="I295" s="224"/>
      <c r="J295" s="224"/>
      <c r="K295" s="224"/>
    </row>
    <row r="296" spans="4:11" ht="15.75" customHeight="1">
      <c r="D296" s="224"/>
      <c r="E296" s="224"/>
      <c r="F296" s="224"/>
      <c r="G296" s="224"/>
      <c r="H296" s="224"/>
      <c r="I296" s="224"/>
      <c r="J296" s="224"/>
      <c r="K296" s="224"/>
    </row>
    <row r="297" spans="4:11" ht="15.75" customHeight="1">
      <c r="D297" s="224"/>
      <c r="E297" s="224"/>
      <c r="F297" s="224"/>
      <c r="G297" s="224"/>
      <c r="H297" s="224"/>
      <c r="I297" s="224"/>
      <c r="J297" s="224"/>
      <c r="K297" s="224"/>
    </row>
    <row r="298" spans="4:11" ht="15.75" customHeight="1">
      <c r="D298" s="224"/>
      <c r="E298" s="224"/>
      <c r="F298" s="224"/>
      <c r="G298" s="224"/>
      <c r="H298" s="224"/>
      <c r="I298" s="224"/>
      <c r="J298" s="224"/>
      <c r="K298" s="224"/>
    </row>
    <row r="299" spans="4:11" ht="15.75" customHeight="1">
      <c r="D299" s="224"/>
      <c r="E299" s="224"/>
      <c r="F299" s="224"/>
      <c r="G299" s="224"/>
      <c r="H299" s="224"/>
      <c r="I299" s="224"/>
      <c r="J299" s="224"/>
      <c r="K299" s="224"/>
    </row>
    <row r="300" spans="4:11" ht="15.75" customHeight="1">
      <c r="D300" s="224"/>
      <c r="E300" s="224"/>
      <c r="F300" s="224"/>
      <c r="G300" s="224"/>
      <c r="H300" s="224"/>
      <c r="I300" s="224"/>
      <c r="J300" s="224"/>
      <c r="K300" s="224"/>
    </row>
    <row r="301" spans="4:11" ht="15.75" customHeight="1">
      <c r="D301" s="224"/>
      <c r="E301" s="224"/>
      <c r="F301" s="224"/>
      <c r="G301" s="224"/>
      <c r="H301" s="224"/>
      <c r="I301" s="224"/>
      <c r="J301" s="224"/>
      <c r="K301" s="224"/>
    </row>
    <row r="302" spans="4:11" ht="15.75" customHeight="1">
      <c r="D302" s="224"/>
      <c r="E302" s="224"/>
      <c r="F302" s="224"/>
      <c r="G302" s="224"/>
      <c r="H302" s="224"/>
      <c r="I302" s="224"/>
      <c r="J302" s="224"/>
      <c r="K302" s="224"/>
    </row>
    <row r="303" spans="4:11" ht="15.75" customHeight="1">
      <c r="D303" s="224"/>
      <c r="E303" s="224"/>
      <c r="F303" s="224"/>
      <c r="G303" s="224"/>
      <c r="H303" s="224"/>
      <c r="I303" s="224"/>
      <c r="J303" s="224"/>
      <c r="K303" s="224"/>
    </row>
    <row r="304" spans="4:11" ht="15.75" customHeight="1">
      <c r="D304" s="224"/>
      <c r="E304" s="224"/>
      <c r="F304" s="224"/>
      <c r="G304" s="224"/>
      <c r="H304" s="224"/>
      <c r="I304" s="224"/>
      <c r="J304" s="224"/>
      <c r="K304" s="224"/>
    </row>
    <row r="305" spans="4:11" ht="15.75" customHeight="1">
      <c r="D305" s="224"/>
      <c r="E305" s="224"/>
      <c r="F305" s="224"/>
      <c r="G305" s="224"/>
      <c r="H305" s="224"/>
      <c r="I305" s="224"/>
      <c r="J305" s="224"/>
      <c r="K305" s="224"/>
    </row>
    <row r="306" spans="4:11" ht="15.75" customHeight="1">
      <c r="D306" s="224"/>
      <c r="E306" s="224"/>
      <c r="F306" s="224"/>
      <c r="G306" s="224"/>
      <c r="H306" s="224"/>
      <c r="I306" s="224"/>
      <c r="J306" s="224"/>
      <c r="K306" s="224"/>
    </row>
    <row r="307" spans="4:11" ht="15.75" customHeight="1">
      <c r="D307" s="224"/>
      <c r="E307" s="224"/>
      <c r="F307" s="224"/>
      <c r="G307" s="224"/>
      <c r="H307" s="224"/>
      <c r="I307" s="224"/>
      <c r="J307" s="224"/>
      <c r="K307" s="224"/>
    </row>
    <row r="308" spans="4:11" ht="15.75" customHeight="1">
      <c r="D308" s="224"/>
      <c r="E308" s="224"/>
      <c r="F308" s="224"/>
      <c r="G308" s="224"/>
      <c r="H308" s="224"/>
      <c r="I308" s="224"/>
      <c r="J308" s="224"/>
      <c r="K308" s="224"/>
    </row>
    <row r="309" spans="4:11" ht="15.75" customHeight="1">
      <c r="D309" s="224"/>
      <c r="E309" s="224"/>
      <c r="F309" s="224"/>
      <c r="G309" s="224"/>
      <c r="H309" s="224"/>
      <c r="I309" s="224"/>
      <c r="J309" s="224"/>
      <c r="K309" s="224"/>
    </row>
    <row r="310" spans="4:11" ht="15.75" customHeight="1">
      <c r="D310" s="224"/>
      <c r="E310" s="224"/>
      <c r="F310" s="224"/>
      <c r="G310" s="224"/>
      <c r="H310" s="224"/>
      <c r="I310" s="224"/>
      <c r="J310" s="224"/>
      <c r="K310" s="224"/>
    </row>
    <row r="311" spans="4:11" ht="15.75" customHeight="1">
      <c r="D311" s="224"/>
      <c r="E311" s="224"/>
      <c r="F311" s="224"/>
      <c r="G311" s="224"/>
      <c r="H311" s="224"/>
      <c r="I311" s="224"/>
      <c r="J311" s="224"/>
      <c r="K311" s="224"/>
    </row>
    <row r="312" spans="4:11" ht="15.75" customHeight="1">
      <c r="D312" s="224"/>
      <c r="E312" s="224"/>
      <c r="F312" s="224"/>
      <c r="G312" s="224"/>
      <c r="H312" s="224"/>
      <c r="I312" s="224"/>
      <c r="J312" s="224"/>
      <c r="K312" s="224"/>
    </row>
    <row r="313" spans="4:11" ht="15.75" customHeight="1">
      <c r="D313" s="224"/>
      <c r="E313" s="224"/>
      <c r="F313" s="224"/>
      <c r="G313" s="224"/>
      <c r="H313" s="224"/>
      <c r="I313" s="224"/>
      <c r="J313" s="224"/>
      <c r="K313" s="224"/>
    </row>
    <row r="314" spans="4:11" ht="15.75" customHeight="1">
      <c r="D314" s="224"/>
      <c r="E314" s="224"/>
      <c r="F314" s="224"/>
      <c r="G314" s="224"/>
      <c r="H314" s="224"/>
      <c r="I314" s="224"/>
      <c r="J314" s="224"/>
      <c r="K314" s="224"/>
    </row>
    <row r="315" spans="4:11" ht="15.75" customHeight="1">
      <c r="D315" s="224"/>
      <c r="E315" s="224"/>
      <c r="F315" s="224"/>
      <c r="G315" s="224"/>
      <c r="H315" s="224"/>
      <c r="I315" s="224"/>
      <c r="J315" s="224"/>
      <c r="K315" s="224"/>
    </row>
    <row r="316" spans="4:11" ht="15.75" customHeight="1">
      <c r="D316" s="224"/>
      <c r="E316" s="224"/>
      <c r="F316" s="224"/>
      <c r="G316" s="224"/>
      <c r="H316" s="224"/>
      <c r="I316" s="224"/>
      <c r="J316" s="224"/>
      <c r="K316" s="224"/>
    </row>
    <row r="317" spans="4:11" ht="15.75" customHeight="1">
      <c r="D317" s="224"/>
      <c r="E317" s="224"/>
      <c r="F317" s="224"/>
      <c r="G317" s="224"/>
      <c r="H317" s="224"/>
      <c r="I317" s="224"/>
      <c r="J317" s="224"/>
      <c r="K317" s="224"/>
    </row>
    <row r="318" spans="4:11" ht="15.75" customHeight="1">
      <c r="D318" s="224"/>
      <c r="E318" s="224"/>
      <c r="F318" s="224"/>
      <c r="G318" s="224"/>
      <c r="H318" s="224"/>
      <c r="I318" s="224"/>
      <c r="J318" s="224"/>
      <c r="K318" s="224"/>
    </row>
    <row r="319" spans="4:11" ht="15.75" customHeight="1">
      <c r="D319" s="224"/>
      <c r="E319" s="224"/>
      <c r="F319" s="224"/>
      <c r="G319" s="224"/>
      <c r="H319" s="224"/>
      <c r="I319" s="224"/>
      <c r="J319" s="224"/>
      <c r="K319" s="224"/>
    </row>
    <row r="320" spans="4:11" ht="15.75" customHeight="1">
      <c r="D320" s="224"/>
      <c r="E320" s="224"/>
      <c r="F320" s="224"/>
      <c r="G320" s="224"/>
      <c r="H320" s="224"/>
      <c r="I320" s="224"/>
      <c r="J320" s="224"/>
      <c r="K320" s="224"/>
    </row>
    <row r="321" spans="4:11" ht="15.75" customHeight="1">
      <c r="D321" s="224"/>
      <c r="E321" s="224"/>
      <c r="F321" s="224"/>
      <c r="G321" s="224"/>
      <c r="H321" s="224"/>
      <c r="I321" s="224"/>
      <c r="J321" s="224"/>
      <c r="K321" s="224"/>
    </row>
    <row r="322" spans="4:11" ht="15.75" customHeight="1">
      <c r="D322" s="224"/>
      <c r="E322" s="224"/>
      <c r="F322" s="224"/>
      <c r="G322" s="224"/>
      <c r="H322" s="224"/>
      <c r="I322" s="224"/>
      <c r="J322" s="224"/>
      <c r="K322" s="224"/>
    </row>
    <row r="323" spans="4:11" ht="15.75" customHeight="1">
      <c r="D323" s="224"/>
      <c r="E323" s="224"/>
      <c r="F323" s="224"/>
      <c r="G323" s="224"/>
      <c r="H323" s="224"/>
      <c r="I323" s="224"/>
      <c r="J323" s="224"/>
      <c r="K323" s="224"/>
    </row>
    <row r="324" spans="4:11" ht="15.75" customHeight="1">
      <c r="D324" s="224"/>
      <c r="E324" s="224"/>
      <c r="F324" s="224"/>
      <c r="G324" s="224"/>
      <c r="H324" s="224"/>
      <c r="I324" s="224"/>
      <c r="J324" s="224"/>
      <c r="K324" s="224"/>
    </row>
    <row r="325" spans="4:11" ht="15.75" customHeight="1">
      <c r="D325" s="224"/>
      <c r="E325" s="224"/>
      <c r="F325" s="224"/>
      <c r="G325" s="224"/>
      <c r="H325" s="224"/>
      <c r="I325" s="224"/>
      <c r="J325" s="224"/>
      <c r="K325" s="224"/>
    </row>
    <row r="326" spans="4:11" ht="15.75" customHeight="1">
      <c r="D326" s="224"/>
      <c r="E326" s="224"/>
      <c r="F326" s="224"/>
      <c r="G326" s="224"/>
      <c r="H326" s="224"/>
      <c r="I326" s="224"/>
      <c r="J326" s="224"/>
      <c r="K326" s="224"/>
    </row>
    <row r="327" spans="4:11" ht="15.75" customHeight="1">
      <c r="D327" s="224"/>
      <c r="E327" s="224"/>
      <c r="F327" s="224"/>
      <c r="G327" s="224"/>
      <c r="H327" s="224"/>
      <c r="I327" s="224"/>
      <c r="J327" s="224"/>
      <c r="K327" s="224"/>
    </row>
    <row r="328" spans="4:11" ht="15.75" customHeight="1">
      <c r="D328" s="224"/>
      <c r="E328" s="224"/>
      <c r="F328" s="224"/>
      <c r="G328" s="224"/>
      <c r="H328" s="224"/>
      <c r="I328" s="224"/>
      <c r="J328" s="224"/>
      <c r="K328" s="224"/>
    </row>
    <row r="329" spans="4:11" ht="15.75" customHeight="1">
      <c r="D329" s="224"/>
      <c r="E329" s="224"/>
      <c r="F329" s="224"/>
      <c r="G329" s="224"/>
      <c r="H329" s="224"/>
      <c r="I329" s="224"/>
      <c r="J329" s="224"/>
      <c r="K329" s="224"/>
    </row>
    <row r="330" spans="4:11" ht="15.75" customHeight="1">
      <c r="D330" s="224"/>
      <c r="E330" s="224"/>
      <c r="F330" s="224"/>
      <c r="G330" s="224"/>
      <c r="H330" s="224"/>
      <c r="I330" s="224"/>
      <c r="J330" s="224"/>
      <c r="K330" s="224"/>
    </row>
    <row r="331" spans="4:11" ht="15.75" customHeight="1">
      <c r="D331" s="224"/>
      <c r="E331" s="224"/>
      <c r="F331" s="224"/>
      <c r="G331" s="224"/>
      <c r="H331" s="224"/>
      <c r="I331" s="224"/>
      <c r="J331" s="224"/>
      <c r="K331" s="224"/>
    </row>
    <row r="332" spans="4:11" ht="15.75" customHeight="1">
      <c r="D332" s="224"/>
      <c r="E332" s="224"/>
      <c r="F332" s="224"/>
      <c r="G332" s="224"/>
      <c r="H332" s="224"/>
      <c r="I332" s="224"/>
      <c r="J332" s="224"/>
      <c r="K332" s="224"/>
    </row>
    <row r="333" spans="4:11" ht="15.75" customHeight="1">
      <c r="D333" s="224"/>
      <c r="E333" s="224"/>
      <c r="F333" s="224"/>
      <c r="G333" s="224"/>
      <c r="H333" s="224"/>
      <c r="I333" s="224"/>
      <c r="J333" s="224"/>
      <c r="K333" s="224"/>
    </row>
    <row r="334" spans="4:11" ht="15.75" customHeight="1">
      <c r="D334" s="224"/>
      <c r="E334" s="224"/>
      <c r="F334" s="224"/>
      <c r="G334" s="224"/>
      <c r="H334" s="224"/>
      <c r="I334" s="224"/>
      <c r="J334" s="224"/>
      <c r="K334" s="224"/>
    </row>
    <row r="335" spans="4:11" ht="15.75" customHeight="1">
      <c r="D335" s="224"/>
      <c r="E335" s="224"/>
      <c r="F335" s="224"/>
      <c r="G335" s="224"/>
      <c r="H335" s="224"/>
      <c r="I335" s="224"/>
      <c r="J335" s="224"/>
      <c r="K335" s="224"/>
    </row>
    <row r="336" spans="4:11" ht="15.75" customHeight="1">
      <c r="D336" s="224"/>
      <c r="E336" s="224"/>
      <c r="F336" s="224"/>
      <c r="G336" s="224"/>
      <c r="H336" s="224"/>
      <c r="I336" s="224"/>
      <c r="J336" s="224"/>
      <c r="K336" s="224"/>
    </row>
    <row r="337" spans="4:11" ht="15.75" customHeight="1">
      <c r="D337" s="224"/>
      <c r="E337" s="224"/>
      <c r="F337" s="224"/>
      <c r="G337" s="224"/>
      <c r="H337" s="224"/>
      <c r="I337" s="224"/>
      <c r="J337" s="224"/>
      <c r="K337" s="224"/>
    </row>
    <row r="338" spans="4:11" ht="15.75" customHeight="1">
      <c r="D338" s="224"/>
      <c r="E338" s="224"/>
      <c r="F338" s="224"/>
      <c r="G338" s="224"/>
      <c r="H338" s="224"/>
      <c r="I338" s="224"/>
      <c r="J338" s="224"/>
      <c r="K338" s="224"/>
    </row>
    <row r="339" spans="4:11" ht="15.75" customHeight="1">
      <c r="D339" s="224"/>
      <c r="E339" s="224"/>
      <c r="F339" s="224"/>
      <c r="G339" s="224"/>
      <c r="H339" s="224"/>
      <c r="I339" s="224"/>
      <c r="J339" s="224"/>
      <c r="K339" s="224"/>
    </row>
    <row r="340" spans="4:11" ht="15.75" customHeight="1">
      <c r="D340" s="224"/>
      <c r="E340" s="224"/>
      <c r="F340" s="224"/>
      <c r="G340" s="224"/>
      <c r="H340" s="224"/>
      <c r="I340" s="224"/>
      <c r="J340" s="224"/>
      <c r="K340" s="224"/>
    </row>
    <row r="341" spans="4:11" ht="15.75" customHeight="1">
      <c r="D341" s="224"/>
      <c r="E341" s="224"/>
      <c r="F341" s="224"/>
      <c r="G341" s="224"/>
      <c r="H341" s="224"/>
      <c r="I341" s="224"/>
      <c r="J341" s="224"/>
      <c r="K341" s="224"/>
    </row>
    <row r="342" spans="4:11" ht="15.75" customHeight="1">
      <c r="D342" s="224"/>
      <c r="E342" s="224"/>
      <c r="F342" s="224"/>
      <c r="G342" s="224"/>
      <c r="H342" s="224"/>
      <c r="I342" s="224"/>
      <c r="J342" s="224"/>
      <c r="K342" s="224"/>
    </row>
    <row r="343" spans="4:11" ht="15.75" customHeight="1">
      <c r="D343" s="224"/>
      <c r="E343" s="224"/>
      <c r="F343" s="224"/>
      <c r="G343" s="224"/>
      <c r="H343" s="224"/>
      <c r="I343" s="224"/>
      <c r="J343" s="224"/>
      <c r="K343" s="224"/>
    </row>
    <row r="344" spans="4:11" ht="15.75" customHeight="1">
      <c r="D344" s="224"/>
      <c r="E344" s="224"/>
      <c r="F344" s="224"/>
      <c r="G344" s="224"/>
      <c r="H344" s="224"/>
      <c r="I344" s="224"/>
      <c r="J344" s="224"/>
      <c r="K344" s="224"/>
    </row>
    <row r="345" spans="4:11" ht="15.75" customHeight="1">
      <c r="D345" s="224"/>
      <c r="E345" s="224"/>
      <c r="F345" s="224"/>
      <c r="G345" s="224"/>
      <c r="H345" s="224"/>
      <c r="I345" s="224"/>
      <c r="J345" s="224"/>
      <c r="K345" s="224"/>
    </row>
    <row r="346" spans="4:11" ht="15.75" customHeight="1">
      <c r="D346" s="224"/>
      <c r="E346" s="224"/>
      <c r="F346" s="224"/>
      <c r="G346" s="224"/>
      <c r="H346" s="224"/>
      <c r="I346" s="224"/>
      <c r="J346" s="224"/>
      <c r="K346" s="224"/>
    </row>
    <row r="347" spans="4:11" ht="15.75" customHeight="1">
      <c r="D347" s="224"/>
      <c r="E347" s="224"/>
      <c r="F347" s="224"/>
      <c r="G347" s="224"/>
      <c r="H347" s="224"/>
      <c r="I347" s="224"/>
      <c r="J347" s="224"/>
      <c r="K347" s="224"/>
    </row>
    <row r="348" spans="4:11" ht="15.75" customHeight="1">
      <c r="D348" s="224"/>
      <c r="E348" s="224"/>
      <c r="F348" s="224"/>
      <c r="G348" s="224"/>
      <c r="H348" s="224"/>
      <c r="I348" s="224"/>
      <c r="J348" s="224"/>
      <c r="K348" s="224"/>
    </row>
    <row r="349" spans="4:11" ht="15.75" customHeight="1">
      <c r="D349" s="224"/>
      <c r="E349" s="224"/>
      <c r="F349" s="224"/>
      <c r="G349" s="224"/>
      <c r="H349" s="224"/>
      <c r="I349" s="224"/>
      <c r="J349" s="224"/>
      <c r="K349" s="224"/>
    </row>
    <row r="350" spans="4:11" ht="15.75" customHeight="1">
      <c r="D350" s="224"/>
      <c r="E350" s="224"/>
      <c r="F350" s="224"/>
      <c r="G350" s="224"/>
      <c r="H350" s="224"/>
      <c r="I350" s="224"/>
      <c r="J350" s="224"/>
      <c r="K350" s="224"/>
    </row>
    <row r="351" spans="4:11" ht="15.75" customHeight="1">
      <c r="D351" s="224"/>
      <c r="E351" s="224"/>
      <c r="F351" s="224"/>
      <c r="G351" s="224"/>
      <c r="H351" s="224"/>
      <c r="I351" s="224"/>
      <c r="J351" s="224"/>
      <c r="K351" s="224"/>
    </row>
    <row r="352" spans="4:11" ht="15.75" customHeight="1">
      <c r="D352" s="224"/>
      <c r="E352" s="224"/>
      <c r="F352" s="224"/>
      <c r="G352" s="224"/>
      <c r="H352" s="224"/>
      <c r="I352" s="224"/>
      <c r="J352" s="224"/>
      <c r="K352" s="224"/>
    </row>
    <row r="353" spans="4:11" ht="15.75" customHeight="1">
      <c r="D353" s="224"/>
      <c r="E353" s="224"/>
      <c r="F353" s="224"/>
      <c r="G353" s="224"/>
      <c r="H353" s="224"/>
      <c r="I353" s="224"/>
      <c r="J353" s="224"/>
      <c r="K353" s="224"/>
    </row>
    <row r="354" spans="4:11" ht="15.75" customHeight="1">
      <c r="D354" s="224"/>
      <c r="E354" s="224"/>
      <c r="F354" s="224"/>
      <c r="G354" s="224"/>
      <c r="H354" s="224"/>
      <c r="I354" s="224"/>
      <c r="J354" s="224"/>
      <c r="K354" s="224"/>
    </row>
    <row r="355" spans="4:11" ht="15.75" customHeight="1">
      <c r="D355" s="224"/>
      <c r="E355" s="224"/>
      <c r="F355" s="224"/>
      <c r="G355" s="224"/>
      <c r="H355" s="224"/>
      <c r="I355" s="224"/>
      <c r="J355" s="224"/>
      <c r="K355" s="224"/>
    </row>
    <row r="356" spans="4:11" ht="15.75" customHeight="1">
      <c r="D356" s="224"/>
      <c r="E356" s="224"/>
      <c r="F356" s="224"/>
      <c r="G356" s="224"/>
      <c r="H356" s="224"/>
      <c r="I356" s="224"/>
      <c r="J356" s="224"/>
      <c r="K356" s="224"/>
    </row>
    <row r="357" spans="4:11" ht="15.75" customHeight="1">
      <c r="D357" s="224"/>
      <c r="E357" s="224"/>
      <c r="F357" s="224"/>
      <c r="G357" s="224"/>
      <c r="H357" s="224"/>
      <c r="I357" s="224"/>
      <c r="J357" s="224"/>
      <c r="K357" s="224"/>
    </row>
    <row r="358" spans="4:11" ht="15.75" customHeight="1">
      <c r="D358" s="224"/>
      <c r="E358" s="224"/>
      <c r="F358" s="224"/>
      <c r="G358" s="224"/>
      <c r="H358" s="224"/>
      <c r="I358" s="224"/>
      <c r="J358" s="224"/>
      <c r="K358" s="224"/>
    </row>
    <row r="359" spans="4:11" ht="15.75" customHeight="1">
      <c r="D359" s="224"/>
      <c r="E359" s="224"/>
      <c r="F359" s="224"/>
      <c r="G359" s="224"/>
      <c r="H359" s="224"/>
      <c r="I359" s="224"/>
      <c r="J359" s="224"/>
      <c r="K359" s="224"/>
    </row>
    <row r="360" spans="4:11" ht="15.75" customHeight="1">
      <c r="D360" s="224"/>
      <c r="E360" s="224"/>
      <c r="F360" s="224"/>
      <c r="G360" s="224"/>
      <c r="H360" s="224"/>
      <c r="I360" s="224"/>
      <c r="J360" s="224"/>
      <c r="K360" s="224"/>
    </row>
    <row r="361" spans="4:11" ht="15.75" customHeight="1">
      <c r="D361" s="224"/>
      <c r="E361" s="224"/>
      <c r="F361" s="224"/>
      <c r="G361" s="224"/>
      <c r="H361" s="224"/>
      <c r="I361" s="224"/>
      <c r="J361" s="224"/>
      <c r="K361" s="224"/>
    </row>
    <row r="362" spans="4:11" ht="15.75" customHeight="1">
      <c r="D362" s="224"/>
      <c r="E362" s="224"/>
      <c r="F362" s="224"/>
      <c r="G362" s="224"/>
      <c r="H362" s="224"/>
      <c r="I362" s="224"/>
      <c r="J362" s="224"/>
      <c r="K362" s="224"/>
    </row>
    <row r="363" spans="4:11" ht="15.75" customHeight="1">
      <c r="D363" s="224"/>
      <c r="E363" s="224"/>
      <c r="F363" s="224"/>
      <c r="G363" s="224"/>
      <c r="H363" s="224"/>
      <c r="I363" s="224"/>
      <c r="J363" s="224"/>
      <c r="K363" s="224"/>
    </row>
    <row r="364" spans="4:11" ht="15.75" customHeight="1">
      <c r="D364" s="224"/>
      <c r="E364" s="224"/>
      <c r="F364" s="224"/>
      <c r="G364" s="224"/>
      <c r="H364" s="224"/>
      <c r="I364" s="224"/>
      <c r="J364" s="224"/>
      <c r="K364" s="224"/>
    </row>
    <row r="365" spans="4:11" ht="15.75" customHeight="1">
      <c r="D365" s="224"/>
      <c r="E365" s="224"/>
      <c r="F365" s="224"/>
      <c r="G365" s="224"/>
      <c r="H365" s="224"/>
      <c r="I365" s="224"/>
      <c r="J365" s="224"/>
      <c r="K365" s="224"/>
    </row>
    <row r="366" spans="4:11" ht="15.75" customHeight="1">
      <c r="D366" s="224"/>
      <c r="E366" s="224"/>
      <c r="F366" s="224"/>
      <c r="G366" s="224"/>
      <c r="H366" s="224"/>
      <c r="I366" s="224"/>
      <c r="J366" s="224"/>
      <c r="K366" s="224"/>
    </row>
    <row r="367" spans="4:11" ht="15.75" customHeight="1">
      <c r="D367" s="224"/>
      <c r="E367" s="224"/>
      <c r="F367" s="224"/>
      <c r="G367" s="224"/>
      <c r="H367" s="224"/>
      <c r="I367" s="224"/>
      <c r="J367" s="224"/>
      <c r="K367" s="224"/>
    </row>
    <row r="368" spans="4:11" ht="15.75" customHeight="1">
      <c r="D368" s="224"/>
      <c r="E368" s="224"/>
      <c r="F368" s="224"/>
      <c r="G368" s="224"/>
      <c r="H368" s="224"/>
      <c r="I368" s="224"/>
      <c r="J368" s="224"/>
      <c r="K368" s="224"/>
    </row>
    <row r="369" spans="4:11" ht="15.75" customHeight="1">
      <c r="D369" s="224"/>
      <c r="E369" s="224"/>
      <c r="F369" s="224"/>
      <c r="G369" s="224"/>
      <c r="H369" s="224"/>
      <c r="I369" s="224"/>
      <c r="J369" s="224"/>
      <c r="K369" s="224"/>
    </row>
    <row r="370" spans="4:11" ht="15.75" customHeight="1">
      <c r="D370" s="224"/>
      <c r="E370" s="224"/>
      <c r="F370" s="224"/>
      <c r="G370" s="224"/>
      <c r="H370" s="224"/>
      <c r="I370" s="224"/>
      <c r="J370" s="224"/>
      <c r="K370" s="224"/>
    </row>
    <row r="371" spans="4:11" ht="15.75" customHeight="1">
      <c r="D371" s="224"/>
      <c r="E371" s="224"/>
      <c r="F371" s="224"/>
      <c r="G371" s="224"/>
      <c r="H371" s="224"/>
      <c r="I371" s="224"/>
      <c r="J371" s="224"/>
      <c r="K371" s="224"/>
    </row>
    <row r="372" spans="4:11" ht="15.75" customHeight="1">
      <c r="D372" s="224"/>
      <c r="E372" s="224"/>
      <c r="F372" s="224"/>
      <c r="G372" s="224"/>
      <c r="H372" s="224"/>
      <c r="I372" s="224"/>
      <c r="J372" s="224"/>
      <c r="K372" s="224"/>
    </row>
    <row r="373" spans="4:11" ht="15.75" customHeight="1">
      <c r="D373" s="224"/>
      <c r="E373" s="224"/>
      <c r="F373" s="224"/>
      <c r="G373" s="224"/>
      <c r="H373" s="224"/>
      <c r="I373" s="224"/>
      <c r="J373" s="224"/>
      <c r="K373" s="224"/>
    </row>
    <row r="374" spans="4:11" ht="15.75" customHeight="1">
      <c r="D374" s="224"/>
      <c r="E374" s="224"/>
      <c r="F374" s="224"/>
      <c r="G374" s="224"/>
      <c r="H374" s="224"/>
      <c r="I374" s="224"/>
      <c r="J374" s="224"/>
      <c r="K374" s="224"/>
    </row>
    <row r="375" spans="4:11" ht="15.75" customHeight="1">
      <c r="D375" s="224"/>
      <c r="E375" s="224"/>
      <c r="F375" s="224"/>
      <c r="G375" s="224"/>
      <c r="H375" s="224"/>
      <c r="I375" s="224"/>
      <c r="J375" s="224"/>
      <c r="K375" s="224"/>
    </row>
    <row r="376" spans="4:11" ht="15.75" customHeight="1">
      <c r="D376" s="224"/>
      <c r="E376" s="224"/>
      <c r="F376" s="224"/>
      <c r="G376" s="224"/>
      <c r="H376" s="224"/>
      <c r="I376" s="224"/>
      <c r="J376" s="224"/>
      <c r="K376" s="224"/>
    </row>
    <row r="377" spans="4:11" ht="15.75" customHeight="1">
      <c r="D377" s="224"/>
      <c r="E377" s="224"/>
      <c r="F377" s="224"/>
      <c r="G377" s="224"/>
      <c r="H377" s="224"/>
      <c r="I377" s="224"/>
      <c r="J377" s="224"/>
      <c r="K377" s="224"/>
    </row>
    <row r="378" spans="4:11" ht="15.75" customHeight="1">
      <c r="D378" s="224"/>
      <c r="E378" s="224"/>
      <c r="F378" s="224"/>
      <c r="G378" s="224"/>
      <c r="H378" s="224"/>
      <c r="I378" s="224"/>
      <c r="J378" s="224"/>
      <c r="K378" s="224"/>
    </row>
    <row r="379" spans="4:11" ht="15.75" customHeight="1">
      <c r="D379" s="224"/>
      <c r="E379" s="224"/>
      <c r="F379" s="224"/>
      <c r="G379" s="224"/>
      <c r="H379" s="224"/>
      <c r="I379" s="224"/>
      <c r="J379" s="224"/>
      <c r="K379" s="224"/>
    </row>
    <row r="380" spans="4:11" ht="15.75" customHeight="1">
      <c r="D380" s="224"/>
      <c r="E380" s="224"/>
      <c r="F380" s="224"/>
      <c r="G380" s="224"/>
      <c r="H380" s="224"/>
      <c r="I380" s="224"/>
      <c r="J380" s="224"/>
      <c r="K380" s="224"/>
    </row>
    <row r="381" spans="4:11" ht="15.75" customHeight="1">
      <c r="D381" s="224"/>
      <c r="E381" s="224"/>
      <c r="F381" s="224"/>
      <c r="G381" s="224"/>
      <c r="H381" s="224"/>
      <c r="I381" s="224"/>
      <c r="J381" s="224"/>
      <c r="K381" s="224"/>
    </row>
    <row r="382" spans="4:11" ht="15.75" customHeight="1">
      <c r="D382" s="224"/>
      <c r="E382" s="224"/>
      <c r="F382" s="224"/>
      <c r="G382" s="224"/>
      <c r="H382" s="224"/>
      <c r="I382" s="224"/>
      <c r="J382" s="224"/>
      <c r="K382" s="224"/>
    </row>
    <row r="383" spans="4:11" ht="15.75" customHeight="1">
      <c r="D383" s="224"/>
      <c r="E383" s="224"/>
      <c r="F383" s="224"/>
      <c r="G383" s="224"/>
      <c r="H383" s="224"/>
      <c r="I383" s="224"/>
      <c r="J383" s="224"/>
      <c r="K383" s="224"/>
    </row>
    <row r="384" spans="4:11" ht="15.75" customHeight="1">
      <c r="D384" s="224"/>
      <c r="E384" s="224"/>
      <c r="F384" s="224"/>
      <c r="G384" s="224"/>
      <c r="H384" s="224"/>
      <c r="I384" s="224"/>
      <c r="J384" s="224"/>
      <c r="K384" s="224"/>
    </row>
    <row r="385" spans="4:11" ht="15.75" customHeight="1">
      <c r="D385" s="224"/>
      <c r="E385" s="224"/>
      <c r="F385" s="224"/>
      <c r="G385" s="224"/>
      <c r="H385" s="224"/>
      <c r="I385" s="224"/>
      <c r="J385" s="224"/>
      <c r="K385" s="224"/>
    </row>
    <row r="386" spans="4:11" ht="15.75" customHeight="1">
      <c r="D386" s="224"/>
      <c r="E386" s="224"/>
      <c r="F386" s="224"/>
      <c r="G386" s="224"/>
      <c r="H386" s="224"/>
      <c r="I386" s="224"/>
      <c r="J386" s="224"/>
      <c r="K386" s="224"/>
    </row>
    <row r="387" spans="4:11" ht="15.75" customHeight="1">
      <c r="D387" s="224"/>
      <c r="E387" s="224"/>
      <c r="F387" s="224"/>
      <c r="G387" s="224"/>
      <c r="H387" s="224"/>
      <c r="I387" s="224"/>
      <c r="J387" s="224"/>
      <c r="K387" s="224"/>
    </row>
    <row r="388" spans="4:11" ht="15.75" customHeight="1">
      <c r="D388" s="224"/>
      <c r="E388" s="224"/>
      <c r="F388" s="224"/>
      <c r="G388" s="224"/>
      <c r="H388" s="224"/>
      <c r="I388" s="224"/>
      <c r="J388" s="224"/>
      <c r="K388" s="224"/>
    </row>
    <row r="389" spans="4:11" ht="15.75" customHeight="1">
      <c r="D389" s="224"/>
      <c r="E389" s="224"/>
      <c r="F389" s="224"/>
      <c r="G389" s="224"/>
      <c r="H389" s="224"/>
      <c r="I389" s="224"/>
      <c r="J389" s="224"/>
      <c r="K389" s="224"/>
    </row>
    <row r="390" spans="4:11" ht="15.75" customHeight="1">
      <c r="D390" s="224"/>
      <c r="E390" s="224"/>
      <c r="F390" s="224"/>
      <c r="G390" s="224"/>
      <c r="H390" s="224"/>
      <c r="I390" s="224"/>
      <c r="J390" s="224"/>
      <c r="K390" s="224"/>
    </row>
    <row r="391" spans="4:11" ht="15.75" customHeight="1">
      <c r="D391" s="224"/>
      <c r="E391" s="224"/>
      <c r="F391" s="224"/>
      <c r="G391" s="224"/>
      <c r="H391" s="224"/>
      <c r="I391" s="224"/>
      <c r="J391" s="224"/>
      <c r="K391" s="224"/>
    </row>
    <row r="392" spans="4:11" ht="15.75" customHeight="1">
      <c r="D392" s="224"/>
      <c r="E392" s="224"/>
      <c r="F392" s="224"/>
      <c r="G392" s="224"/>
      <c r="H392" s="224"/>
      <c r="I392" s="224"/>
      <c r="J392" s="224"/>
      <c r="K392" s="224"/>
    </row>
    <row r="393" spans="4:11" ht="15.75" customHeight="1">
      <c r="D393" s="224"/>
      <c r="E393" s="224"/>
      <c r="F393" s="224"/>
      <c r="G393" s="224"/>
      <c r="H393" s="224"/>
      <c r="I393" s="224"/>
      <c r="J393" s="224"/>
      <c r="K393" s="224"/>
    </row>
    <row r="394" spans="4:11" ht="15.75" customHeight="1">
      <c r="D394" s="224"/>
      <c r="E394" s="224"/>
      <c r="F394" s="224"/>
      <c r="G394" s="224"/>
      <c r="H394" s="224"/>
      <c r="I394" s="224"/>
      <c r="J394" s="224"/>
      <c r="K394" s="224"/>
    </row>
    <row r="395" spans="4:11" ht="15.75" customHeight="1">
      <c r="D395" s="224"/>
      <c r="E395" s="224"/>
      <c r="F395" s="224"/>
      <c r="G395" s="224"/>
      <c r="H395" s="224"/>
      <c r="I395" s="224"/>
      <c r="J395" s="224"/>
      <c r="K395" s="224"/>
    </row>
    <row r="396" spans="4:11" ht="15.75" customHeight="1">
      <c r="D396" s="224"/>
      <c r="E396" s="224"/>
      <c r="F396" s="224"/>
      <c r="G396" s="224"/>
      <c r="H396" s="224"/>
      <c r="I396" s="224"/>
      <c r="J396" s="224"/>
      <c r="K396" s="224"/>
    </row>
    <row r="397" spans="4:11" ht="15.75" customHeight="1">
      <c r="D397" s="224"/>
      <c r="E397" s="224"/>
      <c r="F397" s="224"/>
      <c r="G397" s="224"/>
      <c r="H397" s="224"/>
      <c r="I397" s="224"/>
      <c r="J397" s="224"/>
      <c r="K397" s="224"/>
    </row>
    <row r="398" spans="4:11" ht="15.75" customHeight="1">
      <c r="D398" s="224"/>
      <c r="E398" s="224"/>
      <c r="F398" s="224"/>
      <c r="G398" s="224"/>
      <c r="H398" s="224"/>
      <c r="I398" s="224"/>
      <c r="J398" s="224"/>
      <c r="K398" s="224"/>
    </row>
    <row r="399" spans="4:11" ht="15.75" customHeight="1">
      <c r="D399" s="224"/>
      <c r="E399" s="224"/>
      <c r="F399" s="224"/>
      <c r="G399" s="224"/>
      <c r="H399" s="224"/>
      <c r="I399" s="224"/>
      <c r="J399" s="224"/>
      <c r="K399" s="224"/>
    </row>
    <row r="400" spans="4:11" ht="15.75" customHeight="1">
      <c r="D400" s="224"/>
      <c r="E400" s="224"/>
      <c r="F400" s="224"/>
      <c r="G400" s="224"/>
      <c r="H400" s="224"/>
      <c r="I400" s="224"/>
      <c r="J400" s="224"/>
      <c r="K400" s="224"/>
    </row>
    <row r="401" spans="4:11" ht="15.75" customHeight="1">
      <c r="D401" s="224"/>
      <c r="E401" s="224"/>
      <c r="F401" s="224"/>
      <c r="G401" s="224"/>
      <c r="H401" s="224"/>
      <c r="I401" s="224"/>
      <c r="J401" s="224"/>
      <c r="K401" s="224"/>
    </row>
    <row r="402" spans="4:11" ht="15.75" customHeight="1">
      <c r="D402" s="224"/>
      <c r="E402" s="224"/>
      <c r="F402" s="224"/>
      <c r="G402" s="224"/>
      <c r="H402" s="224"/>
      <c r="I402" s="224"/>
      <c r="J402" s="224"/>
      <c r="K402" s="224"/>
    </row>
    <row r="403" spans="4:11" ht="15.75" customHeight="1">
      <c r="D403" s="224"/>
      <c r="E403" s="224"/>
      <c r="F403" s="224"/>
      <c r="G403" s="224"/>
      <c r="H403" s="224"/>
      <c r="I403" s="224"/>
      <c r="J403" s="224"/>
      <c r="K403" s="224"/>
    </row>
    <row r="404" spans="4:11" ht="15.75" customHeight="1">
      <c r="D404" s="224"/>
      <c r="E404" s="224"/>
      <c r="F404" s="224"/>
      <c r="G404" s="224"/>
      <c r="H404" s="224"/>
      <c r="I404" s="224"/>
      <c r="J404" s="224"/>
      <c r="K404" s="224"/>
    </row>
    <row r="405" spans="4:11" ht="15.75" customHeight="1">
      <c r="D405" s="224"/>
      <c r="E405" s="224"/>
      <c r="F405" s="224"/>
      <c r="G405" s="224"/>
      <c r="H405" s="224"/>
      <c r="I405" s="224"/>
      <c r="J405" s="224"/>
      <c r="K405" s="224"/>
    </row>
    <row r="406" spans="4:11" ht="15.75" customHeight="1">
      <c r="D406" s="224"/>
      <c r="E406" s="224"/>
      <c r="F406" s="224"/>
      <c r="G406" s="224"/>
      <c r="H406" s="224"/>
      <c r="I406" s="224"/>
      <c r="J406" s="224"/>
      <c r="K406" s="224"/>
    </row>
    <row r="407" spans="4:11" ht="15.75" customHeight="1">
      <c r="D407" s="224"/>
      <c r="E407" s="224"/>
      <c r="F407" s="224"/>
      <c r="G407" s="224"/>
      <c r="H407" s="224"/>
      <c r="I407" s="224"/>
      <c r="J407" s="224"/>
      <c r="K407" s="224"/>
    </row>
    <row r="408" spans="4:11" ht="15.75" customHeight="1">
      <c r="D408" s="224"/>
      <c r="E408" s="224"/>
      <c r="F408" s="224"/>
      <c r="G408" s="224"/>
      <c r="H408" s="224"/>
      <c r="I408" s="224"/>
      <c r="J408" s="224"/>
      <c r="K408" s="224"/>
    </row>
    <row r="409" spans="4:11" ht="15.75" customHeight="1">
      <c r="D409" s="224"/>
      <c r="E409" s="224"/>
      <c r="F409" s="224"/>
      <c r="G409" s="224"/>
      <c r="H409" s="224"/>
      <c r="I409" s="224"/>
      <c r="J409" s="224"/>
      <c r="K409" s="224"/>
    </row>
    <row r="410" spans="4:11" ht="15.75" customHeight="1">
      <c r="D410" s="224"/>
      <c r="E410" s="224"/>
      <c r="F410" s="224"/>
      <c r="G410" s="224"/>
      <c r="H410" s="224"/>
      <c r="I410" s="224"/>
      <c r="J410" s="224"/>
      <c r="K410" s="224"/>
    </row>
    <row r="411" spans="4:11" ht="15.75" customHeight="1">
      <c r="D411" s="224"/>
      <c r="E411" s="224"/>
      <c r="F411" s="224"/>
      <c r="G411" s="224"/>
      <c r="H411" s="224"/>
      <c r="I411" s="224"/>
      <c r="J411" s="224"/>
      <c r="K411" s="224"/>
    </row>
    <row r="412" spans="4:11" ht="15.75" customHeight="1">
      <c r="D412" s="224"/>
      <c r="E412" s="224"/>
      <c r="F412" s="224"/>
      <c r="G412" s="224"/>
      <c r="H412" s="224"/>
      <c r="I412" s="224"/>
      <c r="J412" s="224"/>
      <c r="K412" s="224"/>
    </row>
    <row r="413" spans="4:11" ht="15.75" customHeight="1">
      <c r="D413" s="224"/>
      <c r="E413" s="224"/>
      <c r="F413" s="224"/>
      <c r="G413" s="224"/>
      <c r="H413" s="224"/>
      <c r="I413" s="224"/>
      <c r="J413" s="224"/>
      <c r="K413" s="224"/>
    </row>
    <row r="414" spans="4:11" ht="15.75" customHeight="1">
      <c r="D414" s="224"/>
      <c r="E414" s="224"/>
      <c r="F414" s="224"/>
      <c r="G414" s="224"/>
      <c r="H414" s="224"/>
      <c r="I414" s="224"/>
      <c r="J414" s="224"/>
      <c r="K414" s="224"/>
    </row>
    <row r="415" spans="4:11" ht="15.75" customHeight="1">
      <c r="D415" s="224"/>
      <c r="E415" s="224"/>
      <c r="F415" s="224"/>
      <c r="G415" s="224"/>
      <c r="H415" s="224"/>
      <c r="I415" s="224"/>
      <c r="J415" s="224"/>
      <c r="K415" s="224"/>
    </row>
    <row r="416" spans="4:11" ht="15.75" customHeight="1">
      <c r="D416" s="224"/>
      <c r="E416" s="224"/>
      <c r="F416" s="224"/>
      <c r="G416" s="224"/>
      <c r="H416" s="224"/>
      <c r="I416" s="224"/>
      <c r="J416" s="224"/>
      <c r="K416" s="224"/>
    </row>
    <row r="417" spans="4:11" ht="15.75" customHeight="1">
      <c r="D417" s="224"/>
      <c r="E417" s="224"/>
      <c r="F417" s="224"/>
      <c r="G417" s="224"/>
      <c r="H417" s="224"/>
      <c r="I417" s="224"/>
      <c r="J417" s="224"/>
      <c r="K417" s="224"/>
    </row>
    <row r="418" spans="4:11" ht="15.75" customHeight="1">
      <c r="D418" s="224"/>
      <c r="E418" s="224"/>
      <c r="F418" s="224"/>
      <c r="G418" s="224"/>
      <c r="H418" s="224"/>
      <c r="I418" s="224"/>
      <c r="J418" s="224"/>
      <c r="K418" s="224"/>
    </row>
    <row r="419" spans="4:11" ht="15.75" customHeight="1">
      <c r="D419" s="224"/>
      <c r="E419" s="224"/>
      <c r="F419" s="224"/>
      <c r="G419" s="224"/>
      <c r="H419" s="224"/>
      <c r="I419" s="224"/>
      <c r="J419" s="224"/>
      <c r="K419" s="224"/>
    </row>
    <row r="420" spans="4:11" ht="15.75" customHeight="1">
      <c r="D420" s="224"/>
      <c r="E420" s="224"/>
      <c r="F420" s="224"/>
      <c r="G420" s="224"/>
      <c r="H420" s="224"/>
      <c r="I420" s="224"/>
      <c r="J420" s="224"/>
      <c r="K420" s="224"/>
    </row>
    <row r="421" spans="4:11" ht="15.75" customHeight="1">
      <c r="D421" s="224"/>
      <c r="E421" s="224"/>
      <c r="F421" s="224"/>
      <c r="G421" s="224"/>
      <c r="H421" s="224"/>
      <c r="I421" s="224"/>
      <c r="J421" s="224"/>
      <c r="K421" s="224"/>
    </row>
    <row r="422" spans="4:11" ht="15.75" customHeight="1">
      <c r="D422" s="224"/>
      <c r="E422" s="224"/>
      <c r="F422" s="224"/>
      <c r="G422" s="224"/>
      <c r="H422" s="224"/>
      <c r="I422" s="224"/>
      <c r="J422" s="224"/>
      <c r="K422" s="224"/>
    </row>
    <row r="423" spans="4:11" ht="15.75" customHeight="1">
      <c r="D423" s="224"/>
      <c r="E423" s="224"/>
      <c r="F423" s="224"/>
      <c r="G423" s="224"/>
      <c r="H423" s="224"/>
      <c r="I423" s="224"/>
      <c r="J423" s="224"/>
      <c r="K423" s="224"/>
    </row>
    <row r="424" spans="4:11" ht="15.75" customHeight="1">
      <c r="D424" s="224"/>
      <c r="E424" s="224"/>
      <c r="F424" s="224"/>
      <c r="G424" s="224"/>
      <c r="H424" s="224"/>
      <c r="I424" s="224"/>
      <c r="J424" s="224"/>
      <c r="K424" s="224"/>
    </row>
    <row r="425" spans="4:11" ht="15.75" customHeight="1">
      <c r="D425" s="224"/>
      <c r="E425" s="224"/>
      <c r="F425" s="224"/>
      <c r="G425" s="224"/>
      <c r="H425" s="224"/>
      <c r="I425" s="224"/>
      <c r="J425" s="224"/>
      <c r="K425" s="224"/>
    </row>
    <row r="426" spans="4:11" ht="15.75" customHeight="1">
      <c r="D426" s="224"/>
      <c r="E426" s="224"/>
      <c r="F426" s="224"/>
      <c r="G426" s="224"/>
      <c r="H426" s="224"/>
      <c r="I426" s="224"/>
      <c r="J426" s="224"/>
      <c r="K426" s="224"/>
    </row>
    <row r="427" spans="4:11" ht="15.75" customHeight="1">
      <c r="D427" s="224"/>
      <c r="E427" s="224"/>
      <c r="F427" s="224"/>
      <c r="G427" s="224"/>
      <c r="H427" s="224"/>
      <c r="I427" s="224"/>
      <c r="J427" s="224"/>
      <c r="K427" s="224"/>
    </row>
    <row r="428" spans="4:11" ht="15.75" customHeight="1">
      <c r="D428" s="224"/>
      <c r="E428" s="224"/>
      <c r="F428" s="224"/>
      <c r="G428" s="224"/>
      <c r="H428" s="224"/>
      <c r="I428" s="224"/>
      <c r="J428" s="224"/>
      <c r="K428" s="224"/>
    </row>
    <row r="429" spans="4:11" ht="15.75" customHeight="1">
      <c r="D429" s="224"/>
      <c r="E429" s="224"/>
      <c r="F429" s="224"/>
      <c r="G429" s="224"/>
      <c r="H429" s="224"/>
      <c r="I429" s="224"/>
      <c r="J429" s="224"/>
      <c r="K429" s="224"/>
    </row>
    <row r="430" spans="4:11" ht="15.75" customHeight="1">
      <c r="D430" s="224"/>
      <c r="E430" s="224"/>
      <c r="F430" s="224"/>
      <c r="G430" s="224"/>
      <c r="H430" s="224"/>
      <c r="I430" s="224"/>
      <c r="J430" s="224"/>
      <c r="K430" s="224"/>
    </row>
    <row r="431" spans="4:11">
      <c r="D431" s="224"/>
      <c r="E431" s="224"/>
      <c r="F431" s="224"/>
      <c r="G431" s="224"/>
      <c r="H431" s="224"/>
      <c r="I431" s="224"/>
      <c r="J431" s="224"/>
      <c r="K431" s="224"/>
    </row>
    <row r="432" spans="4:11">
      <c r="D432" s="224"/>
      <c r="E432" s="224"/>
      <c r="F432" s="224"/>
      <c r="G432" s="224"/>
      <c r="H432" s="224"/>
      <c r="I432" s="224"/>
      <c r="J432" s="224"/>
      <c r="K432" s="224"/>
    </row>
    <row r="433" spans="4:11">
      <c r="D433" s="224"/>
      <c r="E433" s="224"/>
      <c r="F433" s="224"/>
      <c r="G433" s="224"/>
      <c r="H433" s="224"/>
      <c r="I433" s="224"/>
      <c r="J433" s="224"/>
      <c r="K433" s="224"/>
    </row>
    <row r="434" spans="4:11">
      <c r="D434" s="224"/>
      <c r="E434" s="224"/>
      <c r="F434" s="224"/>
      <c r="G434" s="224"/>
      <c r="H434" s="224"/>
      <c r="I434" s="224"/>
      <c r="J434" s="224"/>
      <c r="K434" s="224"/>
    </row>
    <row r="435" spans="4:11">
      <c r="D435" s="224"/>
      <c r="E435" s="224"/>
      <c r="F435" s="224"/>
      <c r="G435" s="224"/>
      <c r="H435" s="224"/>
      <c r="I435" s="224"/>
      <c r="J435" s="224"/>
      <c r="K435" s="224"/>
    </row>
    <row r="436" spans="4:11">
      <c r="D436" s="224"/>
      <c r="E436" s="224"/>
      <c r="F436" s="224"/>
      <c r="G436" s="224"/>
      <c r="H436" s="224"/>
      <c r="I436" s="224"/>
      <c r="J436" s="224"/>
      <c r="K436" s="224"/>
    </row>
    <row r="437" spans="4:11">
      <c r="D437" s="224"/>
      <c r="E437" s="224"/>
      <c r="F437" s="224"/>
      <c r="G437" s="224"/>
      <c r="H437" s="224"/>
      <c r="I437" s="224"/>
      <c r="J437" s="224"/>
      <c r="K437" s="224"/>
    </row>
    <row r="438" spans="4:11">
      <c r="D438" s="224"/>
      <c r="E438" s="224"/>
      <c r="F438" s="224"/>
      <c r="G438" s="224"/>
      <c r="H438" s="224"/>
      <c r="I438" s="224"/>
      <c r="J438" s="224"/>
      <c r="K438" s="224"/>
    </row>
    <row r="439" spans="4:11">
      <c r="D439" s="224"/>
      <c r="E439" s="224"/>
      <c r="F439" s="224"/>
      <c r="G439" s="224"/>
      <c r="H439" s="224"/>
      <c r="I439" s="224"/>
      <c r="J439" s="224"/>
      <c r="K439" s="224"/>
    </row>
    <row r="440" spans="4:11">
      <c r="D440" s="224"/>
      <c r="E440" s="224"/>
      <c r="F440" s="224"/>
      <c r="G440" s="224"/>
      <c r="H440" s="224"/>
      <c r="I440" s="224"/>
      <c r="J440" s="224"/>
      <c r="K440" s="224"/>
    </row>
    <row r="441" spans="4:11">
      <c r="D441" s="224"/>
      <c r="E441" s="224"/>
      <c r="F441" s="224"/>
      <c r="G441" s="224"/>
      <c r="H441" s="224"/>
      <c r="I441" s="224"/>
      <c r="J441" s="224"/>
      <c r="K441" s="224"/>
    </row>
    <row r="442" spans="4:11">
      <c r="D442" s="224"/>
      <c r="E442" s="224"/>
      <c r="F442" s="224"/>
      <c r="G442" s="224"/>
      <c r="H442" s="224"/>
      <c r="I442" s="224"/>
      <c r="J442" s="224"/>
      <c r="K442" s="224"/>
    </row>
    <row r="443" spans="4:11">
      <c r="D443" s="224"/>
      <c r="E443" s="224"/>
      <c r="F443" s="224"/>
      <c r="G443" s="224"/>
      <c r="H443" s="224"/>
      <c r="I443" s="224"/>
      <c r="J443" s="224"/>
      <c r="K443" s="224"/>
    </row>
    <row r="444" spans="4:11">
      <c r="D444" s="224"/>
      <c r="E444" s="224"/>
      <c r="F444" s="224"/>
      <c r="G444" s="224"/>
      <c r="H444" s="224"/>
      <c r="I444" s="224"/>
      <c r="J444" s="224"/>
      <c r="K444" s="224"/>
    </row>
    <row r="445" spans="4:11">
      <c r="D445" s="224"/>
      <c r="E445" s="224"/>
      <c r="F445" s="224"/>
      <c r="G445" s="224"/>
      <c r="H445" s="224"/>
      <c r="I445" s="224"/>
      <c r="J445" s="224"/>
      <c r="K445" s="224"/>
    </row>
    <row r="446" spans="4:11">
      <c r="D446" s="224"/>
      <c r="E446" s="224"/>
      <c r="F446" s="224"/>
      <c r="G446" s="224"/>
      <c r="H446" s="224"/>
      <c r="I446" s="224"/>
      <c r="J446" s="224"/>
      <c r="K446" s="224"/>
    </row>
    <row r="447" spans="4:11">
      <c r="D447" s="224"/>
      <c r="E447" s="224"/>
      <c r="F447" s="224"/>
      <c r="G447" s="224"/>
      <c r="H447" s="224"/>
      <c r="I447" s="224"/>
      <c r="J447" s="224"/>
      <c r="K447" s="224"/>
    </row>
    <row r="448" spans="4:11">
      <c r="D448" s="224"/>
      <c r="E448" s="224"/>
      <c r="F448" s="224"/>
      <c r="G448" s="224"/>
      <c r="H448" s="224"/>
      <c r="I448" s="224"/>
      <c r="J448" s="224"/>
      <c r="K448" s="224"/>
    </row>
    <row r="449" spans="4:11">
      <c r="D449" s="224"/>
      <c r="E449" s="224"/>
      <c r="F449" s="224"/>
      <c r="G449" s="224"/>
      <c r="H449" s="224"/>
      <c r="I449" s="224"/>
      <c r="J449" s="224"/>
      <c r="K449" s="224"/>
    </row>
    <row r="450" spans="4:11">
      <c r="D450" s="224"/>
      <c r="E450" s="224"/>
      <c r="F450" s="224"/>
      <c r="G450" s="224"/>
      <c r="H450" s="224"/>
      <c r="I450" s="224"/>
      <c r="J450" s="224"/>
      <c r="K450" s="224"/>
    </row>
    <row r="451" spans="4:11">
      <c r="D451" s="224"/>
      <c r="E451" s="224"/>
      <c r="F451" s="224"/>
      <c r="G451" s="224"/>
      <c r="H451" s="224"/>
      <c r="I451" s="224"/>
      <c r="J451" s="224"/>
      <c r="K451" s="224"/>
    </row>
    <row r="452" spans="4:11">
      <c r="D452" s="224"/>
      <c r="E452" s="224"/>
      <c r="F452" s="224"/>
      <c r="G452" s="224"/>
      <c r="H452" s="224"/>
      <c r="I452" s="224"/>
      <c r="J452" s="224"/>
      <c r="K452" s="224"/>
    </row>
    <row r="453" spans="4:11">
      <c r="D453" s="224"/>
      <c r="E453" s="224"/>
      <c r="F453" s="224"/>
      <c r="G453" s="224"/>
      <c r="H453" s="224"/>
      <c r="I453" s="224"/>
      <c r="J453" s="224"/>
      <c r="K453" s="224"/>
    </row>
    <row r="454" spans="4:11">
      <c r="D454" s="224"/>
      <c r="E454" s="224"/>
      <c r="F454" s="224"/>
      <c r="G454" s="224"/>
      <c r="H454" s="224"/>
      <c r="I454" s="224"/>
      <c r="J454" s="224"/>
      <c r="K454" s="224"/>
    </row>
    <row r="455" spans="4:11">
      <c r="D455" s="224"/>
      <c r="E455" s="224"/>
      <c r="F455" s="224"/>
      <c r="G455" s="224"/>
      <c r="H455" s="224"/>
      <c r="I455" s="224"/>
      <c r="J455" s="224"/>
      <c r="K455" s="224"/>
    </row>
    <row r="456" spans="4:11">
      <c r="D456" s="224"/>
      <c r="E456" s="224"/>
      <c r="F456" s="224"/>
      <c r="G456" s="224"/>
      <c r="H456" s="224"/>
      <c r="I456" s="224"/>
      <c r="J456" s="224"/>
      <c r="K456" s="224"/>
    </row>
    <row r="457" spans="4:11">
      <c r="D457" s="224"/>
      <c r="E457" s="224"/>
      <c r="F457" s="224"/>
      <c r="G457" s="224"/>
      <c r="H457" s="224"/>
      <c r="I457" s="224"/>
      <c r="J457" s="224"/>
      <c r="K457" s="224"/>
    </row>
    <row r="458" spans="4:11">
      <c r="D458" s="224"/>
      <c r="E458" s="224"/>
      <c r="F458" s="224"/>
      <c r="G458" s="224"/>
      <c r="H458" s="224"/>
      <c r="I458" s="224"/>
      <c r="J458" s="224"/>
      <c r="K458" s="224"/>
    </row>
    <row r="459" spans="4:11">
      <c r="D459" s="224"/>
      <c r="E459" s="224"/>
      <c r="F459" s="224"/>
      <c r="G459" s="224"/>
      <c r="H459" s="224"/>
      <c r="I459" s="224"/>
      <c r="J459" s="224"/>
      <c r="K459" s="224"/>
    </row>
    <row r="460" spans="4:11">
      <c r="D460" s="224"/>
      <c r="E460" s="224"/>
      <c r="F460" s="224"/>
      <c r="G460" s="224"/>
      <c r="H460" s="224"/>
      <c r="I460" s="224"/>
      <c r="J460" s="224"/>
      <c r="K460" s="224"/>
    </row>
    <row r="461" spans="4:11">
      <c r="D461" s="224"/>
      <c r="E461" s="224"/>
      <c r="F461" s="224"/>
      <c r="G461" s="224"/>
      <c r="H461" s="224"/>
      <c r="I461" s="224"/>
      <c r="J461" s="224"/>
      <c r="K461" s="224"/>
    </row>
    <row r="462" spans="4:11">
      <c r="D462" s="224"/>
      <c r="E462" s="224"/>
      <c r="F462" s="224"/>
      <c r="G462" s="224"/>
      <c r="H462" s="224"/>
      <c r="I462" s="224"/>
      <c r="J462" s="224"/>
      <c r="K462" s="224"/>
    </row>
    <row r="463" spans="4:11">
      <c r="D463" s="224"/>
      <c r="E463" s="224"/>
      <c r="F463" s="224"/>
      <c r="G463" s="224"/>
      <c r="H463" s="224"/>
      <c r="I463" s="224"/>
      <c r="J463" s="224"/>
      <c r="K463" s="224"/>
    </row>
    <row r="464" spans="4:11">
      <c r="D464" s="224"/>
      <c r="E464" s="224"/>
      <c r="F464" s="224"/>
      <c r="G464" s="224"/>
      <c r="H464" s="224"/>
      <c r="I464" s="224"/>
      <c r="J464" s="224"/>
      <c r="K464" s="224"/>
    </row>
    <row r="465" spans="4:11">
      <c r="D465" s="224"/>
      <c r="E465" s="224"/>
      <c r="F465" s="224"/>
      <c r="G465" s="224"/>
      <c r="H465" s="224"/>
      <c r="I465" s="224"/>
      <c r="J465" s="224"/>
      <c r="K465" s="224"/>
    </row>
    <row r="466" spans="4:11">
      <c r="D466" s="224"/>
      <c r="E466" s="224"/>
      <c r="F466" s="224"/>
      <c r="G466" s="224"/>
      <c r="H466" s="224"/>
      <c r="I466" s="224"/>
      <c r="J466" s="224"/>
      <c r="K466" s="224"/>
    </row>
    <row r="467" spans="4:11">
      <c r="D467" s="224"/>
      <c r="E467" s="224"/>
      <c r="F467" s="224"/>
      <c r="G467" s="224"/>
      <c r="H467" s="224"/>
      <c r="I467" s="224"/>
      <c r="J467" s="224"/>
      <c r="K467" s="224"/>
    </row>
    <row r="468" spans="4:11">
      <c r="D468" s="224"/>
      <c r="E468" s="224"/>
      <c r="F468" s="224"/>
      <c r="G468" s="224"/>
      <c r="H468" s="224"/>
      <c r="I468" s="224"/>
      <c r="J468" s="224"/>
      <c r="K468" s="224"/>
    </row>
    <row r="469" spans="4:11">
      <c r="D469" s="224"/>
      <c r="E469" s="224"/>
      <c r="F469" s="224"/>
      <c r="G469" s="224"/>
      <c r="H469" s="224"/>
      <c r="I469" s="224"/>
      <c r="J469" s="224"/>
      <c r="K469" s="224"/>
    </row>
    <row r="470" spans="4:11">
      <c r="D470" s="224"/>
      <c r="E470" s="224"/>
      <c r="F470" s="224"/>
      <c r="G470" s="224"/>
      <c r="H470" s="224"/>
      <c r="I470" s="224"/>
      <c r="J470" s="224"/>
      <c r="K470" s="224"/>
    </row>
    <row r="471" spans="4:11">
      <c r="D471" s="224"/>
      <c r="E471" s="224"/>
      <c r="F471" s="224"/>
      <c r="G471" s="224"/>
      <c r="H471" s="224"/>
      <c r="I471" s="224"/>
      <c r="J471" s="224"/>
      <c r="K471" s="224"/>
    </row>
    <row r="472" spans="4:11">
      <c r="D472" s="224"/>
      <c r="E472" s="224"/>
      <c r="F472" s="224"/>
      <c r="G472" s="224"/>
      <c r="H472" s="224"/>
      <c r="I472" s="224"/>
      <c r="J472" s="224"/>
      <c r="K472" s="224"/>
    </row>
    <row r="473" spans="4:11">
      <c r="D473" s="224"/>
      <c r="E473" s="224"/>
      <c r="F473" s="224"/>
      <c r="G473" s="224"/>
      <c r="H473" s="224"/>
      <c r="I473" s="224"/>
      <c r="J473" s="224"/>
      <c r="K473" s="224"/>
    </row>
    <row r="474" spans="4:11">
      <c r="D474" s="224"/>
      <c r="E474" s="224"/>
      <c r="F474" s="224"/>
      <c r="G474" s="224"/>
      <c r="H474" s="224"/>
      <c r="I474" s="224"/>
      <c r="J474" s="224"/>
      <c r="K474" s="224"/>
    </row>
    <row r="475" spans="4:11">
      <c r="D475" s="224"/>
      <c r="E475" s="224"/>
      <c r="F475" s="224"/>
      <c r="G475" s="224"/>
      <c r="H475" s="224"/>
      <c r="I475" s="224"/>
      <c r="J475" s="224"/>
      <c r="K475" s="224"/>
    </row>
    <row r="476" spans="4:11">
      <c r="D476" s="224"/>
      <c r="E476" s="224"/>
      <c r="F476" s="224"/>
      <c r="G476" s="224"/>
      <c r="H476" s="224"/>
      <c r="I476" s="224"/>
      <c r="J476" s="224"/>
      <c r="K476" s="224"/>
    </row>
    <row r="477" spans="4:11">
      <c r="D477" s="224"/>
      <c r="E477" s="224"/>
      <c r="F477" s="224"/>
      <c r="G477" s="224"/>
      <c r="H477" s="224"/>
      <c r="I477" s="224"/>
      <c r="J477" s="224"/>
      <c r="K477" s="224"/>
    </row>
    <row r="478" spans="4:11">
      <c r="D478" s="224"/>
      <c r="E478" s="224"/>
      <c r="F478" s="224"/>
      <c r="G478" s="224"/>
      <c r="H478" s="224"/>
      <c r="I478" s="224"/>
      <c r="J478" s="224"/>
      <c r="K478" s="224"/>
    </row>
    <row r="479" spans="4:11">
      <c r="D479" s="224"/>
      <c r="E479" s="224"/>
      <c r="F479" s="224"/>
      <c r="G479" s="224"/>
      <c r="H479" s="224"/>
      <c r="I479" s="224"/>
      <c r="J479" s="224"/>
      <c r="K479" s="224"/>
    </row>
    <row r="480" spans="4:11">
      <c r="D480" s="224"/>
      <c r="E480" s="224"/>
      <c r="F480" s="224"/>
      <c r="G480" s="224"/>
      <c r="H480" s="224"/>
      <c r="I480" s="224"/>
      <c r="J480" s="224"/>
      <c r="K480" s="224"/>
    </row>
    <row r="481" spans="4:11">
      <c r="D481" s="224"/>
      <c r="E481" s="224"/>
      <c r="F481" s="224"/>
      <c r="G481" s="224"/>
      <c r="H481" s="224"/>
      <c r="I481" s="224"/>
      <c r="J481" s="224"/>
      <c r="K481" s="224"/>
    </row>
    <row r="482" spans="4:11">
      <c r="D482" s="224"/>
      <c r="E482" s="224"/>
      <c r="F482" s="224"/>
      <c r="G482" s="224"/>
      <c r="H482" s="224"/>
      <c r="I482" s="224"/>
      <c r="J482" s="224"/>
      <c r="K482" s="224"/>
    </row>
    <row r="483" spans="4:11">
      <c r="D483" s="224"/>
      <c r="E483" s="224"/>
      <c r="F483" s="224"/>
      <c r="G483" s="224"/>
      <c r="H483" s="224"/>
      <c r="I483" s="224"/>
      <c r="J483" s="224"/>
      <c r="K483" s="224"/>
    </row>
    <row r="484" spans="4:11">
      <c r="D484" s="224"/>
      <c r="E484" s="224"/>
      <c r="F484" s="224"/>
      <c r="G484" s="224"/>
      <c r="H484" s="224"/>
      <c r="I484" s="224"/>
      <c r="J484" s="224"/>
      <c r="K484" s="224"/>
    </row>
    <row r="485" spans="4:11">
      <c r="D485" s="224"/>
      <c r="E485" s="224"/>
      <c r="F485" s="224"/>
      <c r="G485" s="224"/>
      <c r="H485" s="224"/>
      <c r="I485" s="224"/>
      <c r="J485" s="224"/>
      <c r="K485" s="224"/>
    </row>
    <row r="486" spans="4:11">
      <c r="D486" s="224"/>
      <c r="E486" s="224"/>
      <c r="F486" s="224"/>
      <c r="G486" s="224"/>
      <c r="H486" s="224"/>
      <c r="I486" s="224"/>
      <c r="J486" s="224"/>
      <c r="K486" s="224"/>
    </row>
    <row r="487" spans="4:11">
      <c r="D487" s="224"/>
      <c r="E487" s="224"/>
      <c r="F487" s="224"/>
      <c r="G487" s="224"/>
      <c r="H487" s="224"/>
      <c r="I487" s="224"/>
      <c r="J487" s="224"/>
      <c r="K487" s="224"/>
    </row>
    <row r="488" spans="4:11">
      <c r="D488" s="224"/>
      <c r="E488" s="224"/>
      <c r="F488" s="224"/>
      <c r="G488" s="224"/>
      <c r="H488" s="224"/>
      <c r="I488" s="224"/>
      <c r="J488" s="224"/>
      <c r="K488" s="224"/>
    </row>
    <row r="489" spans="4:11">
      <c r="D489" s="224"/>
      <c r="E489" s="224"/>
      <c r="F489" s="224"/>
      <c r="G489" s="224"/>
      <c r="H489" s="224"/>
      <c r="I489" s="224"/>
      <c r="J489" s="224"/>
      <c r="K489" s="224"/>
    </row>
    <row r="490" spans="4:11">
      <c r="D490" s="224"/>
      <c r="E490" s="224"/>
      <c r="F490" s="224"/>
      <c r="G490" s="224"/>
      <c r="H490" s="224"/>
      <c r="I490" s="224"/>
      <c r="J490" s="224"/>
      <c r="K490" s="224"/>
    </row>
    <row r="491" spans="4:11">
      <c r="D491" s="224"/>
      <c r="E491" s="224"/>
      <c r="F491" s="224"/>
      <c r="G491" s="224"/>
      <c r="H491" s="224"/>
      <c r="I491" s="224"/>
      <c r="J491" s="224"/>
      <c r="K491" s="224"/>
    </row>
    <row r="492" spans="4:11">
      <c r="D492" s="224"/>
      <c r="E492" s="224"/>
      <c r="F492" s="224"/>
      <c r="G492" s="224"/>
      <c r="H492" s="224"/>
      <c r="I492" s="224"/>
      <c r="J492" s="224"/>
      <c r="K492" s="224"/>
    </row>
    <row r="493" spans="4:11">
      <c r="D493" s="224"/>
      <c r="E493" s="224"/>
      <c r="F493" s="224"/>
      <c r="G493" s="224"/>
      <c r="H493" s="224"/>
      <c r="I493" s="224"/>
      <c r="J493" s="224"/>
      <c r="K493" s="224"/>
    </row>
    <row r="494" spans="4:11">
      <c r="D494" s="224"/>
      <c r="E494" s="224"/>
      <c r="F494" s="224"/>
      <c r="G494" s="224"/>
      <c r="H494" s="224"/>
      <c r="I494" s="224"/>
      <c r="J494" s="224"/>
      <c r="K494" s="224"/>
    </row>
    <row r="495" spans="4:11">
      <c r="D495" s="224"/>
      <c r="E495" s="224"/>
      <c r="F495" s="224"/>
      <c r="G495" s="224"/>
      <c r="H495" s="224"/>
      <c r="I495" s="224"/>
      <c r="J495" s="224"/>
      <c r="K495" s="224"/>
    </row>
    <row r="496" spans="4:11">
      <c r="D496" s="224"/>
      <c r="E496" s="224"/>
      <c r="F496" s="224"/>
      <c r="G496" s="224"/>
      <c r="H496" s="224"/>
      <c r="I496" s="224"/>
      <c r="J496" s="224"/>
      <c r="K496" s="224"/>
    </row>
    <row r="497" spans="4:11">
      <c r="D497" s="224"/>
      <c r="E497" s="224"/>
      <c r="F497" s="224"/>
      <c r="G497" s="224"/>
      <c r="H497" s="224"/>
      <c r="I497" s="224"/>
      <c r="J497" s="224"/>
      <c r="K497" s="224"/>
    </row>
    <row r="498" spans="4:11">
      <c r="D498" s="224"/>
      <c r="E498" s="224"/>
      <c r="F498" s="224"/>
      <c r="G498" s="224"/>
      <c r="H498" s="224"/>
      <c r="I498" s="224"/>
      <c r="J498" s="224"/>
      <c r="K498" s="224"/>
    </row>
    <row r="499" spans="4:11">
      <c r="D499" s="224"/>
      <c r="E499" s="224"/>
      <c r="F499" s="224"/>
      <c r="G499" s="224"/>
      <c r="H499" s="224"/>
      <c r="I499" s="224"/>
      <c r="J499" s="224"/>
      <c r="K499" s="224"/>
    </row>
    <row r="500" spans="4:11">
      <c r="D500" s="224"/>
      <c r="E500" s="224"/>
      <c r="F500" s="224"/>
      <c r="G500" s="224"/>
      <c r="H500" s="224"/>
      <c r="I500" s="224"/>
      <c r="J500" s="224"/>
      <c r="K500" s="224"/>
    </row>
    <row r="501" spans="4:11">
      <c r="D501" s="224"/>
      <c r="E501" s="224"/>
      <c r="F501" s="224"/>
      <c r="G501" s="224"/>
      <c r="H501" s="224"/>
      <c r="I501" s="224"/>
      <c r="J501" s="224"/>
      <c r="K501" s="224"/>
    </row>
    <row r="502" spans="4:11">
      <c r="D502" s="224"/>
      <c r="E502" s="224"/>
      <c r="F502" s="224"/>
      <c r="G502" s="224"/>
      <c r="H502" s="224"/>
      <c r="I502" s="224"/>
      <c r="J502" s="224"/>
      <c r="K502" s="224"/>
    </row>
    <row r="503" spans="4:11">
      <c r="D503" s="224"/>
      <c r="E503" s="224"/>
      <c r="F503" s="224"/>
      <c r="G503" s="224"/>
      <c r="H503" s="224"/>
      <c r="I503" s="224"/>
      <c r="J503" s="224"/>
      <c r="K503" s="224"/>
    </row>
    <row r="504" spans="4:11">
      <c r="D504" s="224"/>
      <c r="E504" s="224"/>
      <c r="F504" s="224"/>
      <c r="G504" s="224"/>
      <c r="H504" s="224"/>
      <c r="I504" s="224"/>
      <c r="J504" s="224"/>
      <c r="K504" s="224"/>
    </row>
    <row r="505" spans="4:11">
      <c r="D505" s="224"/>
      <c r="E505" s="224"/>
      <c r="F505" s="224"/>
      <c r="G505" s="224"/>
      <c r="H505" s="224"/>
      <c r="I505" s="224"/>
      <c r="J505" s="224"/>
      <c r="K505" s="224"/>
    </row>
    <row r="506" spans="4:11">
      <c r="D506" s="224"/>
      <c r="E506" s="224"/>
      <c r="F506" s="224"/>
      <c r="G506" s="224"/>
      <c r="H506" s="224"/>
      <c r="I506" s="224"/>
      <c r="J506" s="224"/>
      <c r="K506" s="224"/>
    </row>
    <row r="507" spans="4:11">
      <c r="D507" s="224"/>
      <c r="E507" s="224"/>
      <c r="F507" s="224"/>
      <c r="G507" s="224"/>
      <c r="H507" s="224"/>
      <c r="I507" s="224"/>
      <c r="J507" s="224"/>
      <c r="K507" s="224"/>
    </row>
    <row r="508" spans="4:11">
      <c r="D508" s="224"/>
      <c r="E508" s="224"/>
      <c r="F508" s="224"/>
      <c r="G508" s="224"/>
      <c r="H508" s="224"/>
      <c r="I508" s="224"/>
      <c r="J508" s="224"/>
      <c r="K508" s="224"/>
    </row>
    <row r="509" spans="4:11">
      <c r="D509" s="224"/>
      <c r="E509" s="224"/>
      <c r="F509" s="224"/>
      <c r="G509" s="224"/>
      <c r="H509" s="224"/>
      <c r="I509" s="224"/>
      <c r="J509" s="224"/>
      <c r="K509" s="224"/>
    </row>
    <row r="510" spans="4:11">
      <c r="D510" s="224"/>
      <c r="E510" s="224"/>
      <c r="F510" s="224"/>
      <c r="G510" s="224"/>
      <c r="H510" s="224"/>
      <c r="I510" s="224"/>
      <c r="J510" s="224"/>
      <c r="K510" s="224"/>
    </row>
    <row r="511" spans="4:11">
      <c r="D511" s="224"/>
      <c r="E511" s="224"/>
      <c r="F511" s="224"/>
      <c r="G511" s="224"/>
      <c r="H511" s="224"/>
      <c r="I511" s="224"/>
      <c r="J511" s="224"/>
      <c r="K511" s="224"/>
    </row>
    <row r="512" spans="4:11">
      <c r="D512" s="224"/>
      <c r="E512" s="224"/>
      <c r="F512" s="224"/>
      <c r="G512" s="224"/>
      <c r="H512" s="224"/>
      <c r="I512" s="224"/>
      <c r="J512" s="224"/>
      <c r="K512" s="224"/>
    </row>
    <row r="513" spans="4:11">
      <c r="D513" s="224"/>
      <c r="E513" s="224"/>
      <c r="F513" s="224"/>
      <c r="G513" s="224"/>
      <c r="H513" s="224"/>
      <c r="I513" s="224"/>
      <c r="J513" s="224"/>
      <c r="K513" s="224"/>
    </row>
    <row r="514" spans="4:11">
      <c r="D514" s="224"/>
      <c r="E514" s="224"/>
      <c r="F514" s="224"/>
      <c r="G514" s="224"/>
      <c r="H514" s="224"/>
      <c r="I514" s="224"/>
      <c r="J514" s="224"/>
      <c r="K514" s="224"/>
    </row>
    <row r="515" spans="4:11">
      <c r="D515" s="224"/>
      <c r="E515" s="224"/>
      <c r="F515" s="224"/>
      <c r="G515" s="224"/>
      <c r="H515" s="224"/>
      <c r="I515" s="224"/>
      <c r="J515" s="224"/>
      <c r="K515" s="224"/>
    </row>
    <row r="516" spans="4:11">
      <c r="D516" s="224"/>
      <c r="E516" s="224"/>
      <c r="F516" s="224"/>
      <c r="G516" s="224"/>
      <c r="H516" s="224"/>
      <c r="I516" s="224"/>
      <c r="J516" s="224"/>
      <c r="K516" s="224"/>
    </row>
    <row r="517" spans="4:11">
      <c r="D517" s="224"/>
      <c r="E517" s="224"/>
      <c r="F517" s="224"/>
      <c r="G517" s="224"/>
      <c r="H517" s="224"/>
      <c r="I517" s="224"/>
      <c r="J517" s="224"/>
      <c r="K517" s="224"/>
    </row>
    <row r="518" spans="4:11">
      <c r="D518" s="224"/>
      <c r="E518" s="224"/>
      <c r="F518" s="224"/>
      <c r="G518" s="224"/>
      <c r="H518" s="224"/>
      <c r="I518" s="224"/>
      <c r="J518" s="224"/>
      <c r="K518" s="224"/>
    </row>
    <row r="519" spans="4:11">
      <c r="D519" s="224"/>
      <c r="E519" s="224"/>
      <c r="F519" s="224"/>
      <c r="G519" s="224"/>
      <c r="H519" s="224"/>
      <c r="I519" s="224"/>
      <c r="J519" s="224"/>
      <c r="K519" s="224"/>
    </row>
    <row r="520" spans="4:11">
      <c r="D520" s="224"/>
      <c r="E520" s="224"/>
      <c r="F520" s="224"/>
      <c r="G520" s="224"/>
      <c r="H520" s="224"/>
      <c r="I520" s="224"/>
      <c r="J520" s="224"/>
      <c r="K520" s="224"/>
    </row>
    <row r="521" spans="4:11">
      <c r="D521" s="224"/>
      <c r="E521" s="224"/>
      <c r="F521" s="224"/>
      <c r="G521" s="224"/>
      <c r="H521" s="224"/>
      <c r="I521" s="224"/>
      <c r="J521" s="224"/>
      <c r="K521" s="224"/>
    </row>
    <row r="522" spans="4:11">
      <c r="D522" s="224"/>
      <c r="E522" s="224"/>
      <c r="F522" s="224"/>
      <c r="G522" s="224"/>
      <c r="H522" s="224"/>
      <c r="I522" s="224"/>
      <c r="J522" s="224"/>
      <c r="K522" s="224"/>
    </row>
    <row r="523" spans="4:11">
      <c r="D523" s="224"/>
      <c r="E523" s="224"/>
      <c r="F523" s="224"/>
      <c r="G523" s="224"/>
      <c r="H523" s="224"/>
      <c r="I523" s="224"/>
      <c r="J523" s="224"/>
      <c r="K523" s="224"/>
    </row>
    <row r="524" spans="4:11">
      <c r="D524" s="224"/>
      <c r="E524" s="224"/>
      <c r="F524" s="224"/>
      <c r="G524" s="224"/>
      <c r="H524" s="224"/>
      <c r="I524" s="224"/>
      <c r="J524" s="224"/>
      <c r="K524" s="224"/>
    </row>
    <row r="525" spans="4:11">
      <c r="D525" s="224"/>
      <c r="E525" s="224"/>
      <c r="F525" s="224"/>
      <c r="G525" s="224"/>
      <c r="H525" s="224"/>
      <c r="I525" s="224"/>
      <c r="J525" s="224"/>
      <c r="K525" s="224"/>
    </row>
    <row r="526" spans="4:11">
      <c r="D526" s="224"/>
      <c r="E526" s="224"/>
      <c r="F526" s="224"/>
      <c r="G526" s="224"/>
      <c r="H526" s="224"/>
      <c r="I526" s="224"/>
      <c r="J526" s="224"/>
      <c r="K526" s="224"/>
    </row>
    <row r="527" spans="4:11">
      <c r="D527" s="224"/>
      <c r="E527" s="224"/>
      <c r="F527" s="224"/>
      <c r="G527" s="224"/>
      <c r="H527" s="224"/>
      <c r="I527" s="224"/>
      <c r="J527" s="224"/>
      <c r="K527" s="224"/>
    </row>
    <row r="528" spans="4:11">
      <c r="D528" s="224"/>
      <c r="E528" s="224"/>
      <c r="F528" s="224"/>
      <c r="G528" s="224"/>
      <c r="H528" s="224"/>
      <c r="I528" s="224"/>
      <c r="J528" s="224"/>
      <c r="K528" s="224"/>
    </row>
    <row r="529" spans="4:11">
      <c r="D529" s="224"/>
      <c r="E529" s="224"/>
      <c r="F529" s="224"/>
      <c r="G529" s="224"/>
      <c r="H529" s="224"/>
      <c r="I529" s="224"/>
      <c r="J529" s="224"/>
      <c r="K529" s="224"/>
    </row>
    <row r="530" spans="4:11">
      <c r="D530" s="224"/>
      <c r="E530" s="224"/>
      <c r="F530" s="224"/>
      <c r="G530" s="224"/>
      <c r="H530" s="224"/>
      <c r="I530" s="224"/>
      <c r="J530" s="224"/>
      <c r="K530" s="224"/>
    </row>
    <row r="531" spans="4:11">
      <c r="D531" s="224"/>
      <c r="E531" s="224"/>
      <c r="F531" s="224"/>
      <c r="G531" s="224"/>
      <c r="H531" s="224"/>
      <c r="I531" s="224"/>
      <c r="J531" s="224"/>
      <c r="K531" s="224"/>
    </row>
    <row r="532" spans="4:11">
      <c r="D532" s="224"/>
      <c r="E532" s="224"/>
      <c r="F532" s="224"/>
      <c r="G532" s="224"/>
      <c r="H532" s="224"/>
      <c r="I532" s="224"/>
      <c r="J532" s="224"/>
      <c r="K532" s="224"/>
    </row>
    <row r="533" spans="4:11">
      <c r="D533" s="224"/>
      <c r="E533" s="224"/>
      <c r="F533" s="224"/>
      <c r="G533" s="224"/>
      <c r="H533" s="224"/>
      <c r="I533" s="224"/>
      <c r="J533" s="224"/>
      <c r="K533" s="224"/>
    </row>
    <row r="534" spans="4:11">
      <c r="D534" s="224"/>
      <c r="E534" s="224"/>
      <c r="F534" s="224"/>
      <c r="G534" s="224"/>
      <c r="H534" s="224"/>
      <c r="I534" s="224"/>
      <c r="J534" s="224"/>
      <c r="K534" s="224"/>
    </row>
    <row r="535" spans="4:11">
      <c r="D535" s="224"/>
      <c r="E535" s="224"/>
      <c r="F535" s="224"/>
      <c r="G535" s="224"/>
      <c r="H535" s="224"/>
      <c r="I535" s="224"/>
      <c r="J535" s="224"/>
      <c r="K535" s="224"/>
    </row>
    <row r="536" spans="4:11">
      <c r="D536" s="224"/>
      <c r="E536" s="224"/>
      <c r="F536" s="224"/>
      <c r="G536" s="224"/>
      <c r="H536" s="224"/>
      <c r="I536" s="224"/>
      <c r="J536" s="224"/>
      <c r="K536" s="224"/>
    </row>
    <row r="537" spans="4:11">
      <c r="D537" s="224"/>
      <c r="E537" s="224"/>
      <c r="F537" s="224"/>
      <c r="G537" s="224"/>
      <c r="H537" s="224"/>
      <c r="I537" s="224"/>
      <c r="J537" s="224"/>
      <c r="K537" s="224"/>
    </row>
    <row r="538" spans="4:11">
      <c r="D538" s="224"/>
      <c r="E538" s="224"/>
      <c r="F538" s="224"/>
      <c r="G538" s="224"/>
      <c r="H538" s="224"/>
      <c r="I538" s="224"/>
      <c r="J538" s="224"/>
      <c r="K538" s="224"/>
    </row>
    <row r="539" spans="4:11">
      <c r="D539" s="224"/>
      <c r="E539" s="224"/>
      <c r="F539" s="224"/>
      <c r="G539" s="224"/>
      <c r="H539" s="224"/>
      <c r="I539" s="224"/>
      <c r="J539" s="224"/>
      <c r="K539" s="224"/>
    </row>
    <row r="540" spans="4:11">
      <c r="D540" s="224"/>
      <c r="E540" s="224"/>
      <c r="F540" s="224"/>
      <c r="G540" s="224"/>
      <c r="H540" s="224"/>
      <c r="I540" s="224"/>
      <c r="J540" s="224"/>
      <c r="K540" s="224"/>
    </row>
    <row r="541" spans="4:11">
      <c r="D541" s="224"/>
      <c r="E541" s="224"/>
      <c r="F541" s="224"/>
      <c r="G541" s="224"/>
      <c r="H541" s="224"/>
      <c r="I541" s="224"/>
      <c r="J541" s="224"/>
      <c r="K541" s="224"/>
    </row>
    <row r="542" spans="4:11">
      <c r="D542" s="224"/>
      <c r="E542" s="224"/>
      <c r="F542" s="224"/>
      <c r="G542" s="224"/>
      <c r="H542" s="224"/>
      <c r="I542" s="224"/>
      <c r="J542" s="224"/>
      <c r="K542" s="224"/>
    </row>
    <row r="543" spans="4:11">
      <c r="D543" s="224"/>
      <c r="E543" s="224"/>
      <c r="F543" s="224"/>
      <c r="G543" s="224"/>
      <c r="H543" s="224"/>
      <c r="I543" s="224"/>
      <c r="J543" s="224"/>
      <c r="K543" s="224"/>
    </row>
    <row r="544" spans="4:11">
      <c r="D544" s="224"/>
      <c r="E544" s="224"/>
      <c r="F544" s="224"/>
      <c r="G544" s="224"/>
      <c r="H544" s="224"/>
      <c r="I544" s="224"/>
      <c r="J544" s="224"/>
      <c r="K544" s="224"/>
    </row>
    <row r="545" spans="4:11">
      <c r="D545" s="224"/>
      <c r="E545" s="224"/>
      <c r="F545" s="224"/>
      <c r="G545" s="224"/>
      <c r="H545" s="224"/>
      <c r="I545" s="224"/>
      <c r="J545" s="224"/>
      <c r="K545" s="224"/>
    </row>
    <row r="546" spans="4:11">
      <c r="D546" s="224"/>
      <c r="E546" s="224"/>
      <c r="F546" s="224"/>
      <c r="G546" s="224"/>
      <c r="H546" s="224"/>
      <c r="I546" s="224"/>
      <c r="J546" s="224"/>
      <c r="K546" s="224"/>
    </row>
    <row r="547" spans="4:11">
      <c r="D547" s="224"/>
      <c r="E547" s="224"/>
      <c r="F547" s="224"/>
      <c r="G547" s="224"/>
      <c r="H547" s="224"/>
      <c r="I547" s="224"/>
      <c r="J547" s="224"/>
      <c r="K547" s="224"/>
    </row>
    <row r="548" spans="4:11">
      <c r="D548" s="224"/>
      <c r="E548" s="224"/>
      <c r="F548" s="224"/>
      <c r="G548" s="224"/>
      <c r="H548" s="224"/>
      <c r="I548" s="224"/>
      <c r="J548" s="224"/>
      <c r="K548" s="224"/>
    </row>
    <row r="549" spans="4:11">
      <c r="D549" s="224"/>
      <c r="E549" s="224"/>
      <c r="F549" s="224"/>
      <c r="G549" s="224"/>
      <c r="H549" s="224"/>
      <c r="I549" s="224"/>
      <c r="J549" s="224"/>
      <c r="K549" s="224"/>
    </row>
    <row r="550" spans="4:11">
      <c r="D550" s="224"/>
      <c r="E550" s="224"/>
      <c r="F550" s="224"/>
      <c r="G550" s="224"/>
      <c r="H550" s="224"/>
      <c r="I550" s="224"/>
      <c r="J550" s="224"/>
      <c r="K550" s="224"/>
    </row>
    <row r="551" spans="4:11">
      <c r="D551" s="224"/>
      <c r="E551" s="224"/>
      <c r="F551" s="224"/>
      <c r="G551" s="224"/>
      <c r="H551" s="224"/>
      <c r="I551" s="224"/>
      <c r="J551" s="224"/>
      <c r="K551" s="224"/>
    </row>
    <row r="552" spans="4:11">
      <c r="D552" s="224"/>
      <c r="E552" s="224"/>
      <c r="F552" s="224"/>
      <c r="G552" s="224"/>
      <c r="H552" s="224"/>
      <c r="I552" s="224"/>
      <c r="J552" s="224"/>
      <c r="K552" s="224"/>
    </row>
    <row r="553" spans="4:11">
      <c r="D553" s="224"/>
      <c r="E553" s="224"/>
      <c r="F553" s="224"/>
      <c r="G553" s="224"/>
      <c r="H553" s="224"/>
      <c r="I553" s="224"/>
      <c r="J553" s="224"/>
      <c r="K553" s="224"/>
    </row>
    <row r="554" spans="4:11">
      <c r="D554" s="224"/>
      <c r="E554" s="224"/>
      <c r="F554" s="224"/>
      <c r="G554" s="224"/>
      <c r="H554" s="224"/>
      <c r="I554" s="224"/>
      <c r="J554" s="224"/>
      <c r="K554" s="224"/>
    </row>
    <row r="555" spans="4:11">
      <c r="D555" s="224"/>
      <c r="E555" s="224"/>
      <c r="F555" s="224"/>
      <c r="G555" s="224"/>
      <c r="H555" s="224"/>
      <c r="I555" s="224"/>
      <c r="J555" s="224"/>
      <c r="K555" s="224"/>
    </row>
    <row r="556" spans="4:11">
      <c r="D556" s="224"/>
      <c r="E556" s="224"/>
      <c r="F556" s="224"/>
      <c r="G556" s="224"/>
      <c r="H556" s="224"/>
      <c r="I556" s="224"/>
      <c r="J556" s="224"/>
      <c r="K556" s="224"/>
    </row>
    <row r="557" spans="4:11">
      <c r="D557" s="224"/>
      <c r="E557" s="224"/>
      <c r="F557" s="224"/>
      <c r="G557" s="224"/>
      <c r="H557" s="224"/>
      <c r="I557" s="224"/>
      <c r="J557" s="224"/>
      <c r="K557" s="224"/>
    </row>
    <row r="558" spans="4:11">
      <c r="D558" s="224"/>
      <c r="E558" s="224"/>
      <c r="F558" s="224"/>
      <c r="G558" s="224"/>
      <c r="H558" s="224"/>
      <c r="I558" s="224"/>
      <c r="J558" s="224"/>
      <c r="K558" s="224"/>
    </row>
    <row r="559" spans="4:11">
      <c r="D559" s="224"/>
      <c r="E559" s="224"/>
      <c r="F559" s="224"/>
      <c r="G559" s="224"/>
      <c r="H559" s="224"/>
      <c r="I559" s="224"/>
      <c r="J559" s="224"/>
      <c r="K559" s="224"/>
    </row>
    <row r="560" spans="4:11">
      <c r="D560" s="224"/>
      <c r="E560" s="224"/>
      <c r="F560" s="224"/>
      <c r="G560" s="224"/>
      <c r="H560" s="224"/>
      <c r="I560" s="224"/>
      <c r="J560" s="224"/>
      <c r="K560" s="224"/>
    </row>
    <row r="561" spans="4:11">
      <c r="D561" s="224"/>
      <c r="E561" s="224"/>
      <c r="F561" s="224"/>
      <c r="G561" s="224"/>
      <c r="H561" s="224"/>
      <c r="I561" s="224"/>
      <c r="J561" s="224"/>
      <c r="K561" s="224"/>
    </row>
    <row r="562" spans="4:11">
      <c r="D562" s="224"/>
      <c r="E562" s="224"/>
      <c r="F562" s="224"/>
      <c r="G562" s="224"/>
      <c r="H562" s="224"/>
      <c r="I562" s="224"/>
      <c r="J562" s="224"/>
      <c r="K562" s="224"/>
    </row>
    <row r="563" spans="4:11">
      <c r="D563" s="224"/>
      <c r="E563" s="224"/>
      <c r="F563" s="224"/>
      <c r="G563" s="224"/>
      <c r="H563" s="224"/>
      <c r="I563" s="224"/>
      <c r="J563" s="224"/>
      <c r="K563" s="224"/>
    </row>
    <row r="564" spans="4:11">
      <c r="D564" s="224"/>
      <c r="E564" s="224"/>
      <c r="F564" s="224"/>
      <c r="G564" s="224"/>
      <c r="H564" s="224"/>
      <c r="I564" s="224"/>
      <c r="J564" s="224"/>
      <c r="K564" s="224"/>
    </row>
    <row r="565" spans="4:11">
      <c r="D565" s="224"/>
      <c r="E565" s="224"/>
      <c r="F565" s="224"/>
      <c r="G565" s="224"/>
      <c r="H565" s="224"/>
      <c r="I565" s="224"/>
      <c r="J565" s="224"/>
      <c r="K565" s="224"/>
    </row>
    <row r="566" spans="4:11">
      <c r="D566" s="224"/>
      <c r="E566" s="224"/>
      <c r="F566" s="224"/>
      <c r="G566" s="224"/>
      <c r="H566" s="224"/>
      <c r="I566" s="224"/>
      <c r="J566" s="224"/>
      <c r="K566" s="224"/>
    </row>
    <row r="567" spans="4:11">
      <c r="D567" s="224"/>
      <c r="E567" s="224"/>
      <c r="F567" s="224"/>
      <c r="G567" s="224"/>
      <c r="H567" s="224"/>
      <c r="I567" s="224"/>
      <c r="J567" s="224"/>
      <c r="K567" s="224"/>
    </row>
    <row r="568" spans="4:11">
      <c r="D568" s="224"/>
      <c r="E568" s="224"/>
      <c r="F568" s="224"/>
      <c r="G568" s="224"/>
      <c r="H568" s="224"/>
      <c r="I568" s="224"/>
      <c r="J568" s="224"/>
      <c r="K568" s="224"/>
    </row>
    <row r="569" spans="4:11">
      <c r="D569" s="224"/>
      <c r="E569" s="224"/>
      <c r="F569" s="224"/>
      <c r="G569" s="224"/>
      <c r="H569" s="224"/>
      <c r="I569" s="224"/>
      <c r="J569" s="224"/>
      <c r="K569" s="224"/>
    </row>
    <row r="570" spans="4:11">
      <c r="D570" s="224"/>
      <c r="E570" s="224"/>
      <c r="F570" s="224"/>
      <c r="G570" s="224"/>
      <c r="H570" s="224"/>
      <c r="I570" s="224"/>
      <c r="J570" s="224"/>
      <c r="K570" s="224"/>
    </row>
    <row r="571" spans="4:11">
      <c r="D571" s="224"/>
      <c r="E571" s="224"/>
      <c r="F571" s="224"/>
      <c r="G571" s="224"/>
      <c r="H571" s="224"/>
      <c r="I571" s="224"/>
      <c r="J571" s="224"/>
      <c r="K571" s="224"/>
    </row>
    <row r="572" spans="4:11">
      <c r="D572" s="224"/>
      <c r="E572" s="224"/>
      <c r="F572" s="224"/>
      <c r="G572" s="224"/>
      <c r="H572" s="224"/>
      <c r="I572" s="224"/>
      <c r="J572" s="224"/>
      <c r="K572" s="224"/>
    </row>
    <row r="573" spans="4:11">
      <c r="D573" s="224"/>
      <c r="E573" s="224"/>
      <c r="F573" s="224"/>
      <c r="G573" s="224"/>
      <c r="H573" s="224"/>
      <c r="I573" s="224"/>
      <c r="J573" s="224"/>
      <c r="K573" s="224"/>
    </row>
    <row r="574" spans="4:11">
      <c r="D574" s="224"/>
      <c r="E574" s="224"/>
      <c r="F574" s="224"/>
      <c r="G574" s="224"/>
      <c r="H574" s="224"/>
      <c r="I574" s="224"/>
      <c r="J574" s="224"/>
      <c r="K574" s="224"/>
    </row>
    <row r="575" spans="4:11">
      <c r="D575" s="224"/>
      <c r="E575" s="224"/>
      <c r="F575" s="224"/>
      <c r="G575" s="224"/>
      <c r="H575" s="224"/>
      <c r="I575" s="224"/>
      <c r="J575" s="224"/>
      <c r="K575" s="224"/>
    </row>
    <row r="576" spans="4:11">
      <c r="D576" s="224"/>
      <c r="E576" s="224"/>
      <c r="F576" s="224"/>
      <c r="G576" s="224"/>
      <c r="H576" s="224"/>
      <c r="I576" s="224"/>
      <c r="J576" s="224"/>
      <c r="K576" s="224"/>
    </row>
    <row r="577" spans="4:11">
      <c r="D577" s="224"/>
      <c r="E577" s="224"/>
      <c r="F577" s="224"/>
      <c r="G577" s="224"/>
      <c r="H577" s="224"/>
      <c r="I577" s="224"/>
      <c r="J577" s="224"/>
      <c r="K577" s="224"/>
    </row>
    <row r="578" spans="4:11">
      <c r="D578" s="224"/>
      <c r="E578" s="224"/>
      <c r="F578" s="224"/>
      <c r="G578" s="224"/>
      <c r="H578" s="224"/>
      <c r="I578" s="224"/>
      <c r="J578" s="224"/>
      <c r="K578" s="224"/>
    </row>
    <row r="579" spans="4:11">
      <c r="D579" s="224"/>
      <c r="E579" s="224"/>
      <c r="F579" s="224"/>
      <c r="G579" s="224"/>
      <c r="H579" s="224"/>
      <c r="I579" s="224"/>
      <c r="J579" s="224"/>
      <c r="K579" s="224"/>
    </row>
    <row r="580" spans="4:11">
      <c r="D580" s="224"/>
      <c r="E580" s="224"/>
      <c r="F580" s="224"/>
      <c r="G580" s="224"/>
      <c r="H580" s="224"/>
      <c r="I580" s="224"/>
      <c r="J580" s="224"/>
      <c r="K580" s="224"/>
    </row>
    <row r="581" spans="4:11">
      <c r="D581" s="224"/>
      <c r="E581" s="224"/>
      <c r="F581" s="224"/>
      <c r="G581" s="224"/>
      <c r="H581" s="224"/>
      <c r="I581" s="224"/>
      <c r="J581" s="224"/>
      <c r="K581" s="224"/>
    </row>
    <row r="582" spans="4:11">
      <c r="D582" s="224"/>
      <c r="E582" s="224"/>
      <c r="F582" s="224"/>
      <c r="G582" s="224"/>
      <c r="H582" s="224"/>
      <c r="I582" s="224"/>
      <c r="J582" s="224"/>
      <c r="K582" s="224"/>
    </row>
    <row r="583" spans="4:11">
      <c r="D583" s="224"/>
      <c r="E583" s="224"/>
      <c r="F583" s="224"/>
      <c r="G583" s="224"/>
      <c r="H583" s="224"/>
      <c r="I583" s="224"/>
      <c r="J583" s="224"/>
      <c r="K583" s="224"/>
    </row>
    <row r="584" spans="4:11">
      <c r="D584" s="224"/>
      <c r="E584" s="224"/>
      <c r="F584" s="224"/>
      <c r="G584" s="224"/>
      <c r="H584" s="224"/>
      <c r="I584" s="224"/>
      <c r="J584" s="224"/>
      <c r="K584" s="224"/>
    </row>
    <row r="585" spans="4:11">
      <c r="D585" s="224"/>
      <c r="E585" s="224"/>
      <c r="F585" s="224"/>
      <c r="G585" s="224"/>
      <c r="H585" s="224"/>
      <c r="I585" s="224"/>
      <c r="J585" s="224"/>
      <c r="K585" s="224"/>
    </row>
    <row r="586" spans="4:11">
      <c r="D586" s="224"/>
      <c r="E586" s="224"/>
      <c r="F586" s="224"/>
      <c r="G586" s="224"/>
      <c r="H586" s="224"/>
      <c r="I586" s="224"/>
      <c r="J586" s="224"/>
      <c r="K586" s="224"/>
    </row>
    <row r="587" spans="4:11">
      <c r="D587" s="224"/>
      <c r="E587" s="224"/>
      <c r="F587" s="224"/>
      <c r="G587" s="224"/>
      <c r="H587" s="224"/>
      <c r="I587" s="224"/>
      <c r="J587" s="224"/>
      <c r="K587" s="224"/>
    </row>
    <row r="588" spans="4:11">
      <c r="D588" s="224"/>
      <c r="E588" s="224"/>
      <c r="F588" s="224"/>
      <c r="G588" s="224"/>
      <c r="H588" s="224"/>
      <c r="I588" s="224"/>
      <c r="J588" s="224"/>
      <c r="K588" s="224"/>
    </row>
    <row r="589" spans="4:11">
      <c r="D589" s="224"/>
      <c r="E589" s="224"/>
      <c r="F589" s="224"/>
      <c r="G589" s="224"/>
      <c r="H589" s="224"/>
      <c r="I589" s="224"/>
      <c r="J589" s="224"/>
      <c r="K589" s="224"/>
    </row>
    <row r="590" spans="4:11">
      <c r="D590" s="224"/>
      <c r="E590" s="224"/>
      <c r="F590" s="224"/>
      <c r="G590" s="224"/>
      <c r="H590" s="224"/>
      <c r="I590" s="224"/>
      <c r="J590" s="224"/>
      <c r="K590" s="224"/>
    </row>
    <row r="591" spans="4:11">
      <c r="D591" s="224"/>
      <c r="E591" s="224"/>
      <c r="F591" s="224"/>
      <c r="G591" s="224"/>
      <c r="H591" s="224"/>
      <c r="I591" s="224"/>
      <c r="J591" s="224"/>
      <c r="K591" s="224"/>
    </row>
    <row r="592" spans="4:11">
      <c r="D592" s="224"/>
      <c r="E592" s="224"/>
      <c r="F592" s="224"/>
      <c r="G592" s="224"/>
      <c r="H592" s="224"/>
      <c r="I592" s="224"/>
      <c r="J592" s="224"/>
      <c r="K592" s="224"/>
    </row>
    <row r="593" spans="4:11">
      <c r="D593" s="224"/>
      <c r="E593" s="224"/>
      <c r="F593" s="224"/>
      <c r="G593" s="224"/>
      <c r="H593" s="224"/>
      <c r="I593" s="224"/>
      <c r="J593" s="224"/>
      <c r="K593" s="224"/>
    </row>
    <row r="594" spans="4:11">
      <c r="D594" s="224"/>
      <c r="E594" s="224"/>
      <c r="F594" s="224"/>
      <c r="G594" s="224"/>
      <c r="H594" s="224"/>
      <c r="I594" s="224"/>
      <c r="J594" s="224"/>
      <c r="K594" s="224"/>
    </row>
    <row r="595" spans="4:11">
      <c r="D595" s="224"/>
      <c r="E595" s="224"/>
      <c r="F595" s="224"/>
      <c r="G595" s="224"/>
      <c r="H595" s="224"/>
      <c r="I595" s="224"/>
      <c r="J595" s="224"/>
      <c r="K595" s="224"/>
    </row>
    <row r="596" spans="4:11">
      <c r="D596" s="224"/>
      <c r="E596" s="224"/>
      <c r="F596" s="224"/>
      <c r="G596" s="224"/>
      <c r="H596" s="224"/>
      <c r="I596" s="224"/>
      <c r="J596" s="224"/>
      <c r="K596" s="224"/>
    </row>
    <row r="597" spans="4:11">
      <c r="D597" s="224"/>
      <c r="E597" s="224"/>
      <c r="F597" s="224"/>
      <c r="G597" s="224"/>
      <c r="H597" s="224"/>
      <c r="I597" s="224"/>
      <c r="J597" s="224"/>
      <c r="K597" s="224"/>
    </row>
    <row r="598" spans="4:11">
      <c r="D598" s="224"/>
      <c r="E598" s="224"/>
      <c r="F598" s="224"/>
      <c r="G598" s="224"/>
      <c r="H598" s="224"/>
      <c r="I598" s="224"/>
      <c r="J598" s="224"/>
      <c r="K598" s="224"/>
    </row>
    <row r="599" spans="4:11">
      <c r="D599" s="224"/>
      <c r="E599" s="224"/>
      <c r="F599" s="224"/>
      <c r="G599" s="224"/>
      <c r="H599" s="224"/>
      <c r="I599" s="224"/>
      <c r="J599" s="224"/>
      <c r="K599" s="224"/>
    </row>
    <row r="600" spans="4:11">
      <c r="D600" s="224"/>
      <c r="E600" s="224"/>
      <c r="F600" s="224"/>
      <c r="G600" s="224"/>
      <c r="H600" s="224"/>
      <c r="I600" s="224"/>
      <c r="J600" s="224"/>
      <c r="K600" s="224"/>
    </row>
    <row r="601" spans="4:11">
      <c r="D601" s="224"/>
      <c r="E601" s="224"/>
      <c r="F601" s="224"/>
      <c r="G601" s="224"/>
      <c r="H601" s="224"/>
      <c r="I601" s="224"/>
      <c r="J601" s="224"/>
      <c r="K601" s="224"/>
    </row>
    <row r="602" spans="4:11">
      <c r="D602" s="224"/>
      <c r="E602" s="224"/>
      <c r="F602" s="224"/>
      <c r="G602" s="224"/>
      <c r="H602" s="224"/>
      <c r="I602" s="224"/>
      <c r="J602" s="224"/>
      <c r="K602" s="224"/>
    </row>
    <row r="603" spans="4:11">
      <c r="D603" s="224"/>
      <c r="E603" s="224"/>
      <c r="F603" s="224"/>
      <c r="G603" s="224"/>
      <c r="H603" s="224"/>
      <c r="I603" s="224"/>
      <c r="J603" s="224"/>
      <c r="K603" s="224"/>
    </row>
    <row r="604" spans="4:11">
      <c r="D604" s="224"/>
      <c r="E604" s="224"/>
      <c r="F604" s="224"/>
      <c r="G604" s="224"/>
      <c r="H604" s="224"/>
      <c r="I604" s="224"/>
      <c r="J604" s="224"/>
      <c r="K604" s="224"/>
    </row>
    <row r="605" spans="4:11">
      <c r="D605" s="224"/>
      <c r="E605" s="224"/>
      <c r="F605" s="224"/>
      <c r="G605" s="224"/>
      <c r="H605" s="224"/>
      <c r="I605" s="224"/>
      <c r="J605" s="224"/>
      <c r="K605" s="224"/>
    </row>
    <row r="606" spans="4:11">
      <c r="D606" s="224"/>
      <c r="E606" s="224"/>
      <c r="F606" s="224"/>
      <c r="G606" s="224"/>
      <c r="H606" s="224"/>
      <c r="I606" s="224"/>
      <c r="J606" s="224"/>
      <c r="K606" s="224"/>
    </row>
    <row r="607" spans="4:11">
      <c r="D607" s="224"/>
      <c r="E607" s="224"/>
      <c r="F607" s="224"/>
      <c r="G607" s="224"/>
      <c r="H607" s="224"/>
      <c r="I607" s="224"/>
      <c r="J607" s="224"/>
      <c r="K607" s="224"/>
    </row>
    <row r="608" spans="4:11">
      <c r="D608" s="224"/>
      <c r="E608" s="224"/>
      <c r="F608" s="224"/>
      <c r="G608" s="224"/>
      <c r="H608" s="224"/>
      <c r="I608" s="224"/>
      <c r="J608" s="224"/>
      <c r="K608" s="224"/>
    </row>
    <row r="609" spans="4:11">
      <c r="D609" s="224"/>
      <c r="E609" s="224"/>
      <c r="F609" s="224"/>
      <c r="G609" s="224"/>
      <c r="H609" s="224"/>
      <c r="I609" s="224"/>
      <c r="J609" s="224"/>
      <c r="K609" s="224"/>
    </row>
    <row r="610" spans="4:11">
      <c r="D610" s="224"/>
      <c r="E610" s="224"/>
      <c r="F610" s="224"/>
      <c r="G610" s="224"/>
      <c r="H610" s="224"/>
      <c r="I610" s="224"/>
      <c r="J610" s="224"/>
      <c r="K610" s="224"/>
    </row>
    <row r="611" spans="4:11">
      <c r="D611" s="224"/>
      <c r="E611" s="224"/>
      <c r="F611" s="224"/>
      <c r="G611" s="224"/>
      <c r="H611" s="224"/>
      <c r="I611" s="224"/>
      <c r="J611" s="224"/>
      <c r="K611" s="224"/>
    </row>
    <row r="612" spans="4:11">
      <c r="D612" s="224"/>
      <c r="E612" s="224"/>
      <c r="F612" s="224"/>
      <c r="G612" s="224"/>
      <c r="H612" s="224"/>
      <c r="I612" s="224"/>
      <c r="J612" s="224"/>
      <c r="K612" s="224"/>
    </row>
    <row r="613" spans="4:11">
      <c r="D613" s="224"/>
      <c r="E613" s="224"/>
      <c r="F613" s="224"/>
      <c r="G613" s="224"/>
      <c r="H613" s="224"/>
      <c r="I613" s="224"/>
      <c r="J613" s="224"/>
      <c r="K613" s="224"/>
    </row>
    <row r="614" spans="4:11">
      <c r="D614" s="224"/>
      <c r="E614" s="224"/>
      <c r="F614" s="224"/>
      <c r="G614" s="224"/>
      <c r="H614" s="224"/>
      <c r="I614" s="224"/>
      <c r="J614" s="224"/>
      <c r="K614" s="224"/>
    </row>
    <row r="615" spans="4:11">
      <c r="D615" s="224"/>
      <c r="E615" s="224"/>
      <c r="F615" s="224"/>
      <c r="G615" s="224"/>
      <c r="H615" s="224"/>
      <c r="I615" s="224"/>
      <c r="J615" s="224"/>
      <c r="K615" s="224"/>
    </row>
    <row r="616" spans="4:11">
      <c r="D616" s="224"/>
      <c r="E616" s="224"/>
      <c r="F616" s="224"/>
      <c r="G616" s="224"/>
      <c r="H616" s="224"/>
      <c r="I616" s="224"/>
      <c r="J616" s="224"/>
      <c r="K616" s="224"/>
    </row>
    <row r="617" spans="4:11">
      <c r="D617" s="224"/>
      <c r="E617" s="224"/>
      <c r="F617" s="224"/>
      <c r="G617" s="224"/>
      <c r="H617" s="224"/>
      <c r="I617" s="224"/>
      <c r="J617" s="224"/>
      <c r="K617" s="224"/>
    </row>
    <row r="618" spans="4:11">
      <c r="D618" s="224"/>
      <c r="E618" s="224"/>
      <c r="F618" s="224"/>
      <c r="G618" s="224"/>
      <c r="H618" s="224"/>
      <c r="I618" s="224"/>
      <c r="J618" s="224"/>
      <c r="K618" s="224"/>
    </row>
    <row r="619" spans="4:11">
      <c r="D619" s="224"/>
      <c r="E619" s="224"/>
      <c r="F619" s="224"/>
      <c r="G619" s="224"/>
      <c r="H619" s="224"/>
      <c r="I619" s="224"/>
      <c r="J619" s="224"/>
      <c r="K619" s="224"/>
    </row>
    <row r="620" spans="4:11">
      <c r="D620" s="224"/>
      <c r="E620" s="224"/>
      <c r="F620" s="224"/>
      <c r="G620" s="224"/>
      <c r="H620" s="224"/>
      <c r="I620" s="224"/>
      <c r="J620" s="224"/>
      <c r="K620" s="224"/>
    </row>
    <row r="621" spans="4:11">
      <c r="D621" s="224"/>
      <c r="E621" s="224"/>
      <c r="F621" s="224"/>
      <c r="G621" s="224"/>
      <c r="H621" s="224"/>
      <c r="I621" s="224"/>
      <c r="J621" s="224"/>
      <c r="K621" s="224"/>
    </row>
    <row r="622" spans="4:11">
      <c r="D622" s="224"/>
      <c r="E622" s="224"/>
      <c r="F622" s="224"/>
      <c r="G622" s="224"/>
      <c r="H622" s="224"/>
      <c r="I622" s="224"/>
      <c r="J622" s="224"/>
      <c r="K622" s="224"/>
    </row>
    <row r="623" spans="4:11">
      <c r="D623" s="224"/>
      <c r="E623" s="224"/>
      <c r="F623" s="224"/>
      <c r="G623" s="224"/>
      <c r="H623" s="224"/>
      <c r="I623" s="224"/>
      <c r="J623" s="224"/>
      <c r="K623" s="224"/>
    </row>
    <row r="624" spans="4:11">
      <c r="D624" s="224"/>
      <c r="E624" s="224"/>
      <c r="F624" s="224"/>
      <c r="G624" s="224"/>
      <c r="H624" s="224"/>
      <c r="I624" s="224"/>
      <c r="J624" s="224"/>
      <c r="K624" s="224"/>
    </row>
    <row r="625" spans="4:11">
      <c r="D625" s="224"/>
      <c r="E625" s="224"/>
      <c r="F625" s="224"/>
      <c r="G625" s="224"/>
      <c r="H625" s="224"/>
      <c r="I625" s="224"/>
      <c r="J625" s="224"/>
      <c r="K625" s="224"/>
    </row>
    <row r="626" spans="4:11">
      <c r="D626" s="224"/>
      <c r="E626" s="224"/>
      <c r="F626" s="224"/>
      <c r="G626" s="224"/>
      <c r="H626" s="224"/>
      <c r="I626" s="224"/>
      <c r="J626" s="224"/>
      <c r="K626" s="224"/>
    </row>
    <row r="627" spans="4:11">
      <c r="D627" s="224"/>
      <c r="E627" s="224"/>
      <c r="F627" s="224"/>
      <c r="G627" s="224"/>
      <c r="H627" s="224"/>
      <c r="I627" s="224"/>
      <c r="J627" s="224"/>
      <c r="K627" s="224"/>
    </row>
    <row r="628" spans="4:11">
      <c r="D628" s="224"/>
      <c r="E628" s="224"/>
      <c r="F628" s="224"/>
      <c r="G628" s="224"/>
      <c r="H628" s="224"/>
      <c r="I628" s="224"/>
      <c r="J628" s="224"/>
      <c r="K628" s="224"/>
    </row>
    <row r="629" spans="4:11">
      <c r="D629" s="224"/>
      <c r="E629" s="224"/>
      <c r="F629" s="224"/>
      <c r="G629" s="224"/>
      <c r="H629" s="224"/>
      <c r="I629" s="224"/>
      <c r="J629" s="224"/>
      <c r="K629" s="224"/>
    </row>
    <row r="630" spans="4:11">
      <c r="D630" s="224"/>
      <c r="E630" s="224"/>
      <c r="F630" s="224"/>
      <c r="G630" s="224"/>
      <c r="H630" s="224"/>
      <c r="I630" s="224"/>
      <c r="J630" s="224"/>
      <c r="K630" s="224"/>
    </row>
    <row r="631" spans="4:11">
      <c r="D631" s="224"/>
      <c r="E631" s="224"/>
      <c r="F631" s="224"/>
      <c r="G631" s="224"/>
      <c r="H631" s="224"/>
      <c r="I631" s="224"/>
      <c r="J631" s="224"/>
      <c r="K631" s="224"/>
    </row>
    <row r="632" spans="4:11">
      <c r="D632" s="224"/>
      <c r="E632" s="224"/>
      <c r="F632" s="224"/>
      <c r="G632" s="224"/>
      <c r="H632" s="224"/>
      <c r="I632" s="224"/>
      <c r="J632" s="224"/>
      <c r="K632" s="224"/>
    </row>
    <row r="633" spans="4:11">
      <c r="D633" s="224"/>
      <c r="E633" s="224"/>
      <c r="F633" s="224"/>
      <c r="G633" s="224"/>
      <c r="H633" s="224"/>
      <c r="I633" s="224"/>
      <c r="J633" s="224"/>
      <c r="K633" s="224"/>
    </row>
    <row r="634" spans="4:11">
      <c r="D634" s="224"/>
      <c r="E634" s="224"/>
      <c r="F634" s="224"/>
      <c r="G634" s="224"/>
      <c r="H634" s="224"/>
      <c r="I634" s="224"/>
      <c r="J634" s="224"/>
      <c r="K634" s="224"/>
    </row>
    <row r="635" spans="4:11">
      <c r="D635" s="224"/>
      <c r="E635" s="224"/>
      <c r="F635" s="224"/>
      <c r="G635" s="224"/>
      <c r="H635" s="224"/>
      <c r="I635" s="224"/>
      <c r="J635" s="224"/>
      <c r="K635" s="224"/>
    </row>
    <row r="636" spans="4:11">
      <c r="D636" s="224"/>
      <c r="E636" s="224"/>
      <c r="F636" s="224"/>
      <c r="G636" s="224"/>
      <c r="H636" s="224"/>
      <c r="I636" s="224"/>
      <c r="J636" s="224"/>
      <c r="K636" s="224"/>
    </row>
    <row r="637" spans="4:11">
      <c r="D637" s="224"/>
      <c r="E637" s="224"/>
      <c r="F637" s="224"/>
      <c r="G637" s="224"/>
      <c r="H637" s="224"/>
      <c r="I637" s="224"/>
      <c r="J637" s="224"/>
      <c r="K637" s="224"/>
    </row>
    <row r="638" spans="4:11">
      <c r="D638" s="224"/>
      <c r="E638" s="224"/>
      <c r="F638" s="224"/>
      <c r="G638" s="224"/>
      <c r="H638" s="224"/>
      <c r="I638" s="224"/>
      <c r="J638" s="224"/>
      <c r="K638" s="224"/>
    </row>
    <row r="639" spans="4:11">
      <c r="D639" s="224"/>
      <c r="E639" s="224"/>
      <c r="F639" s="224"/>
      <c r="G639" s="224"/>
      <c r="H639" s="224"/>
      <c r="I639" s="224"/>
      <c r="J639" s="224"/>
      <c r="K639" s="224"/>
    </row>
    <row r="640" spans="4:11">
      <c r="D640" s="224"/>
      <c r="E640" s="224"/>
      <c r="F640" s="224"/>
      <c r="G640" s="224"/>
      <c r="H640" s="224"/>
      <c r="I640" s="224"/>
      <c r="J640" s="224"/>
      <c r="K640" s="224"/>
    </row>
    <row r="641" spans="4:11">
      <c r="D641" s="224"/>
      <c r="E641" s="224"/>
      <c r="F641" s="224"/>
      <c r="G641" s="224"/>
      <c r="H641" s="224"/>
      <c r="I641" s="224"/>
      <c r="J641" s="224"/>
      <c r="K641" s="224"/>
    </row>
    <row r="642" spans="4:11">
      <c r="D642" s="224"/>
      <c r="E642" s="224"/>
      <c r="F642" s="224"/>
      <c r="G642" s="224"/>
      <c r="H642" s="224"/>
      <c r="I642" s="224"/>
      <c r="J642" s="224"/>
      <c r="K642" s="224"/>
    </row>
    <row r="643" spans="4:11">
      <c r="D643" s="224"/>
      <c r="E643" s="224"/>
      <c r="F643" s="224"/>
      <c r="G643" s="224"/>
      <c r="H643" s="224"/>
      <c r="I643" s="224"/>
      <c r="J643" s="224"/>
      <c r="K643" s="224"/>
    </row>
    <row r="644" spans="4:11">
      <c r="D644" s="224"/>
      <c r="E644" s="224"/>
      <c r="F644" s="224"/>
      <c r="G644" s="224"/>
      <c r="H644" s="224"/>
      <c r="I644" s="224"/>
      <c r="J644" s="224"/>
      <c r="K644" s="224"/>
    </row>
    <row r="645" spans="4:11">
      <c r="D645" s="224"/>
      <c r="E645" s="224"/>
      <c r="F645" s="224"/>
      <c r="G645" s="224"/>
      <c r="H645" s="224"/>
      <c r="I645" s="224"/>
      <c r="J645" s="224"/>
      <c r="K645" s="224"/>
    </row>
    <row r="646" spans="4:11">
      <c r="D646" s="224"/>
      <c r="E646" s="224"/>
      <c r="F646" s="224"/>
      <c r="G646" s="224"/>
      <c r="H646" s="224"/>
      <c r="I646" s="224"/>
      <c r="J646" s="224"/>
      <c r="K646" s="224"/>
    </row>
    <row r="647" spans="4:11">
      <c r="D647" s="224"/>
      <c r="E647" s="224"/>
      <c r="F647" s="224"/>
      <c r="G647" s="224"/>
      <c r="H647" s="224"/>
      <c r="I647" s="224"/>
      <c r="J647" s="224"/>
      <c r="K647" s="224"/>
    </row>
    <row r="648" spans="4:11">
      <c r="D648" s="224"/>
      <c r="E648" s="224"/>
      <c r="F648" s="224"/>
      <c r="G648" s="224"/>
      <c r="H648" s="224"/>
      <c r="I648" s="224"/>
      <c r="J648" s="224"/>
      <c r="K648" s="224"/>
    </row>
    <row r="649" spans="4:11">
      <c r="D649" s="224"/>
      <c r="E649" s="224"/>
      <c r="F649" s="224"/>
      <c r="G649" s="224"/>
      <c r="H649" s="224"/>
      <c r="I649" s="224"/>
      <c r="J649" s="224"/>
      <c r="K649" s="224"/>
    </row>
    <row r="650" spans="4:11">
      <c r="D650" s="224"/>
      <c r="E650" s="224"/>
      <c r="F650" s="224"/>
      <c r="G650" s="224"/>
      <c r="H650" s="224"/>
      <c r="I650" s="224"/>
      <c r="J650" s="224"/>
      <c r="K650" s="224"/>
    </row>
    <row r="651" spans="4:11">
      <c r="D651" s="224"/>
      <c r="E651" s="224"/>
      <c r="F651" s="224"/>
      <c r="G651" s="224"/>
      <c r="H651" s="224"/>
      <c r="I651" s="224"/>
      <c r="J651" s="224"/>
      <c r="K651" s="224"/>
    </row>
    <row r="652" spans="4:11">
      <c r="D652" s="224"/>
      <c r="E652" s="224"/>
      <c r="F652" s="224"/>
      <c r="G652" s="224"/>
      <c r="H652" s="224"/>
      <c r="I652" s="224"/>
      <c r="J652" s="224"/>
      <c r="K652" s="224"/>
    </row>
    <row r="653" spans="4:11">
      <c r="D653" s="224"/>
      <c r="E653" s="224"/>
      <c r="F653" s="224"/>
      <c r="G653" s="224"/>
      <c r="H653" s="224"/>
      <c r="I653" s="224"/>
      <c r="J653" s="224"/>
      <c r="K653" s="224"/>
    </row>
    <row r="654" spans="4:11">
      <c r="D654" s="224"/>
      <c r="E654" s="224"/>
      <c r="F654" s="224"/>
      <c r="G654" s="224"/>
      <c r="H654" s="224"/>
      <c r="I654" s="224"/>
      <c r="J654" s="224"/>
      <c r="K654" s="224"/>
    </row>
    <row r="655" spans="4:11">
      <c r="D655" s="224"/>
      <c r="E655" s="224"/>
      <c r="F655" s="224"/>
      <c r="G655" s="224"/>
      <c r="H655" s="224"/>
      <c r="I655" s="224"/>
      <c r="J655" s="224"/>
      <c r="K655" s="224"/>
    </row>
    <row r="656" spans="4:11">
      <c r="D656" s="224"/>
      <c r="E656" s="224"/>
      <c r="F656" s="224"/>
      <c r="G656" s="224"/>
      <c r="H656" s="224"/>
      <c r="I656" s="224"/>
      <c r="J656" s="224"/>
      <c r="K656" s="224"/>
    </row>
    <row r="657" spans="4:11">
      <c r="D657" s="224"/>
      <c r="E657" s="224"/>
      <c r="F657" s="224"/>
      <c r="G657" s="224"/>
      <c r="H657" s="224"/>
      <c r="I657" s="224"/>
      <c r="J657" s="224"/>
      <c r="K657" s="224"/>
    </row>
    <row r="658" spans="4:11">
      <c r="D658" s="224"/>
      <c r="E658" s="224"/>
      <c r="F658" s="224"/>
      <c r="G658" s="224"/>
      <c r="H658" s="224"/>
      <c r="I658" s="224"/>
      <c r="J658" s="224"/>
      <c r="K658" s="224"/>
    </row>
    <row r="659" spans="4:11">
      <c r="D659" s="224"/>
      <c r="E659" s="224"/>
      <c r="F659" s="224"/>
      <c r="G659" s="224"/>
      <c r="H659" s="224"/>
      <c r="I659" s="224"/>
      <c r="J659" s="224"/>
      <c r="K659" s="224"/>
    </row>
    <row r="660" spans="4:11">
      <c r="D660" s="224"/>
      <c r="E660" s="224"/>
      <c r="F660" s="224"/>
      <c r="G660" s="224"/>
      <c r="H660" s="224"/>
      <c r="I660" s="224"/>
      <c r="J660" s="224"/>
      <c r="K660" s="224"/>
    </row>
    <row r="661" spans="4:11">
      <c r="D661" s="224"/>
      <c r="E661" s="224"/>
      <c r="F661" s="224"/>
      <c r="G661" s="224"/>
      <c r="H661" s="224"/>
      <c r="I661" s="224"/>
      <c r="J661" s="224"/>
      <c r="K661" s="224"/>
    </row>
    <row r="662" spans="4:11">
      <c r="D662" s="224"/>
      <c r="E662" s="224"/>
      <c r="F662" s="224"/>
      <c r="G662" s="224"/>
      <c r="H662" s="224"/>
      <c r="I662" s="224"/>
      <c r="J662" s="224"/>
      <c r="K662" s="224"/>
    </row>
    <row r="663" spans="4:11">
      <c r="D663" s="224"/>
      <c r="E663" s="224"/>
      <c r="F663" s="224"/>
      <c r="G663" s="224"/>
      <c r="H663" s="224"/>
      <c r="I663" s="224"/>
      <c r="J663" s="224"/>
      <c r="K663" s="224"/>
    </row>
    <row r="664" spans="4:11">
      <c r="D664" s="224"/>
      <c r="E664" s="224"/>
      <c r="F664" s="224"/>
      <c r="G664" s="224"/>
      <c r="H664" s="224"/>
      <c r="I664" s="224"/>
      <c r="J664" s="224"/>
      <c r="K664" s="224"/>
    </row>
    <row r="665" spans="4:11">
      <c r="D665" s="224"/>
      <c r="E665" s="224"/>
      <c r="F665" s="224"/>
      <c r="G665" s="224"/>
      <c r="H665" s="224"/>
      <c r="I665" s="224"/>
      <c r="J665" s="224"/>
      <c r="K665" s="224"/>
    </row>
    <row r="666" spans="4:11">
      <c r="D666" s="224"/>
      <c r="E666" s="224"/>
      <c r="F666" s="224"/>
      <c r="G666" s="224"/>
      <c r="H666" s="224"/>
      <c r="I666" s="224"/>
      <c r="J666" s="224"/>
      <c r="K666" s="224"/>
    </row>
    <row r="667" spans="4:11">
      <c r="D667" s="224"/>
      <c r="E667" s="224"/>
      <c r="F667" s="224"/>
      <c r="G667" s="224"/>
      <c r="H667" s="224"/>
      <c r="I667" s="224"/>
      <c r="J667" s="224"/>
      <c r="K667" s="224"/>
    </row>
    <row r="668" spans="4:11">
      <c r="D668" s="224"/>
      <c r="E668" s="224"/>
      <c r="F668" s="224"/>
      <c r="G668" s="224"/>
      <c r="H668" s="224"/>
      <c r="I668" s="224"/>
      <c r="J668" s="224"/>
      <c r="K668" s="224"/>
    </row>
    <row r="669" spans="4:11">
      <c r="D669" s="224"/>
      <c r="E669" s="224"/>
      <c r="F669" s="224"/>
      <c r="G669" s="224"/>
      <c r="H669" s="224"/>
      <c r="I669" s="224"/>
      <c r="J669" s="224"/>
      <c r="K669" s="224"/>
    </row>
    <row r="670" spans="4:11">
      <c r="D670" s="224"/>
      <c r="E670" s="224"/>
      <c r="F670" s="224"/>
      <c r="G670" s="224"/>
      <c r="H670" s="224"/>
      <c r="I670" s="224"/>
      <c r="J670" s="224"/>
      <c r="K670" s="224"/>
    </row>
    <row r="671" spans="4:11">
      <c r="D671" s="224"/>
      <c r="E671" s="224"/>
      <c r="F671" s="224"/>
      <c r="G671" s="224"/>
      <c r="H671" s="224"/>
      <c r="I671" s="224"/>
      <c r="J671" s="224"/>
      <c r="K671" s="224"/>
    </row>
    <row r="672" spans="4:11">
      <c r="D672" s="224"/>
      <c r="E672" s="224"/>
      <c r="F672" s="224"/>
      <c r="G672" s="224"/>
      <c r="H672" s="224"/>
      <c r="I672" s="224"/>
      <c r="J672" s="224"/>
      <c r="K672" s="224"/>
    </row>
    <row r="673" spans="4:11">
      <c r="D673" s="224"/>
      <c r="E673" s="224"/>
      <c r="F673" s="224"/>
      <c r="G673" s="224"/>
      <c r="H673" s="224"/>
      <c r="I673" s="224"/>
      <c r="J673" s="224"/>
      <c r="K673" s="224"/>
    </row>
    <row r="674" spans="4:11">
      <c r="D674" s="224"/>
      <c r="E674" s="224"/>
      <c r="F674" s="224"/>
      <c r="G674" s="224"/>
      <c r="H674" s="224"/>
      <c r="I674" s="224"/>
      <c r="J674" s="224"/>
      <c r="K674" s="224"/>
    </row>
    <row r="675" spans="4:11">
      <c r="D675" s="224"/>
      <c r="E675" s="224"/>
      <c r="F675" s="224"/>
      <c r="G675" s="224"/>
      <c r="H675" s="224"/>
      <c r="I675" s="224"/>
      <c r="J675" s="224"/>
      <c r="K675" s="224"/>
    </row>
    <row r="676" spans="4:11">
      <c r="D676" s="224"/>
      <c r="E676" s="224"/>
      <c r="F676" s="224"/>
      <c r="G676" s="224"/>
      <c r="H676" s="224"/>
      <c r="I676" s="224"/>
      <c r="J676" s="224"/>
      <c r="K676" s="224"/>
    </row>
  </sheetData>
  <mergeCells count="1">
    <mergeCell ref="A33:E33"/>
  </mergeCells>
  <phoneticPr fontId="17" type="noConversion"/>
  <pageMargins left="0.98475000000000001" right="0.98475000000000001" top="0.98470000000000002" bottom="0.98470000000000002" header="0.51129999999999998" footer="0.5"/>
  <pageSetup paperSize="9" firstPageNumber="44" orientation="portrait" useFirstPageNumber="1" r:id="rId1"/>
  <headerFooter alignWithMargins="0">
    <oddHeader>&amp;R&amp;"Frutiger 45 Light,Normal"&amp;26DRAFT</oddHead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66bd7cac-da38-4f8f-bbe7-a70ababb49c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3B3AEBD41507B47BD1403C10BB132A3" ma:contentTypeVersion="15" ma:contentTypeDescription="Create a new document." ma:contentTypeScope="" ma:versionID="a6ad6fdc99b9c6f3b05621a653154d9d">
  <xsd:schema xmlns:xsd="http://www.w3.org/2001/XMLSchema" xmlns:xs="http://www.w3.org/2001/XMLSchema" xmlns:p="http://schemas.microsoft.com/office/2006/metadata/properties" xmlns:ns3="66bd7cac-da38-4f8f-bbe7-a70ababb49cf" xmlns:ns4="cf9a5921-a5f7-4756-bfab-8a2ba37aef27" targetNamespace="http://schemas.microsoft.com/office/2006/metadata/properties" ma:root="true" ma:fieldsID="e98a8c770392175f09e722ad8c21de82" ns3:_="" ns4:_="">
    <xsd:import namespace="66bd7cac-da38-4f8f-bbe7-a70ababb49cf"/>
    <xsd:import namespace="cf9a5921-a5f7-4756-bfab-8a2ba37aef2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_activity" minOccurs="0"/>
                <xsd:element ref="ns4:SharedWithUsers" minOccurs="0"/>
                <xsd:element ref="ns4:SharedWithDetails" minOccurs="0"/>
                <xsd:element ref="ns4:SharingHintHash"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bd7cac-da38-4f8f-bbe7-a70ababb49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_activity" ma:index="16"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f9a5921-a5f7-4756-bfab-8a2ba37aef2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6AD370-53F0-4A62-9823-9EC4FF8581A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f9a5921-a5f7-4756-bfab-8a2ba37aef27"/>
    <ds:schemaRef ds:uri="66bd7cac-da38-4f8f-bbe7-a70ababb49cf"/>
    <ds:schemaRef ds:uri="http://www.w3.org/XML/1998/namespace"/>
    <ds:schemaRef ds:uri="http://purl.org/dc/dcmitype/"/>
  </ds:schemaRefs>
</ds:datastoreItem>
</file>

<file path=customXml/itemProps2.xml><?xml version="1.0" encoding="utf-8"?>
<ds:datastoreItem xmlns:ds="http://schemas.openxmlformats.org/officeDocument/2006/customXml" ds:itemID="{0B7BF7B2-97A7-4EAD-9587-F21C600A6EC8}">
  <ds:schemaRefs>
    <ds:schemaRef ds:uri="http://schemas.microsoft.com/sharepoint/v3/contenttype/forms"/>
  </ds:schemaRefs>
</ds:datastoreItem>
</file>

<file path=customXml/itemProps3.xml><?xml version="1.0" encoding="utf-8"?>
<ds:datastoreItem xmlns:ds="http://schemas.openxmlformats.org/officeDocument/2006/customXml" ds:itemID="{EA710229-7521-44A8-9F62-88D351D0D5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bd7cac-da38-4f8f-bbe7-a70ababb49cf"/>
    <ds:schemaRef ds:uri="cf9a5921-a5f7-4756-bfab-8a2ba37ae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10</vt:i4>
      </vt:variant>
    </vt:vector>
  </HeadingPairs>
  <TitlesOfParts>
    <vt:vector size="34" baseType="lpstr">
      <vt:lpstr>opinion 4-5-Old</vt:lpstr>
      <vt:lpstr>Journals</vt:lpstr>
      <vt:lpstr>AFS Dec 22 for Publication</vt:lpstr>
      <vt:lpstr>Sheet10</vt:lpstr>
      <vt:lpstr>Other interest</vt:lpstr>
      <vt:lpstr>Deferred Tax Note.</vt:lpstr>
      <vt:lpstr>Computation gen reserve</vt:lpstr>
      <vt:lpstr>Notes 18 to 29 (2)</vt:lpstr>
      <vt:lpstr>Appendix 1</vt:lpstr>
      <vt:lpstr>Appendix 2</vt:lpstr>
      <vt:lpstr>Note 28 (iii)</vt:lpstr>
      <vt:lpstr>Sheet8</vt:lpstr>
      <vt:lpstr>Sheet7</vt:lpstr>
      <vt:lpstr>detailed operating </vt:lpstr>
      <vt:lpstr>trial balance 2012</vt:lpstr>
      <vt:lpstr>Sheet1</vt:lpstr>
      <vt:lpstr>TB 2014</vt:lpstr>
      <vt:lpstr>TB 2013</vt:lpstr>
      <vt:lpstr>Sheet3</vt:lpstr>
      <vt:lpstr>Sheet4</vt:lpstr>
      <vt:lpstr>Sheet6</vt:lpstr>
      <vt:lpstr>TB 2015</vt:lpstr>
      <vt:lpstr>Sheet5</vt:lpstr>
      <vt:lpstr>Sheet2</vt:lpstr>
      <vt:lpstr>'Appendix 1'!Print_Area</vt:lpstr>
      <vt:lpstr>'Appendix 2'!Print_Area</vt:lpstr>
      <vt:lpstr>'Computation gen reserve'!Print_Area</vt:lpstr>
      <vt:lpstr>'Deferred Tax Note.'!Print_Area</vt:lpstr>
      <vt:lpstr>'detailed operating '!Print_Area</vt:lpstr>
      <vt:lpstr>Journals!Print_Area</vt:lpstr>
      <vt:lpstr>'Note 28 (iii)'!Print_Area</vt:lpstr>
      <vt:lpstr>'Notes 18 to 29 (2)'!Print_Area</vt:lpstr>
      <vt:lpstr>'opinion 4-5-Old'!Print_Area</vt:lpstr>
      <vt:lpstr>'Other interest'!Print_Area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Shimwambwa</dc:creator>
  <cp:lastModifiedBy>Donnaliya Ngandu</cp:lastModifiedBy>
  <cp:lastPrinted>2023-03-16T16:26:12Z</cp:lastPrinted>
  <dcterms:created xsi:type="dcterms:W3CDTF">2010-10-12T09:13:29Z</dcterms:created>
  <dcterms:modified xsi:type="dcterms:W3CDTF">2024-04-03T09:03:13Z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0x010100D3B3AEBD41507B47BD1403C10BB132A3</vt:lpwstr>
  </property>
  <property fmtid="{D5CDD505-2E9C-101B-9397-08002B2CF9AE}" pid="3" name="MSIP_Label_ea60d57e-af5b-4752-ac57-3e4f28ca11dc_Enabled">
    <vt:lpwstr>true</vt:lpwstr>
  </property>
  <property fmtid="{D5CDD505-2E9C-101B-9397-08002B2CF9AE}" pid="4" name="MSIP_Label_ea60d57e-af5b-4752-ac57-3e4f28ca11dc_SetDate">
    <vt:lpwstr>2021-05-12T14:12:22Z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d6fc73c5-ecd3-4916-8f4c-44df9df27a20</vt:lpwstr>
  </property>
  <property fmtid="{D5CDD505-2E9C-101B-9397-08002B2CF9AE}" pid="9" name="MSIP_Label_ea60d57e-af5b-4752-ac57-3e4f28ca11dc_ContentBits">
    <vt:lpwstr>0</vt:lpwstr>
  </property>
</Properties>
</file>